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90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D25" i="1"/>
  <c r="D24" i="1"/>
  <c r="D23" i="1"/>
  <c r="D22" i="1"/>
  <c r="D21" i="1"/>
  <c r="D20" i="1"/>
  <c r="D19" i="1"/>
  <c r="D18" i="1"/>
  <c r="D17" i="1"/>
  <c r="D16" i="1"/>
  <c r="D15" i="1"/>
  <c r="D14" i="1"/>
  <c r="H65" i="1"/>
  <c r="G65" i="1"/>
  <c r="F65" i="1"/>
  <c r="E65" i="1"/>
  <c r="H26" i="1"/>
  <c r="G26" i="1"/>
  <c r="F26" i="1"/>
  <c r="E26" i="1"/>
  <c r="G43" i="1"/>
  <c r="H43" i="1" s="1"/>
  <c r="D64" i="1" s="1"/>
  <c r="G42" i="1"/>
  <c r="H42" i="1" s="1"/>
  <c r="I63" i="1" s="1"/>
  <c r="G41" i="1"/>
  <c r="H41" i="1" s="1"/>
  <c r="D62" i="1" s="1"/>
  <c r="G40" i="1"/>
  <c r="H40" i="1" s="1"/>
  <c r="D61" i="1" s="1"/>
  <c r="G39" i="1"/>
  <c r="H39" i="1" s="1"/>
  <c r="I60" i="1" s="1"/>
  <c r="G38" i="1"/>
  <c r="H38" i="1" s="1"/>
  <c r="D59" i="1" s="1"/>
  <c r="G37" i="1"/>
  <c r="H37" i="1" s="1"/>
  <c r="D58" i="1" s="1"/>
  <c r="G36" i="1"/>
  <c r="H36" i="1" s="1"/>
  <c r="I57" i="1" s="1"/>
  <c r="G35" i="1"/>
  <c r="H35" i="1" s="1"/>
  <c r="D56" i="1" s="1"/>
  <c r="G34" i="1"/>
  <c r="H34" i="1" s="1"/>
  <c r="I55" i="1" s="1"/>
  <c r="G33" i="1"/>
  <c r="H33" i="1" s="1"/>
  <c r="D54" i="1" s="1"/>
  <c r="G32" i="1"/>
  <c r="H32" i="1" s="1"/>
  <c r="D53" i="1" s="1"/>
  <c r="I64" i="1" l="1"/>
  <c r="J64" i="1" s="1"/>
  <c r="D57" i="1"/>
  <c r="J57" i="1" s="1"/>
  <c r="I53" i="1"/>
  <c r="J53" i="1" s="1"/>
  <c r="I59" i="1"/>
  <c r="J59" i="1" s="1"/>
  <c r="D63" i="1"/>
  <c r="J63" i="1" s="1"/>
  <c r="I56" i="1"/>
  <c r="J56" i="1" s="1"/>
  <c r="I61" i="1"/>
  <c r="J61" i="1" s="1"/>
  <c r="D55" i="1"/>
  <c r="J55" i="1" s="1"/>
  <c r="D60" i="1"/>
  <c r="J60" i="1" s="1"/>
  <c r="I54" i="1"/>
  <c r="J54" i="1" s="1"/>
  <c r="I58" i="1"/>
  <c r="J58" i="1" s="1"/>
  <c r="I62" i="1"/>
  <c r="J62" i="1" s="1"/>
  <c r="J17" i="1"/>
  <c r="J21" i="1"/>
  <c r="J25" i="1"/>
  <c r="J15" i="1"/>
  <c r="J19" i="1"/>
  <c r="J23" i="1"/>
  <c r="H44" i="1"/>
  <c r="J22" i="1"/>
  <c r="D65" i="1" l="1"/>
  <c r="I65" i="1"/>
  <c r="J65" i="1"/>
  <c r="J18" i="1"/>
  <c r="J20" i="1"/>
  <c r="D26" i="1"/>
  <c r="J14" i="1"/>
  <c r="I26" i="1"/>
  <c r="J24" i="1"/>
  <c r="J16" i="1"/>
  <c r="J26" i="1" l="1"/>
</calcChain>
</file>

<file path=xl/sharedStrings.xml><?xml version="1.0" encoding="utf-8"?>
<sst xmlns="http://schemas.openxmlformats.org/spreadsheetml/2006/main" count="119" uniqueCount="54">
  <si>
    <t>Col 1</t>
  </si>
  <si>
    <t>Col 2</t>
  </si>
  <si>
    <t>Col 3</t>
  </si>
  <si>
    <t>Col 4</t>
  </si>
  <si>
    <t>Col 5</t>
  </si>
  <si>
    <t>Col 6</t>
  </si>
  <si>
    <t>Col 7</t>
  </si>
  <si>
    <t>Actual</t>
  </si>
  <si>
    <t>Monthly</t>
  </si>
  <si>
    <t>Prior</t>
  </si>
  <si>
    <t>Retail Base</t>
  </si>
  <si>
    <t>Total</t>
  </si>
  <si>
    <t>Year</t>
  </si>
  <si>
    <t>Transmission</t>
  </si>
  <si>
    <t>Other</t>
  </si>
  <si>
    <t>Public</t>
  </si>
  <si>
    <t>Retail</t>
  </si>
  <si>
    <t>Month</t>
  </si>
  <si>
    <t>Revenues</t>
  </si>
  <si>
    <t>Distribution</t>
  </si>
  <si>
    <t>Generation</t>
  </si>
  <si>
    <t>Purpose</t>
  </si>
  <si>
    <t>Revenue</t>
  </si>
  <si>
    <t>Term</t>
  </si>
  <si>
    <t>Filed</t>
  </si>
  <si>
    <t>Settlement</t>
  </si>
  <si>
    <t>Differrence</t>
  </si>
  <si>
    <t>Transfer</t>
  </si>
  <si>
    <t>Jan</t>
  </si>
  <si>
    <t>TO6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</si>
  <si>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</si>
  <si>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</si>
  <si>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</si>
  <si>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</si>
  <si>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</si>
  <si>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</si>
  <si>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</si>
  <si>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</si>
  <si>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</si>
  <si>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TO7</t>
  </si>
  <si>
    <t>Nov</t>
  </si>
  <si>
    <t>Dec</t>
  </si>
  <si>
    <t>Totals:</t>
  </si>
  <si>
    <t>"Total Sales to Ultimate Consumers" from FERC Form 1 Page 300, Line 10, Column b:</t>
  </si>
  <si>
    <t>1) Unadjusted Schedule 3 Revenue Matrix (Lines 86-109 of Schedule 3)</t>
  </si>
  <si>
    <t xml:space="preserve">2) Revenue Adjustment to implement  Section 6.2 of the ER11-3697 Offer of Settlement </t>
  </si>
  <si>
    <t>Schedule 3 Revenue Matrix Workpapers</t>
  </si>
  <si>
    <t>3) Schedule 3 Revenue Matrix (Lines 86-109 of Schedule 3) reflecting Settlement Section 6.2</t>
  </si>
  <si>
    <t>Subtract "Monthly Transfer" amount from Part 2 from Column 1, add same amount to Column 6</t>
  </si>
  <si>
    <t>reduction in revenues associated with retail refunds for the 2012 year.  This workpaper shows how the retail revenues</t>
  </si>
  <si>
    <t>Part 2 shows the revenues to be subtracted associated with the retail refund.  Part 3 shows the final revenue matrix</t>
  </si>
  <si>
    <t>as input to Schedule 3.</t>
  </si>
  <si>
    <t xml:space="preserve">Pursuant to Section 6.2 of the Offer of Settlement in ER11-3697, SCE's TO8 Base TRR and rates will be developed reflecting the </t>
  </si>
  <si>
    <t>are revised to reflect that refund.  Part 1 shows the beginning, unadjusted revenue matrix (Schedule 3, lines 86-109).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</si>
</sst>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sz val="10"/>
      <name val="Arial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3" fillId="0" borderId="0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6" fillId="2" borderId="0" xfId="0" applyNumberFormat="1" applyFont="1" applyFill="1" applyBorder="1"/>
    <xf numFmtId="164" fontId="6" fillId="0" borderId="0" xfId="0" applyNumberFormat="1" applyFont="1" applyFill="1" applyBorder="1"/>
    <xf numFmtId="164" fontId="5" fillId="2" borderId="0" xfId="0" applyNumberFormat="1" applyFont="1" applyFill="1" applyBorder="1"/>
    <xf numFmtId="164" fontId="5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0" xfId="0" applyFont="1"/>
    <xf numFmtId="0" fontId="4" fillId="0" borderId="0" xfId="0" quotePrefix="1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zoomScaleNormal="100" workbookViewId="0"/>
  </sheetViews>
  <sheetFormatPr defaultRowHeight="15" x14ac:dyDescent="0.25"/>
  <cols>
    <col min="1" max="2" width="3.7109375" customWidth="1"/>
    <col min="3" max="3" width="6.7109375" customWidth="1"/>
    <col min="4" max="9" width="14.7109375" customWidth="1"/>
    <col min="10" max="10" width="15.7109375" customWidth="1"/>
  </cols>
  <sheetData>
    <row r="1" spans="1:16" ht="14.45" x14ac:dyDescent="0.3">
      <c r="A1" s="16" t="s">
        <v>46</v>
      </c>
    </row>
    <row r="2" spans="1:16" ht="14.45" x14ac:dyDescent="0.3">
      <c r="A2" s="16"/>
      <c r="B2" t="s">
        <v>52</v>
      </c>
    </row>
    <row r="3" spans="1:16" ht="14.45" x14ac:dyDescent="0.3">
      <c r="A3" s="16"/>
      <c r="B3" t="s">
        <v>49</v>
      </c>
    </row>
    <row r="4" spans="1:16" ht="14.45" x14ac:dyDescent="0.3">
      <c r="A4" s="16"/>
      <c r="B4" t="s">
        <v>53</v>
      </c>
    </row>
    <row r="5" spans="1:16" ht="14.45" x14ac:dyDescent="0.3">
      <c r="A5" s="16"/>
      <c r="B5" t="s">
        <v>50</v>
      </c>
    </row>
    <row r="6" spans="1:16" ht="14.45" x14ac:dyDescent="0.3">
      <c r="B6" t="s">
        <v>51</v>
      </c>
    </row>
    <row r="8" spans="1:16" ht="14.45" x14ac:dyDescent="0.3">
      <c r="B8" s="15" t="s">
        <v>44</v>
      </c>
      <c r="C8" s="2"/>
      <c r="D8" s="3"/>
      <c r="E8" s="3"/>
      <c r="F8" s="3"/>
      <c r="G8" s="1"/>
      <c r="H8" s="3"/>
      <c r="I8" s="3"/>
      <c r="J8" s="3"/>
      <c r="K8" s="3"/>
      <c r="L8" s="3"/>
      <c r="M8" s="3"/>
      <c r="N8" s="4"/>
      <c r="O8" s="4"/>
      <c r="P8" s="4"/>
    </row>
    <row r="9" spans="1:16" ht="14.45" x14ac:dyDescent="0.3">
      <c r="B9" s="1"/>
      <c r="C9" s="3"/>
      <c r="D9" s="5" t="s">
        <v>0</v>
      </c>
      <c r="E9" s="5" t="s">
        <v>1</v>
      </c>
      <c r="F9" s="5" t="s">
        <v>2</v>
      </c>
      <c r="G9" s="5" t="s">
        <v>3</v>
      </c>
      <c r="H9" s="5" t="s">
        <v>4</v>
      </c>
      <c r="I9" s="5" t="s">
        <v>5</v>
      </c>
      <c r="J9" s="5" t="s">
        <v>6</v>
      </c>
    </row>
    <row r="10" spans="1:16" ht="14.45" x14ac:dyDescent="0.3">
      <c r="B10" s="1"/>
      <c r="C10" s="3"/>
      <c r="D10" s="1" t="s">
        <v>7</v>
      </c>
      <c r="E10" s="3"/>
      <c r="F10" s="3"/>
      <c r="G10" s="1"/>
      <c r="H10" s="3"/>
      <c r="I10" s="3"/>
      <c r="J10" s="1" t="s">
        <v>8</v>
      </c>
    </row>
    <row r="11" spans="1:16" ht="14.45" x14ac:dyDescent="0.3">
      <c r="B11" s="1"/>
      <c r="C11" s="7" t="s">
        <v>9</v>
      </c>
      <c r="D11" s="1" t="s">
        <v>10</v>
      </c>
      <c r="E11" s="3"/>
      <c r="F11" s="3"/>
      <c r="G11" s="5"/>
      <c r="H11" s="3"/>
      <c r="I11" s="3"/>
      <c r="J11" s="1" t="s">
        <v>11</v>
      </c>
    </row>
    <row r="12" spans="1:16" ht="14.45" x14ac:dyDescent="0.3">
      <c r="B12" s="1"/>
      <c r="C12" s="7" t="s">
        <v>12</v>
      </c>
      <c r="D12" s="1" t="s">
        <v>13</v>
      </c>
      <c r="E12" s="1" t="s">
        <v>14</v>
      </c>
      <c r="F12" s="1"/>
      <c r="G12" s="1"/>
      <c r="H12" s="1" t="s">
        <v>15</v>
      </c>
      <c r="I12" s="1"/>
      <c r="J12" s="1" t="s">
        <v>16</v>
      </c>
    </row>
    <row r="13" spans="1:16" ht="14.45" x14ac:dyDescent="0.3">
      <c r="B13" s="1"/>
      <c r="C13" s="8" t="s">
        <v>17</v>
      </c>
      <c r="D13" s="8" t="s">
        <v>18</v>
      </c>
      <c r="E13" s="8" t="s">
        <v>13</v>
      </c>
      <c r="F13" s="8" t="s">
        <v>19</v>
      </c>
      <c r="G13" s="8" t="s">
        <v>20</v>
      </c>
      <c r="H13" s="8" t="s">
        <v>21</v>
      </c>
      <c r="I13" s="8" t="s">
        <v>14</v>
      </c>
      <c r="J13" s="8" t="s">
        <v>22</v>
      </c>
    </row>
    <row r="14" spans="1:16" ht="14.45" x14ac:dyDescent="0.3">
      <c r="B14" s="1"/>
      <c r="C14" s="9" t="s">
        <v>28</v>
      </c>
      <c r="D14" s="10">
        <f>69677050.29</f>
        <v>69677050.290000007</v>
      </c>
      <c r="E14" s="10">
        <v>-11414788.5</v>
      </c>
      <c r="F14" s="10">
        <v>320216212.91000003</v>
      </c>
      <c r="G14" s="10">
        <v>371503556.31999999</v>
      </c>
      <c r="H14" s="10">
        <v>59483856</v>
      </c>
      <c r="I14" s="10">
        <f>5936943.63</f>
        <v>5936943.6299999999</v>
      </c>
      <c r="J14" s="11">
        <f>SUM(D14:I14)</f>
        <v>815402830.64999998</v>
      </c>
    </row>
    <row r="15" spans="1:16" ht="14.45" x14ac:dyDescent="0.3">
      <c r="B15" s="1"/>
      <c r="C15" s="9" t="s">
        <v>30</v>
      </c>
      <c r="D15" s="10">
        <f>51826242.09</f>
        <v>51826242.090000004</v>
      </c>
      <c r="E15" s="10">
        <v>-6286183.4899999928</v>
      </c>
      <c r="F15" s="10">
        <v>289014247.88999999</v>
      </c>
      <c r="G15" s="10">
        <v>341017247.08999997</v>
      </c>
      <c r="H15" s="10">
        <v>45573688.770000003</v>
      </c>
      <c r="I15" s="10">
        <f>12930683.11</f>
        <v>12930683.109999999</v>
      </c>
      <c r="J15" s="11">
        <f t="shared" ref="J15:J24" si="0">SUM(D15:I15)</f>
        <v>734075925.45999992</v>
      </c>
    </row>
    <row r="16" spans="1:16" ht="14.45" x14ac:dyDescent="0.3">
      <c r="B16" s="1"/>
      <c r="C16" s="9" t="s">
        <v>31</v>
      </c>
      <c r="D16" s="10">
        <f>55702506.58</f>
        <v>55702506.579999998</v>
      </c>
      <c r="E16" s="10">
        <v>-6913825.04</v>
      </c>
      <c r="F16" s="10">
        <v>309615849.49000001</v>
      </c>
      <c r="G16" s="10">
        <v>364449216.79999995</v>
      </c>
      <c r="H16" s="10">
        <v>45038751.549999997</v>
      </c>
      <c r="I16" s="10">
        <f>13877418.52</f>
        <v>13877418.52</v>
      </c>
      <c r="J16" s="11">
        <f t="shared" si="0"/>
        <v>781769917.89999986</v>
      </c>
    </row>
    <row r="17" spans="2:16" ht="14.45" x14ac:dyDescent="0.3">
      <c r="B17" s="1"/>
      <c r="C17" s="9" t="s">
        <v>32</v>
      </c>
      <c r="D17" s="10">
        <f>53980571.46</f>
        <v>53980571.460000001</v>
      </c>
      <c r="E17" s="10">
        <v>-6775005.1999999993</v>
      </c>
      <c r="F17" s="10">
        <v>296750725.43000001</v>
      </c>
      <c r="G17" s="10">
        <v>347143052.66000003</v>
      </c>
      <c r="H17" s="10">
        <v>41271264.969999999</v>
      </c>
      <c r="I17" s="10">
        <f>13273684.57</f>
        <v>13273684.57</v>
      </c>
      <c r="J17" s="11">
        <f t="shared" si="0"/>
        <v>745644293.8900001</v>
      </c>
    </row>
    <row r="18" spans="2:16" ht="14.45" x14ac:dyDescent="0.3">
      <c r="B18" s="1"/>
      <c r="C18" s="6" t="s">
        <v>33</v>
      </c>
      <c r="D18" s="10">
        <f>58823859.2</f>
        <v>58823859.200000003</v>
      </c>
      <c r="E18" s="10">
        <v>-7411186.9900000002</v>
      </c>
      <c r="F18" s="10">
        <v>321131817.83999997</v>
      </c>
      <c r="G18" s="10">
        <v>374575513.87</v>
      </c>
      <c r="H18" s="10">
        <v>50658215.980000004</v>
      </c>
      <c r="I18" s="10">
        <f>14530883.42</f>
        <v>14530883.42</v>
      </c>
      <c r="J18" s="11">
        <f t="shared" si="0"/>
        <v>812309103.31999993</v>
      </c>
    </row>
    <row r="19" spans="2:16" ht="14.45" x14ac:dyDescent="0.3">
      <c r="B19" s="1"/>
      <c r="C19" s="9" t="s">
        <v>34</v>
      </c>
      <c r="D19" s="10">
        <f>57728900.65</f>
        <v>57728900.649999999</v>
      </c>
      <c r="E19" s="10">
        <v>-7560259.0399999991</v>
      </c>
      <c r="F19" s="10">
        <v>344281163.29000002</v>
      </c>
      <c r="G19" s="10">
        <v>653862668.37</v>
      </c>
      <c r="H19" s="10">
        <v>45531380.619999997</v>
      </c>
      <c r="I19" s="10">
        <f>14419583.1</f>
        <v>14419583.1</v>
      </c>
      <c r="J19" s="11">
        <f t="shared" si="0"/>
        <v>1108263436.9899998</v>
      </c>
    </row>
    <row r="20" spans="2:16" ht="14.45" x14ac:dyDescent="0.3">
      <c r="B20" s="1"/>
      <c r="C20" s="9" t="s">
        <v>35</v>
      </c>
      <c r="D20" s="10">
        <f>66004496.91</f>
        <v>66004496.909999996</v>
      </c>
      <c r="E20" s="10">
        <v>-8477078.5899999999</v>
      </c>
      <c r="F20" s="10">
        <v>281230545.75</v>
      </c>
      <c r="G20" s="10">
        <v>598110978.29999995</v>
      </c>
      <c r="H20" s="10">
        <v>57135375.509999998</v>
      </c>
      <c r="I20" s="10">
        <f>17467383.69</f>
        <v>17467383.690000001</v>
      </c>
      <c r="J20" s="11">
        <f t="shared" si="0"/>
        <v>1011471701.5699999</v>
      </c>
    </row>
    <row r="21" spans="2:16" ht="14.45" x14ac:dyDescent="0.3">
      <c r="B21" s="1"/>
      <c r="C21" s="9" t="s">
        <v>36</v>
      </c>
      <c r="D21" s="10">
        <f>80874514.11</f>
        <v>80874514.109999999</v>
      </c>
      <c r="E21" s="10">
        <v>-9894154.3499999996</v>
      </c>
      <c r="F21" s="10">
        <v>425405324.75999999</v>
      </c>
      <c r="G21" s="10">
        <v>803027719.28999996</v>
      </c>
      <c r="H21" s="10">
        <v>111017614.75999999</v>
      </c>
      <c r="I21" s="10">
        <f>19298426.06</f>
        <v>19298426.059999999</v>
      </c>
      <c r="J21" s="11">
        <f t="shared" si="0"/>
        <v>1429729444.6299999</v>
      </c>
    </row>
    <row r="22" spans="2:16" ht="14.45" x14ac:dyDescent="0.3">
      <c r="B22" s="1"/>
      <c r="C22" s="9" t="s">
        <v>37</v>
      </c>
      <c r="D22" s="10">
        <f>69792980.29</f>
        <v>69792980.290000007</v>
      </c>
      <c r="E22" s="10">
        <v>-8821336.4600000009</v>
      </c>
      <c r="F22" s="10">
        <v>386406472.56</v>
      </c>
      <c r="G22" s="10">
        <v>679540086.74000001</v>
      </c>
      <c r="H22" s="10">
        <v>106092548.42</v>
      </c>
      <c r="I22" s="10">
        <f>16593593.95</f>
        <v>16593593.949999999</v>
      </c>
      <c r="J22" s="11">
        <f t="shared" si="0"/>
        <v>1249604345.5000002</v>
      </c>
    </row>
    <row r="23" spans="2:16" ht="14.45" x14ac:dyDescent="0.3">
      <c r="B23" s="1"/>
      <c r="C23" s="9" t="s">
        <v>38</v>
      </c>
      <c r="D23" s="10">
        <f>68015238.83</f>
        <v>68015238.829999998</v>
      </c>
      <c r="E23" s="10">
        <v>-7674907.5899999999</v>
      </c>
      <c r="F23" s="10">
        <v>344893628.13999999</v>
      </c>
      <c r="G23" s="10">
        <v>374233883.43000007</v>
      </c>
      <c r="H23" s="10">
        <v>75935894.170000002</v>
      </c>
      <c r="I23" s="10">
        <f>12162458.48</f>
        <v>12162458.48</v>
      </c>
      <c r="J23" s="11">
        <f t="shared" si="0"/>
        <v>867566195.46000004</v>
      </c>
    </row>
    <row r="24" spans="2:16" ht="14.45" x14ac:dyDescent="0.3">
      <c r="B24" s="1"/>
      <c r="C24" s="9" t="s">
        <v>40</v>
      </c>
      <c r="D24" s="10">
        <f>73991860.94</f>
        <v>73991860.939999998</v>
      </c>
      <c r="E24" s="10">
        <v>-6815265.1300000008</v>
      </c>
      <c r="F24" s="10">
        <v>300027363.51999998</v>
      </c>
      <c r="G24" s="10">
        <v>333631887.90999997</v>
      </c>
      <c r="H24" s="10">
        <v>46659388.879999995</v>
      </c>
      <c r="I24" s="10">
        <f>12685995.38</f>
        <v>12685995.380000001</v>
      </c>
      <c r="J24" s="11">
        <f t="shared" si="0"/>
        <v>760181231.5</v>
      </c>
    </row>
    <row r="25" spans="2:16" ht="14.45" x14ac:dyDescent="0.3">
      <c r="B25" s="1"/>
      <c r="C25" s="9" t="s">
        <v>41</v>
      </c>
      <c r="D25" s="12">
        <f>70207368.73</f>
        <v>70207368.730000004</v>
      </c>
      <c r="E25" s="12">
        <v>-7031444.6500000004</v>
      </c>
      <c r="F25" s="12">
        <v>327684040.89999998</v>
      </c>
      <c r="G25" s="12">
        <v>349509406.15999997</v>
      </c>
      <c r="H25" s="12">
        <v>52147706.629999995</v>
      </c>
      <c r="I25" s="12">
        <f>43686009.07</f>
        <v>43686009.07</v>
      </c>
      <c r="J25" s="13">
        <f>SUM(D25:I25)</f>
        <v>836203086.83999991</v>
      </c>
    </row>
    <row r="26" spans="2:16" ht="14.45" x14ac:dyDescent="0.3">
      <c r="B26" s="1"/>
      <c r="C26" s="6" t="s">
        <v>42</v>
      </c>
      <c r="D26" s="11">
        <f t="shared" ref="D26:J26" si="1">SUM(D14:D25)</f>
        <v>776625590.07999992</v>
      </c>
      <c r="E26" s="11">
        <f t="shared" si="1"/>
        <v>-95075435.030000001</v>
      </c>
      <c r="F26" s="11">
        <f t="shared" si="1"/>
        <v>3946657392.4799995</v>
      </c>
      <c r="G26" s="11">
        <f t="shared" si="1"/>
        <v>5590605216.9399996</v>
      </c>
      <c r="H26" s="11">
        <f t="shared" si="1"/>
        <v>736545686.25999987</v>
      </c>
      <c r="I26" s="11">
        <f t="shared" si="1"/>
        <v>196863062.97999999</v>
      </c>
      <c r="J26" s="11">
        <f t="shared" si="1"/>
        <v>11152221513.709999</v>
      </c>
    </row>
    <row r="27" spans="2:16" ht="14.45" x14ac:dyDescent="0.3">
      <c r="B27" s="1"/>
      <c r="C27" s="3"/>
      <c r="D27" s="3"/>
      <c r="E27" s="3"/>
      <c r="F27" s="3"/>
      <c r="G27" s="3"/>
      <c r="H27" s="3"/>
      <c r="I27" s="14" t="s">
        <v>43</v>
      </c>
      <c r="J27" s="10">
        <v>11152221514</v>
      </c>
      <c r="K27" s="3"/>
      <c r="L27" s="3"/>
      <c r="M27" s="3"/>
      <c r="N27" s="4"/>
      <c r="O27" s="4"/>
      <c r="P27" s="4"/>
    </row>
    <row r="29" spans="2:16" ht="14.45" x14ac:dyDescent="0.3">
      <c r="B29" s="16" t="s">
        <v>45</v>
      </c>
      <c r="D29" s="2"/>
      <c r="E29" s="4"/>
      <c r="F29" s="4"/>
      <c r="G29" s="4"/>
      <c r="H29" s="4"/>
      <c r="I29" s="4"/>
    </row>
    <row r="30" spans="2:16" ht="14.45" x14ac:dyDescent="0.3">
      <c r="C30" s="4"/>
      <c r="D30" s="4"/>
      <c r="E30" s="4"/>
      <c r="F30" s="4"/>
      <c r="G30" s="4"/>
      <c r="H30" s="18" t="s">
        <v>8</v>
      </c>
    </row>
    <row r="31" spans="2:16" ht="14.45" x14ac:dyDescent="0.3">
      <c r="C31" s="19" t="s">
        <v>17</v>
      </c>
      <c r="D31" s="19" t="s">
        <v>23</v>
      </c>
      <c r="E31" s="19" t="s">
        <v>24</v>
      </c>
      <c r="F31" s="19" t="s">
        <v>25</v>
      </c>
      <c r="G31" s="19" t="s">
        <v>26</v>
      </c>
      <c r="H31" s="19" t="s">
        <v>27</v>
      </c>
    </row>
    <row r="32" spans="2:16" ht="14.45" x14ac:dyDescent="0.3">
      <c r="C32" s="22" t="s">
        <v>28</v>
      </c>
      <c r="D32" s="21" t="s">
        <v>29</v>
      </c>
      <c r="E32" s="20">
        <v>721985056.22886777</v>
      </c>
      <c r="F32" s="20">
        <v>638250567.69217527</v>
      </c>
      <c r="G32" s="20">
        <f>E32-F32</f>
        <v>83734488.5366925</v>
      </c>
      <c r="H32" s="20">
        <f>G32/12</f>
        <v>6977874.044724375</v>
      </c>
    </row>
    <row r="33" spans="2:10" ht="14.45" x14ac:dyDescent="0.3">
      <c r="C33" s="22" t="s">
        <v>30</v>
      </c>
      <c r="D33" s="21" t="s">
        <v>29</v>
      </c>
      <c r="E33" s="20">
        <v>721985056.22886777</v>
      </c>
      <c r="F33" s="20">
        <v>638250567.69217527</v>
      </c>
      <c r="G33" s="20">
        <f t="shared" ref="G33:G43" si="2">E33-F33</f>
        <v>83734488.5366925</v>
      </c>
      <c r="H33" s="20">
        <f t="shared" ref="H33:H43" si="3">G33/12</f>
        <v>6977874.044724375</v>
      </c>
    </row>
    <row r="34" spans="2:10" ht="14.45" x14ac:dyDescent="0.3">
      <c r="C34" s="22" t="s">
        <v>31</v>
      </c>
      <c r="D34" s="21" t="s">
        <v>29</v>
      </c>
      <c r="E34" s="20">
        <v>721985056.22886777</v>
      </c>
      <c r="F34" s="20">
        <v>638250567.69217527</v>
      </c>
      <c r="G34" s="20">
        <f t="shared" si="2"/>
        <v>83734488.5366925</v>
      </c>
      <c r="H34" s="20">
        <f t="shared" si="3"/>
        <v>6977874.044724375</v>
      </c>
    </row>
    <row r="35" spans="2:10" ht="14.45" x14ac:dyDescent="0.3">
      <c r="C35" s="22" t="s">
        <v>32</v>
      </c>
      <c r="D35" s="21" t="s">
        <v>29</v>
      </c>
      <c r="E35" s="20">
        <v>721985056.22886777</v>
      </c>
      <c r="F35" s="20">
        <v>638250567.69217527</v>
      </c>
      <c r="G35" s="20">
        <f t="shared" si="2"/>
        <v>83734488.5366925</v>
      </c>
      <c r="H35" s="20">
        <f t="shared" si="3"/>
        <v>6977874.044724375</v>
      </c>
    </row>
    <row r="36" spans="2:10" ht="14.45" x14ac:dyDescent="0.3">
      <c r="C36" s="22" t="s">
        <v>33</v>
      </c>
      <c r="D36" s="21" t="s">
        <v>29</v>
      </c>
      <c r="E36" s="20">
        <v>721985056.22886777</v>
      </c>
      <c r="F36" s="20">
        <v>638250567.69217527</v>
      </c>
      <c r="G36" s="20">
        <f t="shared" si="2"/>
        <v>83734488.5366925</v>
      </c>
      <c r="H36" s="20">
        <f t="shared" si="3"/>
        <v>6977874.044724375</v>
      </c>
    </row>
    <row r="37" spans="2:10" ht="14.45" x14ac:dyDescent="0.3">
      <c r="C37" s="22" t="s">
        <v>34</v>
      </c>
      <c r="D37" s="21" t="s">
        <v>29</v>
      </c>
      <c r="E37" s="20">
        <v>721985056.22886777</v>
      </c>
      <c r="F37" s="20">
        <v>638250567.69217527</v>
      </c>
      <c r="G37" s="20">
        <f t="shared" si="2"/>
        <v>83734488.5366925</v>
      </c>
      <c r="H37" s="20">
        <f t="shared" si="3"/>
        <v>6977874.044724375</v>
      </c>
    </row>
    <row r="38" spans="2:10" ht="14.45" x14ac:dyDescent="0.3">
      <c r="C38" s="22" t="s">
        <v>35</v>
      </c>
      <c r="D38" s="21" t="s">
        <v>29</v>
      </c>
      <c r="E38" s="20">
        <v>721985056.22886777</v>
      </c>
      <c r="F38" s="20">
        <v>638250567.69217527</v>
      </c>
      <c r="G38" s="20">
        <f t="shared" si="2"/>
        <v>83734488.5366925</v>
      </c>
      <c r="H38" s="20">
        <f t="shared" si="3"/>
        <v>6977874.044724375</v>
      </c>
    </row>
    <row r="39" spans="2:10" ht="14.45" x14ac:dyDescent="0.3">
      <c r="C39" s="22" t="s">
        <v>36</v>
      </c>
      <c r="D39" s="21" t="s">
        <v>29</v>
      </c>
      <c r="E39" s="20">
        <v>721985056.22886777</v>
      </c>
      <c r="F39" s="20">
        <v>638250567.69217527</v>
      </c>
      <c r="G39" s="20">
        <f t="shared" si="2"/>
        <v>83734488.5366925</v>
      </c>
      <c r="H39" s="20">
        <f t="shared" si="3"/>
        <v>6977874.044724375</v>
      </c>
    </row>
    <row r="40" spans="2:10" ht="14.45" x14ac:dyDescent="0.3">
      <c r="C40" s="22" t="s">
        <v>37</v>
      </c>
      <c r="D40" s="21" t="s">
        <v>29</v>
      </c>
      <c r="E40" s="20">
        <v>721985056.22886777</v>
      </c>
      <c r="F40" s="20">
        <v>638250567.69217527</v>
      </c>
      <c r="G40" s="20">
        <f t="shared" si="2"/>
        <v>83734488.5366925</v>
      </c>
      <c r="H40" s="20">
        <f t="shared" si="3"/>
        <v>6977874.044724375</v>
      </c>
    </row>
    <row r="41" spans="2:10" x14ac:dyDescent="0.25">
      <c r="C41" s="22" t="s">
        <v>38</v>
      </c>
      <c r="D41" s="21" t="s">
        <v>39</v>
      </c>
      <c r="E41" s="20">
        <v>899888718</v>
      </c>
      <c r="F41" s="20">
        <v>789284765</v>
      </c>
      <c r="G41" s="20">
        <f t="shared" si="2"/>
        <v>110603953</v>
      </c>
      <c r="H41" s="20">
        <f t="shared" si="3"/>
        <v>9216996.083333334</v>
      </c>
    </row>
    <row r="42" spans="2:10" x14ac:dyDescent="0.25">
      <c r="C42" s="22" t="s">
        <v>40</v>
      </c>
      <c r="D42" s="21" t="s">
        <v>39</v>
      </c>
      <c r="E42" s="20">
        <v>899888718</v>
      </c>
      <c r="F42" s="20">
        <v>789284765</v>
      </c>
      <c r="G42" s="20">
        <f t="shared" si="2"/>
        <v>110603953</v>
      </c>
      <c r="H42" s="20">
        <f t="shared" si="3"/>
        <v>9216996.083333334</v>
      </c>
    </row>
    <row r="43" spans="2:10" x14ac:dyDescent="0.25">
      <c r="C43" s="22" t="s">
        <v>41</v>
      </c>
      <c r="D43" s="21" t="s">
        <v>39</v>
      </c>
      <c r="E43" s="20">
        <v>899888718</v>
      </c>
      <c r="F43" s="20">
        <v>789284765</v>
      </c>
      <c r="G43" s="20">
        <f t="shared" si="2"/>
        <v>110603953</v>
      </c>
      <c r="H43" s="13">
        <f t="shared" si="3"/>
        <v>9216996.083333334</v>
      </c>
    </row>
    <row r="44" spans="2:10" x14ac:dyDescent="0.25">
      <c r="C44" s="4"/>
      <c r="D44" s="4"/>
      <c r="E44" s="4"/>
      <c r="F44" s="4"/>
      <c r="G44" s="4"/>
      <c r="H44" s="20">
        <f>SUM(H32:H43)</f>
        <v>90451854.65251936</v>
      </c>
    </row>
    <row r="46" spans="2:10" x14ac:dyDescent="0.25">
      <c r="B46" s="15" t="s">
        <v>47</v>
      </c>
    </row>
    <row r="47" spans="2:10" x14ac:dyDescent="0.25">
      <c r="C47" s="17" t="s">
        <v>48</v>
      </c>
    </row>
    <row r="48" spans="2:10" x14ac:dyDescent="0.25">
      <c r="B48" s="1"/>
      <c r="C48" s="3"/>
      <c r="D48" s="5" t="s">
        <v>0</v>
      </c>
      <c r="E48" s="5" t="s">
        <v>1</v>
      </c>
      <c r="F48" s="5" t="s">
        <v>2</v>
      </c>
      <c r="G48" s="5" t="s">
        <v>3</v>
      </c>
      <c r="H48" s="5" t="s">
        <v>4</v>
      </c>
      <c r="I48" s="5" t="s">
        <v>5</v>
      </c>
      <c r="J48" s="5" t="s">
        <v>6</v>
      </c>
    </row>
    <row r="49" spans="2:10" x14ac:dyDescent="0.25">
      <c r="B49" s="1"/>
      <c r="C49" s="3"/>
      <c r="D49" s="1" t="s">
        <v>7</v>
      </c>
      <c r="E49" s="3"/>
      <c r="F49" s="3"/>
      <c r="G49" s="1"/>
      <c r="H49" s="3"/>
      <c r="I49" s="3"/>
      <c r="J49" s="1" t="s">
        <v>8</v>
      </c>
    </row>
    <row r="50" spans="2:10" x14ac:dyDescent="0.25">
      <c r="B50" s="1"/>
      <c r="C50" s="7" t="s">
        <v>9</v>
      </c>
      <c r="D50" s="1" t="s">
        <v>10</v>
      </c>
      <c r="E50" s="3"/>
      <c r="F50" s="3"/>
      <c r="G50" s="5"/>
      <c r="H50" s="3"/>
      <c r="I50" s="3"/>
      <c r="J50" s="1" t="s">
        <v>11</v>
      </c>
    </row>
    <row r="51" spans="2:10" x14ac:dyDescent="0.25">
      <c r="B51" s="1"/>
      <c r="C51" s="7" t="s">
        <v>12</v>
      </c>
      <c r="D51" s="1" t="s">
        <v>13</v>
      </c>
      <c r="E51" s="1" t="s">
        <v>14</v>
      </c>
      <c r="F51" s="1"/>
      <c r="G51" s="1"/>
      <c r="H51" s="1" t="s">
        <v>15</v>
      </c>
      <c r="I51" s="1"/>
      <c r="J51" s="1" t="s">
        <v>16</v>
      </c>
    </row>
    <row r="52" spans="2:10" x14ac:dyDescent="0.25">
      <c r="B52" s="1"/>
      <c r="C52" s="8" t="s">
        <v>17</v>
      </c>
      <c r="D52" s="8" t="s">
        <v>18</v>
      </c>
      <c r="E52" s="8" t="s">
        <v>13</v>
      </c>
      <c r="F52" s="8" t="s">
        <v>19</v>
      </c>
      <c r="G52" s="8" t="s">
        <v>20</v>
      </c>
      <c r="H52" s="8" t="s">
        <v>21</v>
      </c>
      <c r="I52" s="8" t="s">
        <v>14</v>
      </c>
      <c r="J52" s="8" t="s">
        <v>22</v>
      </c>
    </row>
    <row r="53" spans="2:10" x14ac:dyDescent="0.25">
      <c r="B53" s="1"/>
      <c r="C53" s="9" t="s">
        <v>28</v>
      </c>
      <c r="D53" s="10">
        <f>69677050.29-H32</f>
        <v>62699176.245275632</v>
      </c>
      <c r="E53" s="10">
        <v>-11414788.5</v>
      </c>
      <c r="F53" s="10">
        <v>320216212.91000003</v>
      </c>
      <c r="G53" s="10">
        <v>371503556.31999999</v>
      </c>
      <c r="H53" s="10">
        <v>59483856</v>
      </c>
      <c r="I53" s="10">
        <f>5936943.63+H32</f>
        <v>12914817.674724374</v>
      </c>
      <c r="J53" s="11">
        <f>SUM(D53:I53)</f>
        <v>815402830.64999998</v>
      </c>
    </row>
    <row r="54" spans="2:10" x14ac:dyDescent="0.25">
      <c r="B54" s="1"/>
      <c r="C54" s="9" t="s">
        <v>30</v>
      </c>
      <c r="D54" s="10">
        <f>51826242.09-H33</f>
        <v>44848368.045275629</v>
      </c>
      <c r="E54" s="10">
        <v>-6286183.4899999928</v>
      </c>
      <c r="F54" s="10">
        <v>289014247.88999999</v>
      </c>
      <c r="G54" s="10">
        <v>341017247.08999997</v>
      </c>
      <c r="H54" s="10">
        <v>45573688.770000003</v>
      </c>
      <c r="I54" s="10">
        <f>12930683.11+H33</f>
        <v>19908557.154724374</v>
      </c>
      <c r="J54" s="11">
        <f t="shared" ref="J54:J63" si="4">SUM(D54:I54)</f>
        <v>734075925.45999992</v>
      </c>
    </row>
    <row r="55" spans="2:10" x14ac:dyDescent="0.25">
      <c r="B55" s="1"/>
      <c r="C55" s="9" t="s">
        <v>31</v>
      </c>
      <c r="D55" s="10">
        <f>55702506.58-H34</f>
        <v>48724632.535275623</v>
      </c>
      <c r="E55" s="10">
        <v>-6913825.04</v>
      </c>
      <c r="F55" s="10">
        <v>309615849.49000001</v>
      </c>
      <c r="G55" s="10">
        <v>364449216.79999995</v>
      </c>
      <c r="H55" s="10">
        <v>45038751.549999997</v>
      </c>
      <c r="I55" s="10">
        <f>13877418.52+H34</f>
        <v>20855292.564724375</v>
      </c>
      <c r="J55" s="11">
        <f t="shared" si="4"/>
        <v>781769917.89999986</v>
      </c>
    </row>
    <row r="56" spans="2:10" x14ac:dyDescent="0.25">
      <c r="B56" s="1"/>
      <c r="C56" s="9" t="s">
        <v>32</v>
      </c>
      <c r="D56" s="10">
        <f>53980571.46-H35</f>
        <v>47002697.415275626</v>
      </c>
      <c r="E56" s="10">
        <v>-6775005.1999999993</v>
      </c>
      <c r="F56" s="10">
        <v>296750725.43000001</v>
      </c>
      <c r="G56" s="10">
        <v>347143052.66000003</v>
      </c>
      <c r="H56" s="10">
        <v>41271264.969999999</v>
      </c>
      <c r="I56" s="10">
        <f>13273684.57+H35</f>
        <v>20251558.614724375</v>
      </c>
      <c r="J56" s="11">
        <f t="shared" si="4"/>
        <v>745644293.8900001</v>
      </c>
    </row>
    <row r="57" spans="2:10" x14ac:dyDescent="0.25">
      <c r="B57" s="1"/>
      <c r="C57" s="6" t="s">
        <v>33</v>
      </c>
      <c r="D57" s="10">
        <f>58823859.2-H36</f>
        <v>51845985.155275628</v>
      </c>
      <c r="E57" s="10">
        <v>-7411186.9900000002</v>
      </c>
      <c r="F57" s="10">
        <v>321131817.83999997</v>
      </c>
      <c r="G57" s="10">
        <v>374575513.87</v>
      </c>
      <c r="H57" s="10">
        <v>50658215.980000004</v>
      </c>
      <c r="I57" s="10">
        <f>14530883.42+H36</f>
        <v>21508757.464724377</v>
      </c>
      <c r="J57" s="11">
        <f t="shared" si="4"/>
        <v>812309103.32000005</v>
      </c>
    </row>
    <row r="58" spans="2:10" x14ac:dyDescent="0.25">
      <c r="B58" s="1"/>
      <c r="C58" s="9" t="s">
        <v>34</v>
      </c>
      <c r="D58" s="10">
        <f>57728900.65-H37</f>
        <v>50751026.605275624</v>
      </c>
      <c r="E58" s="10">
        <v>-7560259.0399999991</v>
      </c>
      <c r="F58" s="10">
        <v>344281163.29000002</v>
      </c>
      <c r="G58" s="10">
        <v>653862668.37</v>
      </c>
      <c r="H58" s="10">
        <v>45531380.619999997</v>
      </c>
      <c r="I58" s="10">
        <f>14419583.1+H37</f>
        <v>21397457.144724376</v>
      </c>
      <c r="J58" s="11">
        <f t="shared" si="4"/>
        <v>1108263436.99</v>
      </c>
    </row>
    <row r="59" spans="2:10" x14ac:dyDescent="0.25">
      <c r="B59" s="1"/>
      <c r="C59" s="9" t="s">
        <v>35</v>
      </c>
      <c r="D59" s="10">
        <f>66004496.91-H38</f>
        <v>59026622.865275621</v>
      </c>
      <c r="E59" s="10">
        <v>-8477078.5899999999</v>
      </c>
      <c r="F59" s="10">
        <v>281230545.75</v>
      </c>
      <c r="G59" s="10">
        <v>598110978.29999995</v>
      </c>
      <c r="H59" s="10">
        <v>57135375.509999998</v>
      </c>
      <c r="I59" s="10">
        <f>17467383.69+H38</f>
        <v>24445257.734724376</v>
      </c>
      <c r="J59" s="11">
        <f t="shared" si="4"/>
        <v>1011471701.5699999</v>
      </c>
    </row>
    <row r="60" spans="2:10" x14ac:dyDescent="0.25">
      <c r="B60" s="1"/>
      <c r="C60" s="9" t="s">
        <v>36</v>
      </c>
      <c r="D60" s="10">
        <f>80874514.11-H39</f>
        <v>73896640.065275624</v>
      </c>
      <c r="E60" s="10">
        <v>-9894154.3499999996</v>
      </c>
      <c r="F60" s="10">
        <v>425405324.75999999</v>
      </c>
      <c r="G60" s="10">
        <v>803027719.28999996</v>
      </c>
      <c r="H60" s="10">
        <v>111017614.75999999</v>
      </c>
      <c r="I60" s="10">
        <f>19298426.06+H39</f>
        <v>26276300.104724374</v>
      </c>
      <c r="J60" s="11">
        <f t="shared" si="4"/>
        <v>1429729444.6299999</v>
      </c>
    </row>
    <row r="61" spans="2:10" x14ac:dyDescent="0.25">
      <c r="B61" s="1"/>
      <c r="C61" s="9" t="s">
        <v>37</v>
      </c>
      <c r="D61" s="10">
        <f>69792980.29-H40</f>
        <v>62815106.245275632</v>
      </c>
      <c r="E61" s="10">
        <v>-8821336.4600000009</v>
      </c>
      <c r="F61" s="10">
        <v>386406472.56</v>
      </c>
      <c r="G61" s="10">
        <v>679540086.74000001</v>
      </c>
      <c r="H61" s="10">
        <v>106092548.42</v>
      </c>
      <c r="I61" s="10">
        <f>16593593.95+H40</f>
        <v>23571467.994724374</v>
      </c>
      <c r="J61" s="11">
        <f t="shared" si="4"/>
        <v>1249604345.5</v>
      </c>
    </row>
    <row r="62" spans="2:10" x14ac:dyDescent="0.25">
      <c r="B62" s="1"/>
      <c r="C62" s="9" t="s">
        <v>38</v>
      </c>
      <c r="D62" s="10">
        <f>68015238.83-H41</f>
        <v>58798242.746666662</v>
      </c>
      <c r="E62" s="10">
        <v>-7674907.5899999999</v>
      </c>
      <c r="F62" s="10">
        <v>344893628.13999999</v>
      </c>
      <c r="G62" s="10">
        <v>374233883.43000007</v>
      </c>
      <c r="H62" s="10">
        <v>75935894.170000002</v>
      </c>
      <c r="I62" s="10">
        <f>12162458.48+H41</f>
        <v>21379454.563333333</v>
      </c>
      <c r="J62" s="11">
        <f t="shared" si="4"/>
        <v>867566195.46000004</v>
      </c>
    </row>
    <row r="63" spans="2:10" x14ac:dyDescent="0.25">
      <c r="B63" s="1"/>
      <c r="C63" s="9" t="s">
        <v>40</v>
      </c>
      <c r="D63" s="10">
        <f>73991860.94-H42</f>
        <v>64774864.856666662</v>
      </c>
      <c r="E63" s="10">
        <v>-6815265.1300000008</v>
      </c>
      <c r="F63" s="10">
        <v>300027363.51999998</v>
      </c>
      <c r="G63" s="10">
        <v>333631887.90999997</v>
      </c>
      <c r="H63" s="10">
        <v>46659388.879999995</v>
      </c>
      <c r="I63" s="10">
        <f>12685995.38+H42</f>
        <v>21902991.463333335</v>
      </c>
      <c r="J63" s="11">
        <f t="shared" si="4"/>
        <v>760181231.5</v>
      </c>
    </row>
    <row r="64" spans="2:10" x14ac:dyDescent="0.25">
      <c r="B64" s="1"/>
      <c r="C64" s="9" t="s">
        <v>41</v>
      </c>
      <c r="D64" s="12">
        <f>70207368.73-H43</f>
        <v>60990372.646666668</v>
      </c>
      <c r="E64" s="12">
        <v>-7031444.6500000004</v>
      </c>
      <c r="F64" s="12">
        <v>327684040.89999998</v>
      </c>
      <c r="G64" s="12">
        <v>349509406.15999997</v>
      </c>
      <c r="H64" s="12">
        <v>52147706.629999995</v>
      </c>
      <c r="I64" s="12">
        <f>43686009.07+H43</f>
        <v>52903005.153333336</v>
      </c>
      <c r="J64" s="13">
        <f>SUM(D64:I64)</f>
        <v>836203086.83999991</v>
      </c>
    </row>
    <row r="65" spans="2:10" x14ac:dyDescent="0.25">
      <c r="B65" s="1"/>
      <c r="C65" s="6" t="s">
        <v>42</v>
      </c>
      <c r="D65" s="11">
        <f t="shared" ref="D65:J65" si="5">SUM(D53:D64)</f>
        <v>686173735.42748058</v>
      </c>
      <c r="E65" s="11">
        <f t="shared" si="5"/>
        <v>-95075435.030000001</v>
      </c>
      <c r="F65" s="11">
        <f t="shared" si="5"/>
        <v>3946657392.4799995</v>
      </c>
      <c r="G65" s="11">
        <f t="shared" si="5"/>
        <v>5590605216.9399996</v>
      </c>
      <c r="H65" s="11">
        <f t="shared" si="5"/>
        <v>736545686.25999987</v>
      </c>
      <c r="I65" s="11">
        <f t="shared" si="5"/>
        <v>287314917.63251936</v>
      </c>
      <c r="J65" s="11">
        <f t="shared" si="5"/>
        <v>11152221513.709999</v>
      </c>
    </row>
    <row r="66" spans="2:10" x14ac:dyDescent="0.25">
      <c r="B66" s="1"/>
      <c r="C66" s="3"/>
      <c r="D66" s="3"/>
      <c r="E66" s="3"/>
      <c r="F66" s="3"/>
      <c r="G66" s="3"/>
      <c r="H66" s="3"/>
      <c r="I66" s="14" t="s">
        <v>43</v>
      </c>
      <c r="J66" s="10">
        <v>11152221514</v>
      </c>
    </row>
  </sheetData>
  <pageMargins left="0.7" right="0.7" top="0.75" bottom="0.75" header="0.3" footer="0.3"/>
  <pageSetup scale="70" orientation="portrait" r:id="rId1"/>
  <headerFooter>
    <oddHeader>&amp;RTO8 Annual Update
Attachment 4
WP-Schedule 3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2013-11-13T21:48:52Z</cp:lastPrinted>
  <dcterms:created xsi:type="dcterms:W3CDTF">2013-08-28T16:50:41Z</dcterms:created>
  <dcterms:modified xsi:type="dcterms:W3CDTF">2013-11-13T21:49:30Z</dcterms:modified>
</cp:coreProperties>
</file>