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3735" windowWidth="15330" windowHeight="6165" tabRatio="672"/>
  </bookViews>
  <sheets>
    <sheet name="2012 Quarterly" sheetId="32" r:id="rId1"/>
    <sheet name="2011 Quarterly " sheetId="29" r:id="rId2"/>
    <sheet name="Magnolia" sheetId="10" r:id="rId3"/>
    <sheet name="Mountainview" sheetId="11" r:id="rId4"/>
    <sheet name="Lugo" sheetId="15" r:id="rId5"/>
    <sheet name="Moenkopi" sheetId="16" r:id="rId6"/>
    <sheet name="Inland Empire Energy Center" sheetId="17" r:id="rId7"/>
    <sheet name="Blythe I" sheetId="24" r:id="rId8"/>
    <sheet name="Mountain View IV Project" sheetId="42" r:id="rId9"/>
  </sheets>
  <definedNames>
    <definedName name="_xlnm.Print_Area" localSheetId="1">'2011 Quarterly '!$A$1:$I$46</definedName>
    <definedName name="_xlnm.Print_Area" localSheetId="0">'2012 Quarterly'!$A$1:$I$36</definedName>
    <definedName name="_xlnm.Print_Area" localSheetId="7">'Blythe I'!$A$1:$J$93</definedName>
    <definedName name="_xlnm.Print_Area" localSheetId="4">Lugo!$A$1:$K$88</definedName>
    <definedName name="_xlnm.Print_Area" localSheetId="5">Moenkopi!$A$1:$M$90</definedName>
    <definedName name="_xlnm.Print_Titles" localSheetId="1">'2011 Quarterly '!$1:$1</definedName>
    <definedName name="_xlnm.Print_Titles" localSheetId="0">'2012 Quarterly'!$1:$1</definedName>
    <definedName name="Z_6086CA2F_D319_4FB4_8773_987A9787386E_.wvu.PrintArea" localSheetId="1" hidden="1">'2011 Quarterly '!$A$1:$I$38</definedName>
    <definedName name="Z_6086CA2F_D319_4FB4_8773_987A9787386E_.wvu.PrintArea" localSheetId="0" hidden="1">'2012 Quarterly'!$A$1:$I$27</definedName>
    <definedName name="Z_6086CA2F_D319_4FB4_8773_987A9787386E_.wvu.PrintArea" localSheetId="4" hidden="1">Lugo!$A$1:$K$87</definedName>
    <definedName name="Z_6086CA2F_D319_4FB4_8773_987A9787386E_.wvu.PrintTitles" localSheetId="1" hidden="1">'2011 Quarterly '!$1:$1</definedName>
    <definedName name="Z_6086CA2F_D319_4FB4_8773_987A9787386E_.wvu.PrintTitles" localSheetId="0" hidden="1">'2012 Quarterly'!$1:$1</definedName>
  </definedNames>
  <calcPr calcId="145621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V12" i="15" l="1"/>
  <c r="U12" i="15"/>
  <c r="R12" i="15"/>
  <c r="Q25" i="15" s="1"/>
  <c r="Q26" i="15" s="1"/>
  <c r="Q27" i="15" s="1"/>
  <c r="Q28" i="15" s="1"/>
  <c r="Q29" i="15" s="1"/>
  <c r="Q30" i="15" s="1"/>
  <c r="Q31" i="15" s="1"/>
  <c r="Q32" i="15" s="1"/>
  <c r="Q33" i="15" s="1"/>
  <c r="Q12" i="15"/>
  <c r="S12" i="15" s="1"/>
  <c r="Q14" i="15" l="1"/>
  <c r="H88" i="15"/>
  <c r="B92" i="15"/>
  <c r="C92" i="15"/>
  <c r="D92" i="15" s="1"/>
  <c r="F92" i="15"/>
  <c r="B93" i="15"/>
  <c r="B98" i="15" s="1"/>
  <c r="C93" i="15"/>
  <c r="D93" i="15"/>
  <c r="E93" i="15" s="1"/>
  <c r="F93" i="15"/>
  <c r="F98" i="15" s="1"/>
  <c r="B94" i="15"/>
  <c r="C94" i="15"/>
  <c r="D94" i="15" s="1"/>
  <c r="E94" i="15" s="1"/>
  <c r="F94" i="15"/>
  <c r="B95" i="15"/>
  <c r="D95" i="15" s="1"/>
  <c r="E95" i="15" s="1"/>
  <c r="C95" i="15"/>
  <c r="F95" i="15"/>
  <c r="B96" i="15"/>
  <c r="C96" i="15"/>
  <c r="D96" i="15" s="1"/>
  <c r="E96" i="15" s="1"/>
  <c r="F96" i="15"/>
  <c r="B97" i="15"/>
  <c r="C97" i="15"/>
  <c r="D97" i="15"/>
  <c r="E97" i="15" s="1"/>
  <c r="F97" i="15"/>
  <c r="C98" i="15"/>
  <c r="G98" i="15"/>
  <c r="B106" i="15"/>
  <c r="C106" i="15"/>
  <c r="D106" i="15" s="1"/>
  <c r="B107" i="15"/>
  <c r="C107" i="15"/>
  <c r="D107" i="15" s="1"/>
  <c r="E107" i="15" s="1"/>
  <c r="B108" i="15"/>
  <c r="C108" i="15"/>
  <c r="D108" i="15" s="1"/>
  <c r="E108" i="15" s="1"/>
  <c r="B109" i="15"/>
  <c r="C109" i="15"/>
  <c r="D109" i="15" s="1"/>
  <c r="E109" i="15" s="1"/>
  <c r="B110" i="15"/>
  <c r="C110" i="15"/>
  <c r="D110" i="15" s="1"/>
  <c r="E110" i="15" s="1"/>
  <c r="B111" i="15"/>
  <c r="C111" i="15"/>
  <c r="D111" i="15" s="1"/>
  <c r="E111" i="15" s="1"/>
  <c r="B112" i="15"/>
  <c r="C112" i="15"/>
  <c r="F112" i="15"/>
  <c r="G112" i="15"/>
  <c r="F113" i="15"/>
  <c r="H24" i="32"/>
  <c r="G24" i="32"/>
  <c r="G19" i="32"/>
  <c r="C24" i="32"/>
  <c r="D24" i="32"/>
  <c r="E24" i="32"/>
  <c r="F24" i="32"/>
  <c r="C25" i="32"/>
  <c r="D25" i="32"/>
  <c r="E25" i="32"/>
  <c r="F25" i="32"/>
  <c r="C26" i="32"/>
  <c r="D26" i="32"/>
  <c r="E26" i="32"/>
  <c r="F26" i="32"/>
  <c r="B26" i="32"/>
  <c r="B25" i="32"/>
  <c r="B24" i="32"/>
  <c r="Q15" i="15" l="1"/>
  <c r="Q16" i="15" s="1"/>
  <c r="Q17" i="15" s="1"/>
  <c r="Q18" i="15" s="1"/>
  <c r="Q19" i="15" s="1"/>
  <c r="Q20" i="15" s="1"/>
  <c r="Q21" i="15" s="1"/>
  <c r="Q22" i="15" s="1"/>
  <c r="Q23" i="15" s="1"/>
  <c r="Q24" i="15" s="1"/>
  <c r="D112" i="15"/>
  <c r="E106" i="15"/>
  <c r="E112" i="15" s="1"/>
  <c r="E113" i="15" s="1"/>
  <c r="D98" i="15"/>
  <c r="E92" i="15"/>
  <c r="E98" i="15" s="1"/>
  <c r="F31" i="29"/>
  <c r="F16" i="32"/>
  <c r="D37" i="24"/>
  <c r="B36" i="24"/>
  <c r="D36" i="24"/>
  <c r="B87" i="15"/>
  <c r="D87" i="15" s="1"/>
  <c r="B86" i="15"/>
  <c r="D86" i="15" s="1"/>
  <c r="B85" i="15"/>
  <c r="D85" i="15" s="1"/>
  <c r="B84" i="15"/>
  <c r="D84" i="15" s="1"/>
  <c r="B83" i="15"/>
  <c r="D83" i="15" s="1"/>
  <c r="B82" i="15"/>
  <c r="D82" i="15" s="1"/>
  <c r="B81" i="15"/>
  <c r="D81" i="15" s="1"/>
  <c r="B80" i="15"/>
  <c r="D80" i="15" s="1"/>
  <c r="B79" i="15"/>
  <c r="D79" i="15" s="1"/>
  <c r="B78" i="15"/>
  <c r="D78" i="15" s="1"/>
  <c r="B77" i="15"/>
  <c r="D77" i="15" s="1"/>
  <c r="B76" i="15"/>
  <c r="D76" i="15" s="1"/>
  <c r="B75" i="15"/>
  <c r="D75" i="15" s="1"/>
  <c r="B74" i="15"/>
  <c r="D74" i="15" s="1"/>
  <c r="B73" i="15"/>
  <c r="D73" i="15" s="1"/>
  <c r="B72" i="15"/>
  <c r="D72" i="15" s="1"/>
  <c r="B71" i="15"/>
  <c r="D71" i="15" s="1"/>
  <c r="B70" i="15"/>
  <c r="D70" i="15" s="1"/>
  <c r="B69" i="15"/>
  <c r="D69" i="15" s="1"/>
  <c r="B67" i="15"/>
  <c r="D67" i="15" s="1"/>
  <c r="B66" i="15"/>
  <c r="D66" i="15" s="1"/>
  <c r="B65" i="15"/>
  <c r="D65" i="15"/>
  <c r="B60" i="15"/>
  <c r="D60" i="15"/>
  <c r="B59" i="15"/>
  <c r="D59" i="15"/>
  <c r="B58" i="15"/>
  <c r="D58" i="15"/>
  <c r="B57" i="15"/>
  <c r="D57" i="15"/>
  <c r="B56" i="15"/>
  <c r="D56" i="15"/>
  <c r="B55" i="15"/>
  <c r="D55" i="15"/>
  <c r="B54" i="15"/>
  <c r="D54" i="15"/>
  <c r="B53" i="15"/>
  <c r="D53" i="15"/>
  <c r="B52" i="15"/>
  <c r="D52" i="15"/>
  <c r="B51" i="15"/>
  <c r="D51" i="15"/>
  <c r="B50" i="15"/>
  <c r="D50" i="15"/>
  <c r="B49" i="15"/>
  <c r="D49" i="15"/>
  <c r="B48" i="15"/>
  <c r="D48" i="15"/>
  <c r="B47" i="15"/>
  <c r="D47" i="15"/>
  <c r="B46" i="15"/>
  <c r="D46" i="15"/>
  <c r="B45" i="15"/>
  <c r="D45" i="15"/>
  <c r="B44" i="15"/>
  <c r="D44" i="15"/>
  <c r="B43" i="15"/>
  <c r="D43" i="15"/>
  <c r="B41" i="15"/>
  <c r="D41" i="15"/>
  <c r="B40" i="15"/>
  <c r="D40" i="15"/>
  <c r="B39" i="15"/>
  <c r="D39" i="15"/>
  <c r="E32" i="15"/>
  <c r="D32" i="15"/>
  <c r="H31" i="15"/>
  <c r="J30" i="15"/>
  <c r="I30" i="15"/>
  <c r="C30" i="15"/>
  <c r="C32" i="15" s="1"/>
  <c r="J29" i="15"/>
  <c r="I29" i="15"/>
  <c r="K29" i="15" s="1"/>
  <c r="H29" i="15"/>
  <c r="F29" i="15"/>
  <c r="J28" i="15"/>
  <c r="I28" i="15"/>
  <c r="H28" i="15"/>
  <c r="F28" i="15"/>
  <c r="J27" i="15"/>
  <c r="I27" i="15"/>
  <c r="K27" i="15" s="1"/>
  <c r="H27" i="15"/>
  <c r="F27" i="15"/>
  <c r="J26" i="15"/>
  <c r="I26" i="15"/>
  <c r="K26" i="15" s="1"/>
  <c r="H26" i="15"/>
  <c r="F26" i="15"/>
  <c r="J25" i="15"/>
  <c r="I25" i="15"/>
  <c r="K25" i="15" s="1"/>
  <c r="H25" i="15"/>
  <c r="F25" i="15"/>
  <c r="J24" i="15"/>
  <c r="I24" i="15"/>
  <c r="H24" i="15"/>
  <c r="F24" i="15"/>
  <c r="J23" i="15"/>
  <c r="I23" i="15"/>
  <c r="H23" i="15"/>
  <c r="F23" i="15"/>
  <c r="J22" i="15"/>
  <c r="I22" i="15"/>
  <c r="K22" i="15" s="1"/>
  <c r="H22" i="15"/>
  <c r="F22" i="15"/>
  <c r="J21" i="15"/>
  <c r="I21" i="15"/>
  <c r="H21" i="15"/>
  <c r="F21" i="15"/>
  <c r="J20" i="15"/>
  <c r="I20" i="15"/>
  <c r="K20" i="15" s="1"/>
  <c r="H20" i="15"/>
  <c r="F20" i="15"/>
  <c r="J19" i="15"/>
  <c r="I19" i="15"/>
  <c r="H19" i="15"/>
  <c r="F19" i="15"/>
  <c r="J18" i="15"/>
  <c r="I18" i="15"/>
  <c r="K18" i="15" s="1"/>
  <c r="H18" i="15"/>
  <c r="F18" i="15"/>
  <c r="J17" i="15"/>
  <c r="I17" i="15"/>
  <c r="H17" i="15"/>
  <c r="F17" i="15"/>
  <c r="J16" i="15"/>
  <c r="I16" i="15"/>
  <c r="H16" i="15"/>
  <c r="F16" i="15"/>
  <c r="J15" i="15"/>
  <c r="I15" i="15"/>
  <c r="K15" i="15" s="1"/>
  <c r="H15" i="15"/>
  <c r="F15" i="15"/>
  <c r="H33" i="15"/>
  <c r="J14" i="15"/>
  <c r="I14" i="15"/>
  <c r="H14" i="15"/>
  <c r="F14" i="15"/>
  <c r="J13" i="15"/>
  <c r="I13" i="15"/>
  <c r="H13" i="15"/>
  <c r="F13" i="15"/>
  <c r="J12" i="15"/>
  <c r="I12" i="15"/>
  <c r="H12" i="15"/>
  <c r="F12" i="15"/>
  <c r="J11" i="15"/>
  <c r="I11" i="15"/>
  <c r="H11" i="15"/>
  <c r="F11" i="15"/>
  <c r="J10" i="15"/>
  <c r="I10" i="15"/>
  <c r="H10" i="15"/>
  <c r="F10" i="15"/>
  <c r="J9" i="15"/>
  <c r="I9" i="15"/>
  <c r="H9" i="15"/>
  <c r="F9" i="15"/>
  <c r="J8" i="15"/>
  <c r="I8" i="15"/>
  <c r="H8" i="15"/>
  <c r="F8" i="15"/>
  <c r="J7" i="15"/>
  <c r="I7" i="15"/>
  <c r="H7" i="15"/>
  <c r="F7" i="15"/>
  <c r="J6" i="15"/>
  <c r="I6" i="15"/>
  <c r="H6" i="15"/>
  <c r="F6" i="15"/>
  <c r="J5" i="15"/>
  <c r="I5" i="15"/>
  <c r="H5" i="15"/>
  <c r="F5" i="15"/>
  <c r="J4" i="15"/>
  <c r="I4" i="15"/>
  <c r="H4" i="15"/>
  <c r="F4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J3" i="15"/>
  <c r="J32" i="15" s="1"/>
  <c r="F65" i="15" s="1"/>
  <c r="I3" i="15"/>
  <c r="I32" i="15" s="1"/>
  <c r="H3" i="15"/>
  <c r="F3" i="15"/>
  <c r="F29" i="24"/>
  <c r="F30" i="24" s="1"/>
  <c r="G28" i="24"/>
  <c r="D29" i="24"/>
  <c r="D30" i="24" s="1"/>
  <c r="F36" i="24"/>
  <c r="B36" i="42"/>
  <c r="B35" i="42"/>
  <c r="B37" i="42"/>
  <c r="D37" i="42" s="1"/>
  <c r="B38" i="42"/>
  <c r="B39" i="42"/>
  <c r="B40" i="42"/>
  <c r="B41" i="42"/>
  <c r="D41" i="42" s="1"/>
  <c r="B42" i="42"/>
  <c r="B43" i="42"/>
  <c r="B44" i="42"/>
  <c r="B45" i="42"/>
  <c r="D45" i="42" s="1"/>
  <c r="B46" i="42"/>
  <c r="B47" i="42"/>
  <c r="B48" i="42"/>
  <c r="B49" i="42"/>
  <c r="D49" i="42" s="1"/>
  <c r="B50" i="42"/>
  <c r="B51" i="42"/>
  <c r="B52" i="42"/>
  <c r="B53" i="42"/>
  <c r="D53" i="42" s="1"/>
  <c r="B54" i="42"/>
  <c r="B55" i="42"/>
  <c r="B11" i="42"/>
  <c r="B10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C32" i="16"/>
  <c r="J33" i="16"/>
  <c r="F66" i="16" s="1"/>
  <c r="J30" i="16"/>
  <c r="H30" i="16"/>
  <c r="B110" i="16"/>
  <c r="D110" i="16" s="1"/>
  <c r="E110" i="16" s="1"/>
  <c r="B109" i="16"/>
  <c r="D109" i="16" s="1"/>
  <c r="E109" i="16" s="1"/>
  <c r="B108" i="16"/>
  <c r="B107" i="16"/>
  <c r="B106" i="16"/>
  <c r="D106" i="16" s="1"/>
  <c r="E106" i="16" s="1"/>
  <c r="B111" i="16"/>
  <c r="B105" i="16"/>
  <c r="E125" i="16"/>
  <c r="E126" i="16"/>
  <c r="B125" i="16"/>
  <c r="A125" i="16"/>
  <c r="F111" i="16"/>
  <c r="F112" i="16"/>
  <c r="C111" i="16"/>
  <c r="C124" i="16"/>
  <c r="D124" i="16" s="1"/>
  <c r="C123" i="16"/>
  <c r="D123" i="16" s="1"/>
  <c r="C122" i="16"/>
  <c r="D122" i="16" s="1"/>
  <c r="D108" i="16"/>
  <c r="E108" i="16" s="1"/>
  <c r="C121" i="16"/>
  <c r="D121" i="16" s="1"/>
  <c r="D107" i="16"/>
  <c r="E107" i="16"/>
  <c r="C120" i="16"/>
  <c r="D120" i="16" s="1"/>
  <c r="C119" i="16"/>
  <c r="C125" i="16" s="1"/>
  <c r="D105" i="16"/>
  <c r="E105" i="16"/>
  <c r="J31" i="16"/>
  <c r="I31" i="16"/>
  <c r="H31" i="16"/>
  <c r="E32" i="16"/>
  <c r="D32" i="16"/>
  <c r="H92" i="11"/>
  <c r="D55" i="42"/>
  <c r="D54" i="42"/>
  <c r="D52" i="42"/>
  <c r="D51" i="42"/>
  <c r="D50" i="42"/>
  <c r="D48" i="42"/>
  <c r="D47" i="42"/>
  <c r="D46" i="42"/>
  <c r="D44" i="42"/>
  <c r="D43" i="42"/>
  <c r="D42" i="42"/>
  <c r="D40" i="42"/>
  <c r="D39" i="42"/>
  <c r="D38" i="42"/>
  <c r="D36" i="42"/>
  <c r="D35" i="42"/>
  <c r="D25" i="42"/>
  <c r="D26" i="42"/>
  <c r="D27" i="42"/>
  <c r="D28" i="42"/>
  <c r="D29" i="42"/>
  <c r="D30" i="42"/>
  <c r="K45" i="16"/>
  <c r="D6" i="32"/>
  <c r="E16" i="29"/>
  <c r="E15" i="29"/>
  <c r="D9" i="29"/>
  <c r="E14" i="29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D3" i="42"/>
  <c r="B62" i="24"/>
  <c r="D62" i="24"/>
  <c r="B63" i="24"/>
  <c r="D63" i="24"/>
  <c r="D64" i="24"/>
  <c r="B65" i="24"/>
  <c r="D65" i="24" s="1"/>
  <c r="B66" i="24"/>
  <c r="D66" i="24" s="1"/>
  <c r="B67" i="24"/>
  <c r="D67" i="24" s="1"/>
  <c r="B68" i="24"/>
  <c r="D68" i="24" s="1"/>
  <c r="B69" i="24"/>
  <c r="D69" i="24" s="1"/>
  <c r="B70" i="24"/>
  <c r="D70" i="24" s="1"/>
  <c r="B72" i="24"/>
  <c r="D72" i="24" s="1"/>
  <c r="B73" i="24"/>
  <c r="D73" i="24" s="1"/>
  <c r="B74" i="24"/>
  <c r="D74" i="24"/>
  <c r="B75" i="24"/>
  <c r="D75" i="24"/>
  <c r="B76" i="24"/>
  <c r="D76" i="24"/>
  <c r="B77" i="24"/>
  <c r="D77" i="24"/>
  <c r="B78" i="24"/>
  <c r="D78" i="24" s="1"/>
  <c r="B79" i="24"/>
  <c r="D79" i="24" s="1"/>
  <c r="B80" i="24"/>
  <c r="D80" i="24"/>
  <c r="B81" i="24"/>
  <c r="D81" i="24" s="1"/>
  <c r="B82" i="24"/>
  <c r="D82" i="24"/>
  <c r="B83" i="24"/>
  <c r="D83" i="24"/>
  <c r="B84" i="24"/>
  <c r="D84" i="24"/>
  <c r="B85" i="24"/>
  <c r="D85" i="24" s="1"/>
  <c r="B86" i="24"/>
  <c r="D86" i="24"/>
  <c r="B87" i="24"/>
  <c r="D87" i="24"/>
  <c r="B88" i="24"/>
  <c r="D88" i="24"/>
  <c r="B89" i="24"/>
  <c r="D89" i="24" s="1"/>
  <c r="B90" i="24"/>
  <c r="D90" i="24"/>
  <c r="B38" i="24"/>
  <c r="D38" i="24" s="1"/>
  <c r="B39" i="24"/>
  <c r="D39" i="24"/>
  <c r="B40" i="24"/>
  <c r="D40" i="24" s="1"/>
  <c r="B41" i="24"/>
  <c r="D41" i="24"/>
  <c r="B42" i="24"/>
  <c r="D42" i="24" s="1"/>
  <c r="B43" i="24"/>
  <c r="D43" i="24"/>
  <c r="B44" i="24"/>
  <c r="D44" i="24" s="1"/>
  <c r="B45" i="24"/>
  <c r="D45" i="24"/>
  <c r="B46" i="24"/>
  <c r="D46" i="24" s="1"/>
  <c r="B47" i="24"/>
  <c r="D47" i="24"/>
  <c r="B48" i="24"/>
  <c r="D48" i="24" s="1"/>
  <c r="B49" i="24"/>
  <c r="D49" i="24"/>
  <c r="B50" i="24"/>
  <c r="D50" i="24" s="1"/>
  <c r="B51" i="24"/>
  <c r="D51" i="24"/>
  <c r="B52" i="24"/>
  <c r="D52" i="24" s="1"/>
  <c r="B53" i="24"/>
  <c r="D53" i="24"/>
  <c r="B54" i="24"/>
  <c r="D54" i="24" s="1"/>
  <c r="B55" i="24"/>
  <c r="D55" i="24"/>
  <c r="B18" i="17"/>
  <c r="D18" i="17" s="1"/>
  <c r="B17" i="17"/>
  <c r="D17" i="17"/>
  <c r="D16" i="17"/>
  <c r="G14" i="29"/>
  <c r="G2" i="42"/>
  <c r="G3" i="42"/>
  <c r="E3" i="42"/>
  <c r="F3" i="42"/>
  <c r="F35" i="42" s="1"/>
  <c r="D10" i="42"/>
  <c r="D11" i="42"/>
  <c r="D12" i="42"/>
  <c r="D13" i="42"/>
  <c r="D14" i="42"/>
  <c r="D15" i="42"/>
  <c r="D16" i="42"/>
  <c r="D17" i="42"/>
  <c r="D18" i="42"/>
  <c r="D19" i="42"/>
  <c r="D20" i="42"/>
  <c r="D21" i="42"/>
  <c r="D22" i="42"/>
  <c r="D23" i="42"/>
  <c r="D24" i="42"/>
  <c r="F68" i="11"/>
  <c r="D68" i="11"/>
  <c r="B69" i="11"/>
  <c r="D69" i="11"/>
  <c r="B70" i="11"/>
  <c r="D70" i="11" s="1"/>
  <c r="B71" i="11"/>
  <c r="D71" i="11"/>
  <c r="B72" i="11"/>
  <c r="D72" i="11" s="1"/>
  <c r="B73" i="11"/>
  <c r="D73" i="11" s="1"/>
  <c r="B74" i="11"/>
  <c r="D74" i="11" s="1"/>
  <c r="B75" i="11"/>
  <c r="D75" i="11"/>
  <c r="B76" i="11"/>
  <c r="D76" i="11" s="1"/>
  <c r="B77" i="11"/>
  <c r="D77" i="11"/>
  <c r="B78" i="11"/>
  <c r="D78" i="11" s="1"/>
  <c r="B79" i="11"/>
  <c r="D79" i="11"/>
  <c r="B80" i="11"/>
  <c r="D80" i="11" s="1"/>
  <c r="B81" i="11"/>
  <c r="D81" i="11" s="1"/>
  <c r="B82" i="11"/>
  <c r="D82" i="11" s="1"/>
  <c r="B83" i="11"/>
  <c r="D83" i="11"/>
  <c r="B84" i="11"/>
  <c r="D84" i="11" s="1"/>
  <c r="B85" i="11"/>
  <c r="D85" i="11"/>
  <c r="B86" i="11"/>
  <c r="D86" i="11" s="1"/>
  <c r="B87" i="11"/>
  <c r="D87" i="11"/>
  <c r="B88" i="11"/>
  <c r="D88" i="11" s="1"/>
  <c r="B89" i="11"/>
  <c r="D89" i="11" s="1"/>
  <c r="B90" i="11"/>
  <c r="D90" i="11" s="1"/>
  <c r="B91" i="11"/>
  <c r="D91" i="11"/>
  <c r="H111" i="11"/>
  <c r="B112" i="11"/>
  <c r="D112" i="11"/>
  <c r="B111" i="11"/>
  <c r="D111" i="11" s="1"/>
  <c r="B110" i="11"/>
  <c r="D110" i="11"/>
  <c r="B109" i="11"/>
  <c r="D109" i="11" s="1"/>
  <c r="B61" i="11"/>
  <c r="D61" i="11"/>
  <c r="C29" i="11"/>
  <c r="H42" i="11" s="1"/>
  <c r="B36" i="11"/>
  <c r="D36" i="11"/>
  <c r="B37" i="11"/>
  <c r="D37" i="11" s="1"/>
  <c r="B38" i="11"/>
  <c r="D38" i="11" s="1"/>
  <c r="B39" i="11"/>
  <c r="D39" i="11" s="1"/>
  <c r="B40" i="11"/>
  <c r="D40" i="11" s="1"/>
  <c r="B41" i="11"/>
  <c r="D41" i="11" s="1"/>
  <c r="B42" i="11"/>
  <c r="D42" i="11"/>
  <c r="B60" i="11"/>
  <c r="D60" i="11" s="1"/>
  <c r="B59" i="11"/>
  <c r="D59" i="11"/>
  <c r="B62" i="11"/>
  <c r="D62" i="11" s="1"/>
  <c r="B108" i="11"/>
  <c r="D108" i="11" s="1"/>
  <c r="B157" i="11"/>
  <c r="D157" i="11" s="1"/>
  <c r="F117" i="11"/>
  <c r="B117" i="11"/>
  <c r="D117" i="11" s="1"/>
  <c r="B118" i="11"/>
  <c r="D118" i="11" s="1"/>
  <c r="B119" i="11"/>
  <c r="D119" i="11"/>
  <c r="B120" i="11"/>
  <c r="D120" i="11" s="1"/>
  <c r="B121" i="11"/>
  <c r="D121" i="11" s="1"/>
  <c r="B122" i="11"/>
  <c r="D122" i="11" s="1"/>
  <c r="B123" i="11"/>
  <c r="D123" i="11" s="1"/>
  <c r="B124" i="11"/>
  <c r="D124" i="11" s="1"/>
  <c r="B125" i="11"/>
  <c r="D125" i="11"/>
  <c r="B126" i="11"/>
  <c r="D126" i="11" s="1"/>
  <c r="B127" i="11"/>
  <c r="D127" i="11"/>
  <c r="B128" i="11"/>
  <c r="D128" i="11" s="1"/>
  <c r="B129" i="11"/>
  <c r="D129" i="11" s="1"/>
  <c r="B130" i="11"/>
  <c r="D130" i="11" s="1"/>
  <c r="B131" i="11"/>
  <c r="D131" i="11" s="1"/>
  <c r="B132" i="11"/>
  <c r="D132" i="11" s="1"/>
  <c r="B133" i="11"/>
  <c r="D133" i="11"/>
  <c r="B134" i="11"/>
  <c r="D134" i="11" s="1"/>
  <c r="B135" i="11"/>
  <c r="D135" i="11"/>
  <c r="B136" i="11"/>
  <c r="D136" i="11" s="1"/>
  <c r="B137" i="11"/>
  <c r="D137" i="11" s="1"/>
  <c r="B138" i="11"/>
  <c r="D138" i="11" s="1"/>
  <c r="B139" i="11"/>
  <c r="D139" i="11" s="1"/>
  <c r="B140" i="11"/>
  <c r="D140" i="11" s="1"/>
  <c r="H147" i="11"/>
  <c r="B58" i="11"/>
  <c r="D58" i="11"/>
  <c r="B56" i="11"/>
  <c r="D56" i="11" s="1"/>
  <c r="B57" i="11"/>
  <c r="D57" i="11" s="1"/>
  <c r="B106" i="11"/>
  <c r="D106" i="11"/>
  <c r="B155" i="11"/>
  <c r="D155" i="11" s="1"/>
  <c r="B107" i="11"/>
  <c r="D107" i="11"/>
  <c r="B156" i="11"/>
  <c r="D156" i="11" s="1"/>
  <c r="B105" i="11"/>
  <c r="D105" i="11"/>
  <c r="B154" i="11"/>
  <c r="D154" i="11" s="1"/>
  <c r="B104" i="11"/>
  <c r="D104" i="11"/>
  <c r="B153" i="11"/>
  <c r="D153" i="11" s="1"/>
  <c r="B55" i="11"/>
  <c r="D55" i="11"/>
  <c r="B54" i="11"/>
  <c r="D54" i="11" s="1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B55" i="16"/>
  <c r="D55" i="16" s="1"/>
  <c r="B39" i="16"/>
  <c r="D39" i="16"/>
  <c r="B40" i="16"/>
  <c r="D40" i="16" s="1"/>
  <c r="B56" i="16"/>
  <c r="D56" i="16"/>
  <c r="B57" i="16"/>
  <c r="D57" i="16" s="1"/>
  <c r="B58" i="16"/>
  <c r="D58" i="16"/>
  <c r="B83" i="16"/>
  <c r="D83" i="16" s="1"/>
  <c r="B66" i="16"/>
  <c r="D66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B67" i="16"/>
  <c r="D67" i="16"/>
  <c r="B68" i="16"/>
  <c r="D68" i="16" s="1"/>
  <c r="B84" i="16"/>
  <c r="D84" i="16"/>
  <c r="B85" i="16"/>
  <c r="D85" i="16" s="1"/>
  <c r="B86" i="16"/>
  <c r="D86" i="16"/>
  <c r="F10" i="10"/>
  <c r="H29" i="10" s="1"/>
  <c r="H17" i="10"/>
  <c r="H19" i="10"/>
  <c r="H21" i="10"/>
  <c r="H23" i="10"/>
  <c r="H24" i="10"/>
  <c r="H25" i="10"/>
  <c r="H27" i="10"/>
  <c r="H28" i="10"/>
  <c r="B29" i="10"/>
  <c r="D29" i="10" s="1"/>
  <c r="E28" i="10"/>
  <c r="E29" i="10"/>
  <c r="B10" i="10"/>
  <c r="D10" i="10" s="1"/>
  <c r="G10" i="10" s="1"/>
  <c r="B11" i="10"/>
  <c r="D11" i="10" s="1"/>
  <c r="B12" i="10"/>
  <c r="D12" i="10"/>
  <c r="B13" i="10"/>
  <c r="D13" i="10" s="1"/>
  <c r="B14" i="10"/>
  <c r="D14" i="10"/>
  <c r="B15" i="10"/>
  <c r="D15" i="10" s="1"/>
  <c r="B30" i="10"/>
  <c r="D30" i="10"/>
  <c r="B31" i="10"/>
  <c r="D31" i="10" s="1"/>
  <c r="B32" i="10"/>
  <c r="D32" i="10"/>
  <c r="B70" i="10"/>
  <c r="D70" i="10" s="1"/>
  <c r="E69" i="10"/>
  <c r="E70" i="10"/>
  <c r="F42" i="10"/>
  <c r="B42" i="10"/>
  <c r="D42" i="10"/>
  <c r="G42" i="10"/>
  <c r="J42" i="10" s="1"/>
  <c r="D43" i="10"/>
  <c r="D44" i="10"/>
  <c r="D45" i="10"/>
  <c r="D46" i="10"/>
  <c r="D47" i="10"/>
  <c r="D48" i="10"/>
  <c r="D49" i="10"/>
  <c r="D50" i="10"/>
  <c r="D51" i="10"/>
  <c r="D52" i="10"/>
  <c r="B53" i="10"/>
  <c r="D53" i="10"/>
  <c r="B54" i="10"/>
  <c r="D54" i="10" s="1"/>
  <c r="B55" i="10"/>
  <c r="D55" i="10"/>
  <c r="B56" i="10"/>
  <c r="D56" i="10" s="1"/>
  <c r="H62" i="10"/>
  <c r="B71" i="10"/>
  <c r="D71" i="10"/>
  <c r="B72" i="10"/>
  <c r="D72" i="10" s="1"/>
  <c r="B73" i="10"/>
  <c r="D73" i="10"/>
  <c r="D9" i="17"/>
  <c r="B19" i="17"/>
  <c r="D19" i="17" s="1"/>
  <c r="B20" i="17"/>
  <c r="D20" i="17"/>
  <c r="B21" i="17"/>
  <c r="D21" i="17" s="1"/>
  <c r="B46" i="11"/>
  <c r="D46" i="11"/>
  <c r="B47" i="11"/>
  <c r="D47" i="11" s="1"/>
  <c r="B48" i="11"/>
  <c r="D48" i="11"/>
  <c r="B49" i="11"/>
  <c r="D49" i="11" s="1"/>
  <c r="B21" i="10"/>
  <c r="D21" i="10" s="1"/>
  <c r="B47" i="16"/>
  <c r="D47" i="16" s="1"/>
  <c r="B62" i="10"/>
  <c r="D62" i="10"/>
  <c r="B96" i="11"/>
  <c r="D96" i="11" s="1"/>
  <c r="B75" i="16"/>
  <c r="D75" i="16"/>
  <c r="B22" i="10"/>
  <c r="D22" i="10"/>
  <c r="B48" i="16"/>
  <c r="D48" i="16" s="1"/>
  <c r="B63" i="10"/>
  <c r="D63" i="10" s="1"/>
  <c r="B97" i="11"/>
  <c r="D97" i="11"/>
  <c r="B76" i="16"/>
  <c r="D76" i="16" s="1"/>
  <c r="B23" i="10"/>
  <c r="D23" i="10" s="1"/>
  <c r="B49" i="16"/>
  <c r="D49" i="16"/>
  <c r="B64" i="10"/>
  <c r="D64" i="10" s="1"/>
  <c r="B98" i="11"/>
  <c r="D98" i="11" s="1"/>
  <c r="B77" i="16"/>
  <c r="D77" i="16"/>
  <c r="B24" i="10"/>
  <c r="D24" i="10" s="1"/>
  <c r="B50" i="16"/>
  <c r="D50" i="16" s="1"/>
  <c r="B65" i="10"/>
  <c r="D65" i="10" s="1"/>
  <c r="B99" i="11"/>
  <c r="D99" i="11"/>
  <c r="B78" i="16"/>
  <c r="D78" i="16" s="1"/>
  <c r="B38" i="17"/>
  <c r="D38" i="17" s="1"/>
  <c r="B79" i="16"/>
  <c r="D79" i="16" s="1"/>
  <c r="B80" i="16"/>
  <c r="D80" i="16"/>
  <c r="B81" i="16"/>
  <c r="D81" i="16" s="1"/>
  <c r="B82" i="16"/>
  <c r="D82" i="16" s="1"/>
  <c r="B100" i="11"/>
  <c r="D100" i="11" s="1"/>
  <c r="B149" i="11"/>
  <c r="D149" i="11" s="1"/>
  <c r="B101" i="11"/>
  <c r="D101" i="11" s="1"/>
  <c r="B150" i="11"/>
  <c r="D150" i="11" s="1"/>
  <c r="B102" i="11"/>
  <c r="D102" i="11" s="1"/>
  <c r="B151" i="11"/>
  <c r="D151" i="11" s="1"/>
  <c r="B103" i="11"/>
  <c r="D103" i="11" s="1"/>
  <c r="B152" i="11"/>
  <c r="D152" i="11" s="1"/>
  <c r="B66" i="10"/>
  <c r="D66" i="10" s="1"/>
  <c r="B67" i="10"/>
  <c r="D67" i="10" s="1"/>
  <c r="B68" i="10"/>
  <c r="D68" i="10" s="1"/>
  <c r="B69" i="10"/>
  <c r="D69" i="10" s="1"/>
  <c r="H73" i="10"/>
  <c r="B51" i="16"/>
  <c r="D51" i="16" s="1"/>
  <c r="B52" i="16"/>
  <c r="D52" i="16" s="1"/>
  <c r="B53" i="16"/>
  <c r="D53" i="16" s="1"/>
  <c r="B54" i="16"/>
  <c r="D54" i="16" s="1"/>
  <c r="B50" i="11"/>
  <c r="D50" i="11"/>
  <c r="B51" i="11"/>
  <c r="D51" i="11"/>
  <c r="B52" i="11"/>
  <c r="D52" i="11"/>
  <c r="B53" i="11"/>
  <c r="D53" i="11"/>
  <c r="B25" i="10"/>
  <c r="D25" i="10"/>
  <c r="B26" i="10"/>
  <c r="D26" i="10"/>
  <c r="B27" i="10"/>
  <c r="D27" i="10"/>
  <c r="B28" i="10"/>
  <c r="D28" i="10"/>
  <c r="E29" i="24"/>
  <c r="G2" i="17"/>
  <c r="G9" i="17" s="1"/>
  <c r="G3" i="17"/>
  <c r="G4" i="17"/>
  <c r="G5" i="17"/>
  <c r="G6" i="17"/>
  <c r="G7" i="17"/>
  <c r="G8" i="17"/>
  <c r="E9" i="17"/>
  <c r="F9" i="17"/>
  <c r="B22" i="17"/>
  <c r="D22" i="17" s="1"/>
  <c r="B23" i="17"/>
  <c r="D23" i="17" s="1"/>
  <c r="B24" i="17"/>
  <c r="D24" i="17" s="1"/>
  <c r="B25" i="17"/>
  <c r="D25" i="17" s="1"/>
  <c r="B26" i="17"/>
  <c r="D26" i="17" s="1"/>
  <c r="B27" i="17"/>
  <c r="D27" i="17" s="1"/>
  <c r="B28" i="17"/>
  <c r="D28" i="17" s="1"/>
  <c r="B29" i="17"/>
  <c r="D29" i="17" s="1"/>
  <c r="B30" i="17"/>
  <c r="D30" i="17" s="1"/>
  <c r="B31" i="17"/>
  <c r="D31" i="17" s="1"/>
  <c r="B32" i="17"/>
  <c r="D32" i="17" s="1"/>
  <c r="B33" i="17"/>
  <c r="D33" i="17" s="1"/>
  <c r="B34" i="17"/>
  <c r="D34" i="17"/>
  <c r="B35" i="17"/>
  <c r="D35" i="17" s="1"/>
  <c r="B36" i="17"/>
  <c r="D36" i="17"/>
  <c r="B37" i="17"/>
  <c r="D37" i="17" s="1"/>
  <c r="F3" i="16"/>
  <c r="I3" i="16"/>
  <c r="A4" i="16"/>
  <c r="F4" i="16"/>
  <c r="I4" i="16"/>
  <c r="K4" i="16"/>
  <c r="A5" i="16"/>
  <c r="A6" i="16" s="1"/>
  <c r="A7" i="16" s="1"/>
  <c r="A8" i="16" s="1"/>
  <c r="A9" i="16"/>
  <c r="A10" i="16" s="1"/>
  <c r="A11" i="16" s="1"/>
  <c r="A12" i="16" s="1"/>
  <c r="A13" i="16" s="1"/>
  <c r="A14" i="16" s="1"/>
  <c r="A15" i="16" s="1"/>
  <c r="A16" i="16" s="1"/>
  <c r="A17" i="16"/>
  <c r="A18" i="16" s="1"/>
  <c r="A19" i="16" s="1"/>
  <c r="A20" i="16" s="1"/>
  <c r="A21" i="16" s="1"/>
  <c r="A22" i="16" s="1"/>
  <c r="A23" i="16" s="1"/>
  <c r="A24" i="16" s="1"/>
  <c r="F5" i="16"/>
  <c r="I5" i="16"/>
  <c r="K5" i="16"/>
  <c r="F6" i="16"/>
  <c r="I6" i="16"/>
  <c r="F7" i="16"/>
  <c r="I7" i="16"/>
  <c r="K7" i="16"/>
  <c r="F8" i="16"/>
  <c r="I8" i="16"/>
  <c r="K8" i="16"/>
  <c r="F9" i="16"/>
  <c r="I9" i="16"/>
  <c r="K9" i="16"/>
  <c r="F10" i="16"/>
  <c r="I10" i="16"/>
  <c r="K10" i="16" s="1"/>
  <c r="F11" i="16"/>
  <c r="I11" i="16"/>
  <c r="K11" i="16"/>
  <c r="F12" i="16"/>
  <c r="I12" i="16"/>
  <c r="K12" i="16"/>
  <c r="F13" i="16"/>
  <c r="I13" i="16"/>
  <c r="K13" i="16"/>
  <c r="F14" i="16"/>
  <c r="I14" i="16"/>
  <c r="K14" i="16" s="1"/>
  <c r="F15" i="16"/>
  <c r="I15" i="16"/>
  <c r="K15" i="16"/>
  <c r="F16" i="16"/>
  <c r="I16" i="16"/>
  <c r="K16" i="16"/>
  <c r="F17" i="16"/>
  <c r="I17" i="16"/>
  <c r="K17" i="16"/>
  <c r="F18" i="16"/>
  <c r="I18" i="16"/>
  <c r="K18" i="16" s="1"/>
  <c r="F19" i="16"/>
  <c r="I19" i="16"/>
  <c r="K19" i="16"/>
  <c r="F20" i="16"/>
  <c r="I20" i="16"/>
  <c r="K20" i="16"/>
  <c r="F21" i="16"/>
  <c r="I21" i="16"/>
  <c r="K21" i="16"/>
  <c r="F22" i="16"/>
  <c r="I22" i="16"/>
  <c r="K22" i="16" s="1"/>
  <c r="F23" i="16"/>
  <c r="I23" i="16"/>
  <c r="K23" i="16"/>
  <c r="F24" i="16"/>
  <c r="I24" i="16"/>
  <c r="K24" i="16"/>
  <c r="F25" i="16"/>
  <c r="I25" i="16"/>
  <c r="K25" i="16"/>
  <c r="F26" i="16"/>
  <c r="I26" i="16"/>
  <c r="K26" i="16" s="1"/>
  <c r="F27" i="16"/>
  <c r="I27" i="16"/>
  <c r="K27" i="16"/>
  <c r="F28" i="16"/>
  <c r="I28" i="16"/>
  <c r="K28" i="16"/>
  <c r="F29" i="16"/>
  <c r="I29" i="16"/>
  <c r="K29" i="16"/>
  <c r="F30" i="16"/>
  <c r="I30" i="16"/>
  <c r="K30" i="16" s="1"/>
  <c r="B42" i="16"/>
  <c r="D42" i="16"/>
  <c r="B43" i="16"/>
  <c r="D43" i="16" s="1"/>
  <c r="B44" i="16"/>
  <c r="D44" i="16"/>
  <c r="B45" i="16"/>
  <c r="D45" i="16" s="1"/>
  <c r="B46" i="16"/>
  <c r="D46" i="16"/>
  <c r="B59" i="16"/>
  <c r="D59" i="16" s="1"/>
  <c r="B60" i="16"/>
  <c r="D60" i="16"/>
  <c r="B61" i="16"/>
  <c r="D61" i="16" s="1"/>
  <c r="B70" i="16"/>
  <c r="D70" i="16"/>
  <c r="B71" i="16"/>
  <c r="D71" i="16" s="1"/>
  <c r="B72" i="16"/>
  <c r="D72" i="16"/>
  <c r="B73" i="16"/>
  <c r="D73" i="16" s="1"/>
  <c r="B74" i="16"/>
  <c r="D74" i="16"/>
  <c r="B87" i="16"/>
  <c r="D87" i="16" s="1"/>
  <c r="B88" i="16"/>
  <c r="D88" i="16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D29" i="11"/>
  <c r="E29" i="11"/>
  <c r="D44" i="11"/>
  <c r="B45" i="11"/>
  <c r="D45" i="11"/>
  <c r="B92" i="11"/>
  <c r="D92" i="11" s="1"/>
  <c r="B94" i="11"/>
  <c r="D94" i="11"/>
  <c r="B95" i="11"/>
  <c r="D95" i="11" s="1"/>
  <c r="B142" i="11"/>
  <c r="D142" i="11"/>
  <c r="B143" i="11"/>
  <c r="D143" i="11" s="1"/>
  <c r="B144" i="11"/>
  <c r="D144" i="11"/>
  <c r="B145" i="11"/>
  <c r="D145" i="11" s="1"/>
  <c r="B146" i="11"/>
  <c r="D146" i="11"/>
  <c r="B147" i="11"/>
  <c r="D147" i="11" s="1"/>
  <c r="B148" i="11"/>
  <c r="D148" i="11"/>
  <c r="G3" i="10"/>
  <c r="B17" i="10"/>
  <c r="D17" i="10"/>
  <c r="B18" i="10"/>
  <c r="D18" i="10"/>
  <c r="B19" i="10"/>
  <c r="D19" i="10"/>
  <c r="B20" i="10"/>
  <c r="D20" i="10"/>
  <c r="B33" i="10"/>
  <c r="D33" i="10"/>
  <c r="H33" i="10"/>
  <c r="B14" i="29"/>
  <c r="B34" i="10"/>
  <c r="D34" i="10"/>
  <c r="H34" i="10"/>
  <c r="C14" i="29"/>
  <c r="B35" i="10"/>
  <c r="D35" i="10"/>
  <c r="H35" i="10"/>
  <c r="D14" i="29"/>
  <c r="B36" i="10"/>
  <c r="D36" i="10"/>
  <c r="B58" i="10"/>
  <c r="D58" i="10"/>
  <c r="B59" i="10"/>
  <c r="D59" i="10"/>
  <c r="B60" i="10"/>
  <c r="D60" i="10"/>
  <c r="B61" i="10"/>
  <c r="D61" i="10"/>
  <c r="B74" i="10"/>
  <c r="D74" i="10"/>
  <c r="H74" i="10"/>
  <c r="B75" i="10"/>
  <c r="D75" i="10"/>
  <c r="H75" i="10"/>
  <c r="B76" i="10"/>
  <c r="D76" i="10"/>
  <c r="H76" i="10"/>
  <c r="B77" i="10"/>
  <c r="D77" i="10"/>
  <c r="F43" i="10"/>
  <c r="G14" i="32"/>
  <c r="H35" i="17"/>
  <c r="H33" i="17"/>
  <c r="H31" i="17"/>
  <c r="H29" i="17"/>
  <c r="E14" i="32" s="1"/>
  <c r="H27" i="17"/>
  <c r="C14" i="32" s="1"/>
  <c r="H25" i="17"/>
  <c r="E29" i="29" s="1"/>
  <c r="H23" i="17"/>
  <c r="C29" i="29" s="1"/>
  <c r="H21" i="17"/>
  <c r="H19" i="17"/>
  <c r="H17" i="17"/>
  <c r="F16" i="17"/>
  <c r="F17" i="17" s="1"/>
  <c r="G29" i="29"/>
  <c r="H34" i="17"/>
  <c r="H32" i="17"/>
  <c r="H30" i="17"/>
  <c r="H28" i="17"/>
  <c r="D14" i="32" s="1"/>
  <c r="H26" i="17"/>
  <c r="B14" i="32" s="1"/>
  <c r="H24" i="17"/>
  <c r="D29" i="29"/>
  <c r="H22" i="17"/>
  <c r="B29" i="29"/>
  <c r="H20" i="17"/>
  <c r="H18" i="17"/>
  <c r="H16" i="17"/>
  <c r="J10" i="10"/>
  <c r="F11" i="10" s="1"/>
  <c r="G11" i="10" s="1"/>
  <c r="G4" i="32"/>
  <c r="G19" i="29"/>
  <c r="H72" i="10"/>
  <c r="H70" i="10"/>
  <c r="H69" i="10"/>
  <c r="H67" i="10"/>
  <c r="H65" i="10"/>
  <c r="H63" i="10"/>
  <c r="H61" i="10"/>
  <c r="H59" i="10"/>
  <c r="H56" i="10"/>
  <c r="H156" i="11"/>
  <c r="H154" i="11"/>
  <c r="H152" i="11"/>
  <c r="H150" i="11"/>
  <c r="H148" i="11"/>
  <c r="H146" i="11"/>
  <c r="H144" i="11"/>
  <c r="F36" i="11"/>
  <c r="H52" i="11"/>
  <c r="H56" i="11"/>
  <c r="H47" i="11"/>
  <c r="H51" i="11"/>
  <c r="H55" i="11"/>
  <c r="H59" i="11"/>
  <c r="C19" i="29" s="1"/>
  <c r="H62" i="11"/>
  <c r="B4" i="32" s="1"/>
  <c r="F4" i="32" s="1"/>
  <c r="H35" i="42"/>
  <c r="H10" i="42"/>
  <c r="F10" i="42"/>
  <c r="G10" i="42" s="1"/>
  <c r="B20" i="32"/>
  <c r="F11" i="42"/>
  <c r="E71" i="10"/>
  <c r="E30" i="10"/>
  <c r="E72" i="10"/>
  <c r="E73" i="10" s="1"/>
  <c r="E74" i="10"/>
  <c r="E75" i="10" s="1"/>
  <c r="E76" i="10" s="1"/>
  <c r="E77" i="10" s="1"/>
  <c r="E31" i="10"/>
  <c r="E32" i="10" s="1"/>
  <c r="G24" i="29"/>
  <c r="G9" i="32"/>
  <c r="G27" i="24"/>
  <c r="D111" i="16"/>
  <c r="D119" i="16"/>
  <c r="D125" i="16"/>
  <c r="D126" i="16"/>
  <c r="K3" i="16"/>
  <c r="F31" i="16"/>
  <c r="K31" i="16"/>
  <c r="G66" i="16"/>
  <c r="J66" i="16"/>
  <c r="F67" i="16"/>
  <c r="G67" i="16" s="1"/>
  <c r="E111" i="16"/>
  <c r="G43" i="10"/>
  <c r="H142" i="11"/>
  <c r="H140" i="11"/>
  <c r="H145" i="11"/>
  <c r="H149" i="11"/>
  <c r="H153" i="11"/>
  <c r="H68" i="10"/>
  <c r="H64" i="10"/>
  <c r="E33" i="10"/>
  <c r="E34" i="10" s="1"/>
  <c r="E35" i="10" s="1"/>
  <c r="E36" i="10" s="1"/>
  <c r="J43" i="10"/>
  <c r="F44" i="10" s="1"/>
  <c r="J67" i="16"/>
  <c r="F68" i="16" s="1"/>
  <c r="J11" i="10"/>
  <c r="F12" i="10"/>
  <c r="H50" i="11"/>
  <c r="H48" i="11"/>
  <c r="H46" i="11"/>
  <c r="F29" i="11"/>
  <c r="F32" i="16"/>
  <c r="H32" i="16"/>
  <c r="E112" i="16" s="1"/>
  <c r="H33" i="16"/>
  <c r="H20" i="10"/>
  <c r="H18" i="10"/>
  <c r="H15" i="10"/>
  <c r="H32" i="10"/>
  <c r="H31" i="10"/>
  <c r="H30" i="10"/>
  <c r="J32" i="16"/>
  <c r="G11" i="42"/>
  <c r="C20" i="32" s="1"/>
  <c r="K16" i="15"/>
  <c r="K24" i="15"/>
  <c r="K28" i="15"/>
  <c r="H30" i="15"/>
  <c r="K30" i="15" s="1"/>
  <c r="G29" i="24"/>
  <c r="H30" i="24" s="1"/>
  <c r="G36" i="24"/>
  <c r="G30" i="24"/>
  <c r="H36" i="24"/>
  <c r="H37" i="24"/>
  <c r="H38" i="24" s="1"/>
  <c r="H39" i="24" s="1"/>
  <c r="J36" i="24"/>
  <c r="F37" i="24" s="1"/>
  <c r="H11" i="42"/>
  <c r="B19" i="32"/>
  <c r="C19" i="32"/>
  <c r="H12" i="42"/>
  <c r="F13" i="42" s="1"/>
  <c r="F12" i="42"/>
  <c r="D19" i="32"/>
  <c r="H13" i="42"/>
  <c r="G12" i="42"/>
  <c r="D20" i="32" s="1"/>
  <c r="G13" i="42"/>
  <c r="E20" i="32"/>
  <c r="H112" i="11"/>
  <c r="H95" i="11"/>
  <c r="H101" i="11"/>
  <c r="H103" i="11"/>
  <c r="H105" i="11"/>
  <c r="H107" i="11"/>
  <c r="G35" i="42"/>
  <c r="B21" i="32" s="1"/>
  <c r="Q34" i="15" l="1"/>
  <c r="M34" i="15" s="1"/>
  <c r="M32" i="15" s="1"/>
  <c r="N32" i="15" s="1"/>
  <c r="N30" i="15" s="1"/>
  <c r="H69" i="15"/>
  <c r="H70" i="15" s="1"/>
  <c r="H71" i="15" s="1"/>
  <c r="H72" i="15" s="1"/>
  <c r="H73" i="15" s="1"/>
  <c r="H74" i="15" s="1"/>
  <c r="H75" i="15" s="1"/>
  <c r="H76" i="15" s="1"/>
  <c r="H77" i="15" s="1"/>
  <c r="H67" i="15"/>
  <c r="G65" i="15"/>
  <c r="J65" i="15" s="1"/>
  <c r="F66" i="15" s="1"/>
  <c r="K4" i="15"/>
  <c r="K12" i="15"/>
  <c r="K13" i="15"/>
  <c r="K3" i="15"/>
  <c r="H32" i="15"/>
  <c r="G4" i="29" s="1"/>
  <c r="K8" i="15"/>
  <c r="K10" i="15"/>
  <c r="F30" i="15"/>
  <c r="F32" i="15" s="1"/>
  <c r="K14" i="15"/>
  <c r="K17" i="15"/>
  <c r="K19" i="15"/>
  <c r="K21" i="15"/>
  <c r="K23" i="15"/>
  <c r="K7" i="15"/>
  <c r="K6" i="15"/>
  <c r="K9" i="15"/>
  <c r="K11" i="15"/>
  <c r="F14" i="32"/>
  <c r="F14" i="29"/>
  <c r="F29" i="29"/>
  <c r="H36" i="42"/>
  <c r="F36" i="42"/>
  <c r="H19" i="32"/>
  <c r="E19" i="32"/>
  <c r="H14" i="42"/>
  <c r="H15" i="42" s="1"/>
  <c r="H16" i="42" s="1"/>
  <c r="H17" i="42" s="1"/>
  <c r="H18" i="42" s="1"/>
  <c r="H19" i="42" s="1"/>
  <c r="H20" i="42" s="1"/>
  <c r="H21" i="42" s="1"/>
  <c r="H22" i="42" s="1"/>
  <c r="H23" i="42" s="1"/>
  <c r="H24" i="42" s="1"/>
  <c r="H25" i="42" s="1"/>
  <c r="H26" i="42" s="1"/>
  <c r="H27" i="42" s="1"/>
  <c r="H28" i="42" s="1"/>
  <c r="H29" i="42" s="1"/>
  <c r="F39" i="15"/>
  <c r="H34" i="15"/>
  <c r="G37" i="24"/>
  <c r="J37" i="24"/>
  <c r="F38" i="24" s="1"/>
  <c r="F14" i="42"/>
  <c r="H40" i="24"/>
  <c r="B24" i="29"/>
  <c r="H41" i="24"/>
  <c r="D24" i="29" s="1"/>
  <c r="G12" i="10"/>
  <c r="J12" i="10"/>
  <c r="F13" i="10" s="1"/>
  <c r="G44" i="10"/>
  <c r="F39" i="16"/>
  <c r="G9" i="29"/>
  <c r="G34" i="29" s="1"/>
  <c r="H40" i="16"/>
  <c r="F20" i="32"/>
  <c r="K6" i="16"/>
  <c r="K32" i="16" s="1"/>
  <c r="I32" i="16"/>
  <c r="H80" i="16"/>
  <c r="H81" i="16" s="1"/>
  <c r="H82" i="16" s="1"/>
  <c r="H83" i="16" s="1"/>
  <c r="H84" i="16" s="1"/>
  <c r="H85" i="16" s="1"/>
  <c r="H86" i="16" s="1"/>
  <c r="H87" i="16" s="1"/>
  <c r="H79" i="16"/>
  <c r="H51" i="16"/>
  <c r="H52" i="16"/>
  <c r="H53" i="16" s="1"/>
  <c r="H54" i="16" s="1"/>
  <c r="H55" i="16" s="1"/>
  <c r="H56" i="16" s="1"/>
  <c r="H57" i="16" s="1"/>
  <c r="H58" i="16" s="1"/>
  <c r="H59" i="16" s="1"/>
  <c r="J68" i="16"/>
  <c r="G68" i="16"/>
  <c r="G69" i="16" s="1"/>
  <c r="H29" i="29"/>
  <c r="I29" i="29" s="1"/>
  <c r="F18" i="17"/>
  <c r="H14" i="32"/>
  <c r="I14" i="32" s="1"/>
  <c r="G36" i="11"/>
  <c r="H54" i="11"/>
  <c r="H60" i="11"/>
  <c r="D19" i="29" s="1"/>
  <c r="H45" i="11"/>
  <c r="H53" i="11"/>
  <c r="H44" i="11"/>
  <c r="H58" i="11"/>
  <c r="B19" i="29" s="1"/>
  <c r="H61" i="11"/>
  <c r="E19" i="29" s="1"/>
  <c r="H49" i="11"/>
  <c r="H63" i="11" s="1"/>
  <c r="H57" i="11"/>
  <c r="H96" i="11"/>
  <c r="H100" i="11"/>
  <c r="H108" i="11"/>
  <c r="H110" i="11"/>
  <c r="H94" i="11"/>
  <c r="H102" i="11"/>
  <c r="H109" i="11"/>
  <c r="H97" i="11"/>
  <c r="H104" i="11"/>
  <c r="H98" i="11"/>
  <c r="H106" i="11"/>
  <c r="H99" i="11"/>
  <c r="G17" i="17"/>
  <c r="G117" i="11"/>
  <c r="H60" i="10"/>
  <c r="H66" i="10"/>
  <c r="H71" i="10"/>
  <c r="H58" i="10"/>
  <c r="H155" i="11"/>
  <c r="H151" i="11"/>
  <c r="J117" i="11"/>
  <c r="F118" i="11" s="1"/>
  <c r="H143" i="11"/>
  <c r="H68" i="16"/>
  <c r="H26" i="10"/>
  <c r="H22" i="10"/>
  <c r="H14" i="29" s="1"/>
  <c r="I14" i="29" s="1"/>
  <c r="G68" i="11"/>
  <c r="G16" i="17"/>
  <c r="J33" i="15"/>
  <c r="J34" i="15" s="1"/>
  <c r="H42" i="24"/>
  <c r="K5" i="15"/>
  <c r="F62" i="24"/>
  <c r="G66" i="15" l="1"/>
  <c r="J66" i="15"/>
  <c r="F67" i="15" s="1"/>
  <c r="G67" i="15" s="1"/>
  <c r="G68" i="15" s="1"/>
  <c r="I80" i="15" s="1"/>
  <c r="K32" i="15"/>
  <c r="F19" i="29"/>
  <c r="J36" i="11"/>
  <c r="F37" i="11" s="1"/>
  <c r="G18" i="17"/>
  <c r="J18" i="17"/>
  <c r="F19" i="17"/>
  <c r="H60" i="16"/>
  <c r="C9" i="29" s="1"/>
  <c r="B9" i="29"/>
  <c r="H88" i="16"/>
  <c r="H42" i="16"/>
  <c r="H43" i="16" s="1"/>
  <c r="H44" i="16" s="1"/>
  <c r="H45" i="16" s="1"/>
  <c r="H46" i="16" s="1"/>
  <c r="H47" i="16" s="1"/>
  <c r="H48" i="16" s="1"/>
  <c r="H49" i="16" s="1"/>
  <c r="H50" i="16" s="1"/>
  <c r="H9" i="29"/>
  <c r="I9" i="29" s="1"/>
  <c r="D34" i="29"/>
  <c r="I75" i="15"/>
  <c r="I71" i="15"/>
  <c r="I69" i="15"/>
  <c r="I76" i="15"/>
  <c r="G118" i="11"/>
  <c r="J118" i="11" s="1"/>
  <c r="F119" i="11" s="1"/>
  <c r="J44" i="10"/>
  <c r="F45" i="10" s="1"/>
  <c r="H53" i="15"/>
  <c r="H54" i="15" s="1"/>
  <c r="H55" i="15" s="1"/>
  <c r="H56" i="15" s="1"/>
  <c r="H57" i="15" s="1"/>
  <c r="H58" i="15" s="1"/>
  <c r="H59" i="15" s="1"/>
  <c r="H60" i="15" s="1"/>
  <c r="B4" i="29" s="1"/>
  <c r="F4" i="29" s="1"/>
  <c r="G36" i="42"/>
  <c r="C21" i="32" s="1"/>
  <c r="F37" i="42"/>
  <c r="H88" i="24"/>
  <c r="H89" i="24"/>
  <c r="H72" i="24"/>
  <c r="H90" i="24"/>
  <c r="H79" i="24"/>
  <c r="H80" i="24"/>
  <c r="H81" i="24"/>
  <c r="H82" i="24"/>
  <c r="H86" i="24"/>
  <c r="H74" i="24"/>
  <c r="H87" i="24"/>
  <c r="H73" i="24"/>
  <c r="H84" i="24"/>
  <c r="H83" i="24"/>
  <c r="H77" i="24"/>
  <c r="H76" i="24"/>
  <c r="H70" i="24"/>
  <c r="H75" i="24"/>
  <c r="H78" i="24"/>
  <c r="H85" i="24"/>
  <c r="J62" i="24"/>
  <c r="F63" i="24" s="1"/>
  <c r="E24" i="29"/>
  <c r="E34" i="29" s="1"/>
  <c r="H43" i="24"/>
  <c r="J68" i="11"/>
  <c r="F69" i="11" s="1"/>
  <c r="G62" i="24"/>
  <c r="G39" i="16"/>
  <c r="J39" i="16" s="1"/>
  <c r="F40" i="16" s="1"/>
  <c r="G13" i="10"/>
  <c r="J13" i="10" s="1"/>
  <c r="F14" i="10" s="1"/>
  <c r="H24" i="29"/>
  <c r="I24" i="29" s="1"/>
  <c r="C24" i="29"/>
  <c r="G38" i="24"/>
  <c r="J38" i="24"/>
  <c r="F39" i="24" s="1"/>
  <c r="H48" i="15"/>
  <c r="H49" i="15"/>
  <c r="H41" i="15"/>
  <c r="H46" i="15"/>
  <c r="H47" i="15"/>
  <c r="G39" i="15"/>
  <c r="J39" i="15" s="1"/>
  <c r="F40" i="15" s="1"/>
  <c r="H44" i="15"/>
  <c r="H45" i="15"/>
  <c r="H51" i="15"/>
  <c r="H52" i="15" s="1"/>
  <c r="H43" i="15"/>
  <c r="H50" i="15"/>
  <c r="F19" i="32"/>
  <c r="H37" i="42"/>
  <c r="H79" i="15"/>
  <c r="H80" i="15" s="1"/>
  <c r="H81" i="15" s="1"/>
  <c r="H82" i="15" s="1"/>
  <c r="H83" i="15" s="1"/>
  <c r="H84" i="15" s="1"/>
  <c r="H85" i="15" s="1"/>
  <c r="H86" i="15" s="1"/>
  <c r="H78" i="15"/>
  <c r="H70" i="16"/>
  <c r="H4" i="32"/>
  <c r="I4" i="32" s="1"/>
  <c r="H19" i="29"/>
  <c r="I71" i="16"/>
  <c r="I75" i="16"/>
  <c r="I78" i="16"/>
  <c r="I85" i="16"/>
  <c r="I76" i="16"/>
  <c r="I86" i="16"/>
  <c r="I73" i="16"/>
  <c r="I88" i="16"/>
  <c r="I79" i="16"/>
  <c r="J82" i="16" s="1"/>
  <c r="I74" i="16"/>
  <c r="I72" i="16"/>
  <c r="I82" i="16"/>
  <c r="I83" i="16"/>
  <c r="J86" i="16" s="1"/>
  <c r="I70" i="16"/>
  <c r="I81" i="16"/>
  <c r="I84" i="16"/>
  <c r="I68" i="16"/>
  <c r="F70" i="16" s="1"/>
  <c r="G70" i="16" s="1"/>
  <c r="I87" i="16"/>
  <c r="I80" i="16"/>
  <c r="I77" i="16"/>
  <c r="F15" i="42"/>
  <c r="G14" i="42"/>
  <c r="I19" i="32"/>
  <c r="I86" i="15" l="1"/>
  <c r="I77" i="15"/>
  <c r="I79" i="15"/>
  <c r="I81" i="15"/>
  <c r="I83" i="15"/>
  <c r="I73" i="15"/>
  <c r="I67" i="15"/>
  <c r="J67" i="15" s="1"/>
  <c r="I70" i="15"/>
  <c r="F81" i="15" s="1"/>
  <c r="G81" i="15" s="1"/>
  <c r="I74" i="15"/>
  <c r="I72" i="15"/>
  <c r="F78" i="15" s="1"/>
  <c r="G78" i="15" s="1"/>
  <c r="I85" i="15"/>
  <c r="I78" i="15"/>
  <c r="I82" i="15"/>
  <c r="I84" i="15"/>
  <c r="G119" i="11"/>
  <c r="J119" i="11" s="1"/>
  <c r="F120" i="11" s="1"/>
  <c r="G40" i="16"/>
  <c r="G14" i="10"/>
  <c r="G39" i="24"/>
  <c r="B25" i="29" s="1"/>
  <c r="J39" i="24"/>
  <c r="F40" i="24" s="1"/>
  <c r="B9" i="32"/>
  <c r="H44" i="24"/>
  <c r="J63" i="24"/>
  <c r="F64" i="24" s="1"/>
  <c r="G63" i="24"/>
  <c r="F74" i="15"/>
  <c r="G74" i="15" s="1"/>
  <c r="I19" i="29"/>
  <c r="C34" i="29"/>
  <c r="B34" i="29"/>
  <c r="G69" i="11"/>
  <c r="J69" i="11"/>
  <c r="F70" i="11" s="1"/>
  <c r="F38" i="42"/>
  <c r="G37" i="42"/>
  <c r="D21" i="32" s="1"/>
  <c r="F24" i="29"/>
  <c r="F69" i="15"/>
  <c r="G69" i="15" s="1"/>
  <c r="F86" i="15"/>
  <c r="G86" i="15" s="1"/>
  <c r="B6" i="29" s="1"/>
  <c r="F6" i="29" s="1"/>
  <c r="G15" i="42"/>
  <c r="F16" i="42"/>
  <c r="J78" i="16"/>
  <c r="H38" i="42"/>
  <c r="G41" i="16"/>
  <c r="F72" i="15"/>
  <c r="G72" i="15" s="1"/>
  <c r="H62" i="16"/>
  <c r="F9" i="29"/>
  <c r="F20" i="17"/>
  <c r="G19" i="17"/>
  <c r="H71" i="16"/>
  <c r="F71" i="16"/>
  <c r="G71" i="16" s="1"/>
  <c r="F72" i="16"/>
  <c r="G72" i="16" s="1"/>
  <c r="G45" i="10"/>
  <c r="G40" i="15"/>
  <c r="J40" i="15" s="1"/>
  <c r="F41" i="15" s="1"/>
  <c r="H4" i="29"/>
  <c r="I4" i="29" s="1"/>
  <c r="H61" i="15"/>
  <c r="F70" i="15"/>
  <c r="G70" i="15" s="1"/>
  <c r="F71" i="15"/>
  <c r="G71" i="15" s="1"/>
  <c r="G37" i="11"/>
  <c r="F73" i="15" l="1"/>
  <c r="G73" i="15" s="1"/>
  <c r="F84" i="15"/>
  <c r="G84" i="15" s="1"/>
  <c r="F79" i="15"/>
  <c r="G79" i="15" s="1"/>
  <c r="F87" i="15"/>
  <c r="G87" i="15" s="1"/>
  <c r="F82" i="15"/>
  <c r="G82" i="15" s="1"/>
  <c r="F77" i="15"/>
  <c r="G77" i="15" s="1"/>
  <c r="F83" i="15"/>
  <c r="G83" i="15" s="1"/>
  <c r="F75" i="15"/>
  <c r="G75" i="15" s="1"/>
  <c r="F80" i="15"/>
  <c r="G80" i="15" s="1"/>
  <c r="F85" i="15"/>
  <c r="G85" i="15" s="1"/>
  <c r="F76" i="15"/>
  <c r="G76" i="15" s="1"/>
  <c r="G120" i="11"/>
  <c r="J120" i="11"/>
  <c r="F121" i="11" s="1"/>
  <c r="I40" i="16"/>
  <c r="J40" i="16" s="1"/>
  <c r="I58" i="16"/>
  <c r="I46" i="16"/>
  <c r="F48" i="16" s="1"/>
  <c r="G48" i="16" s="1"/>
  <c r="I57" i="16"/>
  <c r="I49" i="16"/>
  <c r="I43" i="16"/>
  <c r="I51" i="16"/>
  <c r="I60" i="16"/>
  <c r="I52" i="16"/>
  <c r="I50" i="16"/>
  <c r="I59" i="16"/>
  <c r="I47" i="16"/>
  <c r="I55" i="16"/>
  <c r="I42" i="16"/>
  <c r="I53" i="16"/>
  <c r="I44" i="16"/>
  <c r="I54" i="16"/>
  <c r="I56" i="16"/>
  <c r="I48" i="16"/>
  <c r="I45" i="16"/>
  <c r="F47" i="16"/>
  <c r="G47" i="16" s="1"/>
  <c r="F45" i="16"/>
  <c r="G45" i="16" s="1"/>
  <c r="F53" i="16"/>
  <c r="G53" i="16" s="1"/>
  <c r="F44" i="16"/>
  <c r="G44" i="16" s="1"/>
  <c r="F56" i="16"/>
  <c r="G56" i="16" s="1"/>
  <c r="F50" i="16"/>
  <c r="G50" i="16" s="1"/>
  <c r="F42" i="16"/>
  <c r="G42" i="16" s="1"/>
  <c r="F43" i="16"/>
  <c r="G43" i="16" s="1"/>
  <c r="F46" i="16"/>
  <c r="G46" i="16" s="1"/>
  <c r="G70" i="11"/>
  <c r="J70" i="11"/>
  <c r="F71" i="11" s="1"/>
  <c r="H45" i="24"/>
  <c r="C9" i="32"/>
  <c r="G41" i="15"/>
  <c r="G42" i="15" s="1"/>
  <c r="J37" i="11"/>
  <c r="F38" i="11" s="1"/>
  <c r="J45" i="10"/>
  <c r="F46" i="10" s="1"/>
  <c r="H72" i="16"/>
  <c r="F21" i="17"/>
  <c r="G20" i="17"/>
  <c r="G38" i="42"/>
  <c r="E21" i="32" s="1"/>
  <c r="F39" i="42"/>
  <c r="F34" i="29"/>
  <c r="H34" i="29"/>
  <c r="I34" i="29" s="1"/>
  <c r="J40" i="24"/>
  <c r="F41" i="24" s="1"/>
  <c r="G40" i="24"/>
  <c r="C25" i="29" s="1"/>
  <c r="H39" i="42"/>
  <c r="H40" i="42" s="1"/>
  <c r="H41" i="42" s="1"/>
  <c r="H42" i="42" s="1"/>
  <c r="H43" i="42" s="1"/>
  <c r="H44" i="42" s="1"/>
  <c r="H45" i="42" s="1"/>
  <c r="H46" i="42" s="1"/>
  <c r="H47" i="42" s="1"/>
  <c r="H48" i="42" s="1"/>
  <c r="H49" i="42" s="1"/>
  <c r="H50" i="42" s="1"/>
  <c r="H51" i="42" s="1"/>
  <c r="H52" i="42" s="1"/>
  <c r="H53" i="42" s="1"/>
  <c r="H54" i="42" s="1"/>
  <c r="G16" i="42"/>
  <c r="F17" i="42"/>
  <c r="G64" i="24"/>
  <c r="J14" i="10"/>
  <c r="F15" i="10" s="1"/>
  <c r="I59" i="15" l="1"/>
  <c r="I51" i="15"/>
  <c r="I43" i="15"/>
  <c r="I54" i="15"/>
  <c r="I46" i="15"/>
  <c r="I41" i="15"/>
  <c r="F54" i="15" s="1"/>
  <c r="G54" i="15" s="1"/>
  <c r="I53" i="15"/>
  <c r="I60" i="15"/>
  <c r="I50" i="15"/>
  <c r="I49" i="15"/>
  <c r="I58" i="15"/>
  <c r="I48" i="15"/>
  <c r="I57" i="15"/>
  <c r="I47" i="15"/>
  <c r="I56" i="15"/>
  <c r="I44" i="15"/>
  <c r="I55" i="15"/>
  <c r="I45" i="15"/>
  <c r="I52" i="15"/>
  <c r="G121" i="11"/>
  <c r="J121" i="11" s="1"/>
  <c r="F122" i="11" s="1"/>
  <c r="G15" i="10"/>
  <c r="G16" i="10" s="1"/>
  <c r="G38" i="11"/>
  <c r="D9" i="32"/>
  <c r="G71" i="11"/>
  <c r="J71" i="11" s="1"/>
  <c r="F72" i="11" s="1"/>
  <c r="F60" i="16"/>
  <c r="G60" i="16" s="1"/>
  <c r="C10" i="29" s="1"/>
  <c r="F59" i="16"/>
  <c r="G59" i="16" s="1"/>
  <c r="B10" i="29" s="1"/>
  <c r="F51" i="16"/>
  <c r="G51" i="16" s="1"/>
  <c r="J41" i="24"/>
  <c r="F42" i="24" s="1"/>
  <c r="G41" i="24"/>
  <c r="D25" i="29" s="1"/>
  <c r="F52" i="16"/>
  <c r="G52" i="16" s="1"/>
  <c r="F58" i="16"/>
  <c r="G58" i="16" s="1"/>
  <c r="F21" i="32"/>
  <c r="G17" i="42"/>
  <c r="F18" i="42"/>
  <c r="H73" i="16"/>
  <c r="F74" i="16"/>
  <c r="G74" i="16" s="1"/>
  <c r="F73" i="16"/>
  <c r="G73" i="16" s="1"/>
  <c r="G46" i="10"/>
  <c r="J46" i="10" s="1"/>
  <c r="F47" i="10" s="1"/>
  <c r="J64" i="24"/>
  <c r="F65" i="24" s="1"/>
  <c r="F40" i="42"/>
  <c r="G39" i="42"/>
  <c r="F22" i="17"/>
  <c r="G21" i="17"/>
  <c r="F57" i="16"/>
  <c r="G57" i="16" s="1"/>
  <c r="F49" i="16"/>
  <c r="G49" i="16" s="1"/>
  <c r="F61" i="16"/>
  <c r="G61" i="16" s="1"/>
  <c r="F54" i="16"/>
  <c r="G54" i="16" s="1"/>
  <c r="F55" i="16"/>
  <c r="G55" i="16" s="1"/>
  <c r="F46" i="15" l="1"/>
  <c r="G46" i="15" s="1"/>
  <c r="F43" i="15"/>
  <c r="G43" i="15" s="1"/>
  <c r="F60" i="15"/>
  <c r="G60" i="15" s="1"/>
  <c r="B5" i="29" s="1"/>
  <c r="F5" i="29" s="1"/>
  <c r="F50" i="15"/>
  <c r="G50" i="15" s="1"/>
  <c r="F53" i="15"/>
  <c r="G53" i="15" s="1"/>
  <c r="F45" i="15"/>
  <c r="G45" i="15" s="1"/>
  <c r="F51" i="15"/>
  <c r="G51" i="15" s="1"/>
  <c r="F47" i="15"/>
  <c r="G47" i="15" s="1"/>
  <c r="G122" i="11"/>
  <c r="J122" i="11" s="1"/>
  <c r="F123" i="11" s="1"/>
  <c r="G47" i="10"/>
  <c r="J47" i="10" s="1"/>
  <c r="F48" i="10" s="1"/>
  <c r="G72" i="11"/>
  <c r="J72" i="11" s="1"/>
  <c r="F73" i="11" s="1"/>
  <c r="G40" i="42"/>
  <c r="F41" i="42"/>
  <c r="I15" i="10"/>
  <c r="I23" i="10"/>
  <c r="I18" i="10"/>
  <c r="F31" i="10" s="1"/>
  <c r="G31" i="10" s="1"/>
  <c r="I20" i="10"/>
  <c r="I21" i="10"/>
  <c r="I26" i="10"/>
  <c r="I33" i="10"/>
  <c r="I27" i="10"/>
  <c r="I22" i="10"/>
  <c r="I29" i="10"/>
  <c r="F19" i="10"/>
  <c r="G19" i="10" s="1"/>
  <c r="I19" i="10"/>
  <c r="F23" i="10" s="1"/>
  <c r="G23" i="10" s="1"/>
  <c r="I34" i="10"/>
  <c r="I30" i="10"/>
  <c r="I17" i="10"/>
  <c r="F22" i="10" s="1"/>
  <c r="G22" i="10" s="1"/>
  <c r="I25" i="10"/>
  <c r="I31" i="10"/>
  <c r="F18" i="10"/>
  <c r="G18" i="10" s="1"/>
  <c r="I32" i="10"/>
  <c r="F21" i="10"/>
  <c r="G21" i="10" s="1"/>
  <c r="F17" i="10"/>
  <c r="G17" i="10" s="1"/>
  <c r="I35" i="10"/>
  <c r="I24" i="10"/>
  <c r="I28" i="10"/>
  <c r="F10" i="29"/>
  <c r="F56" i="15"/>
  <c r="G56" i="15" s="1"/>
  <c r="F49" i="15"/>
  <c r="G49" i="15" s="1"/>
  <c r="F57" i="15"/>
  <c r="G57" i="15" s="1"/>
  <c r="F58" i="15"/>
  <c r="G58" i="15" s="1"/>
  <c r="F23" i="17"/>
  <c r="G22" i="17"/>
  <c r="B30" i="29" s="1"/>
  <c r="G18" i="42"/>
  <c r="F19" i="42"/>
  <c r="J38" i="11"/>
  <c r="F39" i="11" s="1"/>
  <c r="F59" i="15"/>
  <c r="G59" i="15" s="1"/>
  <c r="F55" i="15"/>
  <c r="G55" i="15" s="1"/>
  <c r="F44" i="15"/>
  <c r="G44" i="15" s="1"/>
  <c r="G65" i="24"/>
  <c r="J65" i="24"/>
  <c r="F66" i="24" s="1"/>
  <c r="H74" i="16"/>
  <c r="G42" i="24"/>
  <c r="E25" i="29" s="1"/>
  <c r="J42" i="24"/>
  <c r="F43" i="24" s="1"/>
  <c r="J15" i="10"/>
  <c r="F48" i="15"/>
  <c r="G48" i="15" s="1"/>
  <c r="F52" i="15"/>
  <c r="G52" i="15" s="1"/>
  <c r="I61" i="15"/>
  <c r="J41" i="15"/>
  <c r="G48" i="10" l="1"/>
  <c r="J48" i="10"/>
  <c r="F49" i="10" s="1"/>
  <c r="G73" i="11"/>
  <c r="J73" i="11" s="1"/>
  <c r="F74" i="11" s="1"/>
  <c r="G123" i="11"/>
  <c r="J123" i="11" s="1"/>
  <c r="F124" i="11" s="1"/>
  <c r="F24" i="17"/>
  <c r="G23" i="17"/>
  <c r="C30" i="29" s="1"/>
  <c r="F33" i="10"/>
  <c r="G33" i="10" s="1"/>
  <c r="B15" i="29" s="1"/>
  <c r="F34" i="10"/>
  <c r="G34" i="10" s="1"/>
  <c r="C15" i="29" s="1"/>
  <c r="F28" i="10"/>
  <c r="G28" i="10" s="1"/>
  <c r="F35" i="10"/>
  <c r="G35" i="10" s="1"/>
  <c r="D15" i="29" s="1"/>
  <c r="H75" i="16"/>
  <c r="F75" i="16"/>
  <c r="G75" i="16" s="1"/>
  <c r="G39" i="11"/>
  <c r="J39" i="11" s="1"/>
  <c r="F40" i="11" s="1"/>
  <c r="F32" i="10"/>
  <c r="G32" i="10" s="1"/>
  <c r="F29" i="10"/>
  <c r="G29" i="10" s="1"/>
  <c r="F25" i="10"/>
  <c r="G25" i="10" s="1"/>
  <c r="F27" i="10"/>
  <c r="G27" i="10" s="1"/>
  <c r="G41" i="42"/>
  <c r="F42" i="42"/>
  <c r="G43" i="24"/>
  <c r="B10" i="32" s="1"/>
  <c r="J43" i="24"/>
  <c r="F44" i="24" s="1"/>
  <c r="G66" i="24"/>
  <c r="J66" i="24" s="1"/>
  <c r="F67" i="24" s="1"/>
  <c r="F25" i="29"/>
  <c r="F20" i="42"/>
  <c r="G19" i="42"/>
  <c r="F30" i="10"/>
  <c r="G30" i="10" s="1"/>
  <c r="F20" i="10"/>
  <c r="G20" i="10" s="1"/>
  <c r="F24" i="10"/>
  <c r="G24" i="10" s="1"/>
  <c r="F26" i="10"/>
  <c r="G26" i="10" s="1"/>
  <c r="J67" i="24" l="1"/>
  <c r="F68" i="24" s="1"/>
  <c r="G67" i="24"/>
  <c r="G124" i="11"/>
  <c r="J124" i="11" s="1"/>
  <c r="F125" i="11" s="1"/>
  <c r="G40" i="11"/>
  <c r="J40" i="11" s="1"/>
  <c r="F41" i="11" s="1"/>
  <c r="G74" i="11"/>
  <c r="J74" i="11"/>
  <c r="F75" i="11" s="1"/>
  <c r="F25" i="17"/>
  <c r="G24" i="17"/>
  <c r="D30" i="29" s="1"/>
  <c r="F15" i="29"/>
  <c r="G20" i="42"/>
  <c r="F21" i="42"/>
  <c r="J44" i="24"/>
  <c r="F45" i="24" s="1"/>
  <c r="G44" i="24"/>
  <c r="C10" i="32" s="1"/>
  <c r="H76" i="16"/>
  <c r="G49" i="10"/>
  <c r="J49" i="10"/>
  <c r="F50" i="10" s="1"/>
  <c r="F43" i="42"/>
  <c r="G42" i="42"/>
  <c r="F76" i="16"/>
  <c r="G76" i="16" s="1"/>
  <c r="G41" i="11" l="1"/>
  <c r="J41" i="11"/>
  <c r="F42" i="11" s="1"/>
  <c r="G125" i="11"/>
  <c r="J125" i="11" s="1"/>
  <c r="F126" i="11" s="1"/>
  <c r="G75" i="11"/>
  <c r="J75" i="11"/>
  <c r="F76" i="11" s="1"/>
  <c r="G50" i="10"/>
  <c r="J50" i="10"/>
  <c r="F51" i="10" s="1"/>
  <c r="F22" i="42"/>
  <c r="G21" i="42"/>
  <c r="F26" i="17"/>
  <c r="G25" i="17"/>
  <c r="E30" i="29" s="1"/>
  <c r="J45" i="24"/>
  <c r="G45" i="24"/>
  <c r="D10" i="32" s="1"/>
  <c r="G68" i="24"/>
  <c r="J68" i="24"/>
  <c r="F69" i="24" s="1"/>
  <c r="G43" i="42"/>
  <c r="F44" i="42"/>
  <c r="H77" i="16"/>
  <c r="F77" i="16"/>
  <c r="G77" i="16" s="1"/>
  <c r="G126" i="11" l="1"/>
  <c r="J126" i="11"/>
  <c r="F127" i="11" s="1"/>
  <c r="G51" i="10"/>
  <c r="J51" i="10" s="1"/>
  <c r="F52" i="10" s="1"/>
  <c r="H46" i="24"/>
  <c r="F46" i="24"/>
  <c r="F27" i="17"/>
  <c r="G26" i="17"/>
  <c r="B15" i="32" s="1"/>
  <c r="G76" i="11"/>
  <c r="J76" i="11"/>
  <c r="F77" i="11" s="1"/>
  <c r="G42" i="11"/>
  <c r="G43" i="11" s="1"/>
  <c r="G69" i="24"/>
  <c r="J69" i="24" s="1"/>
  <c r="F70" i="24" s="1"/>
  <c r="F30" i="29"/>
  <c r="F45" i="42"/>
  <c r="G44" i="42"/>
  <c r="G22" i="42"/>
  <c r="F23" i="42"/>
  <c r="H78" i="16"/>
  <c r="F78" i="16"/>
  <c r="G78" i="16" s="1"/>
  <c r="J79" i="16" s="1"/>
  <c r="J80" i="16" s="1"/>
  <c r="G52" i="10" l="1"/>
  <c r="J52" i="10"/>
  <c r="F53" i="10" s="1"/>
  <c r="G70" i="24"/>
  <c r="G71" i="24" s="1"/>
  <c r="H47" i="24"/>
  <c r="H48" i="24" s="1"/>
  <c r="H49" i="24" s="1"/>
  <c r="H50" i="24" s="1"/>
  <c r="H51" i="24" s="1"/>
  <c r="H52" i="24" s="1"/>
  <c r="H53" i="24" s="1"/>
  <c r="H54" i="24" s="1"/>
  <c r="H55" i="24" s="1"/>
  <c r="E9" i="32"/>
  <c r="H9" i="32"/>
  <c r="G127" i="11"/>
  <c r="J127" i="11" s="1"/>
  <c r="F128" i="11" s="1"/>
  <c r="G77" i="11"/>
  <c r="J77" i="11"/>
  <c r="F78" i="11" s="1"/>
  <c r="F89" i="16"/>
  <c r="G89" i="16" s="1"/>
  <c r="D11" i="29" s="1"/>
  <c r="F87" i="16"/>
  <c r="G87" i="16" s="1"/>
  <c r="B11" i="29" s="1"/>
  <c r="F85" i="16"/>
  <c r="G85" i="16" s="1"/>
  <c r="F84" i="16"/>
  <c r="G84" i="16" s="1"/>
  <c r="F83" i="16"/>
  <c r="G83" i="16" s="1"/>
  <c r="F80" i="16"/>
  <c r="G80" i="16" s="1"/>
  <c r="F88" i="16"/>
  <c r="G88" i="16" s="1"/>
  <c r="C11" i="29" s="1"/>
  <c r="F82" i="16"/>
  <c r="G82" i="16" s="1"/>
  <c r="F86" i="16"/>
  <c r="G86" i="16" s="1"/>
  <c r="F79" i="16"/>
  <c r="G79" i="16" s="1"/>
  <c r="J83" i="16" s="1"/>
  <c r="J84" i="16" s="1"/>
  <c r="F81" i="16"/>
  <c r="G81" i="16" s="1"/>
  <c r="H90" i="16"/>
  <c r="F46" i="42"/>
  <c r="G45" i="42"/>
  <c r="I54" i="11"/>
  <c r="I57" i="11"/>
  <c r="I48" i="11"/>
  <c r="I45" i="11"/>
  <c r="I52" i="11"/>
  <c r="I60" i="11"/>
  <c r="I44" i="11"/>
  <c r="I56" i="11"/>
  <c r="I61" i="11"/>
  <c r="I50" i="11"/>
  <c r="I58" i="11"/>
  <c r="I46" i="11"/>
  <c r="I51" i="11"/>
  <c r="I59" i="11"/>
  <c r="I42" i="11"/>
  <c r="F46" i="11" s="1"/>
  <c r="G46" i="11" s="1"/>
  <c r="I47" i="11"/>
  <c r="F59" i="11" s="1"/>
  <c r="G59" i="11" s="1"/>
  <c r="C20" i="29" s="1"/>
  <c r="I53" i="11"/>
  <c r="I55" i="11"/>
  <c r="I62" i="11"/>
  <c r="I49" i="11"/>
  <c r="F61" i="11" s="1"/>
  <c r="G61" i="11" s="1"/>
  <c r="E20" i="29" s="1"/>
  <c r="E35" i="29" s="1"/>
  <c r="G23" i="42"/>
  <c r="F24" i="42"/>
  <c r="F28" i="17"/>
  <c r="G27" i="17"/>
  <c r="C15" i="32" s="1"/>
  <c r="J46" i="24"/>
  <c r="F47" i="24" s="1"/>
  <c r="G46" i="24"/>
  <c r="E10" i="32" s="1"/>
  <c r="F10" i="32" s="1"/>
  <c r="F11" i="29" l="1"/>
  <c r="C35" i="29"/>
  <c r="G128" i="11"/>
  <c r="J128" i="11" s="1"/>
  <c r="F129" i="11" s="1"/>
  <c r="F57" i="11"/>
  <c r="G57" i="11" s="1"/>
  <c r="F60" i="11"/>
  <c r="G60" i="11" s="1"/>
  <c r="D20" i="29" s="1"/>
  <c r="D35" i="29" s="1"/>
  <c r="F62" i="11"/>
  <c r="G62" i="11" s="1"/>
  <c r="B5" i="32" s="1"/>
  <c r="G46" i="42"/>
  <c r="F47" i="42"/>
  <c r="J87" i="16"/>
  <c r="J88" i="16" s="1"/>
  <c r="F25" i="42"/>
  <c r="G24" i="42"/>
  <c r="F50" i="11"/>
  <c r="G50" i="11" s="1"/>
  <c r="F53" i="11"/>
  <c r="G53" i="11" s="1"/>
  <c r="F52" i="11"/>
  <c r="G52" i="11" s="1"/>
  <c r="F49" i="11"/>
  <c r="G49" i="11" s="1"/>
  <c r="G78" i="11"/>
  <c r="J78" i="11"/>
  <c r="F79" i="11" s="1"/>
  <c r="G53" i="10"/>
  <c r="J53" i="10"/>
  <c r="F54" i="10" s="1"/>
  <c r="F56" i="11"/>
  <c r="G56" i="11" s="1"/>
  <c r="F9" i="32"/>
  <c r="J47" i="24"/>
  <c r="F48" i="24" s="1"/>
  <c r="G47" i="24"/>
  <c r="F55" i="11"/>
  <c r="G55" i="11" s="1"/>
  <c r="I63" i="11"/>
  <c r="J42" i="11"/>
  <c r="F58" i="11"/>
  <c r="G58" i="11" s="1"/>
  <c r="B20" i="29" s="1"/>
  <c r="B35" i="29" s="1"/>
  <c r="F29" i="17"/>
  <c r="G28" i="17"/>
  <c r="D15" i="32" s="1"/>
  <c r="F47" i="11"/>
  <c r="G47" i="11" s="1"/>
  <c r="F54" i="11"/>
  <c r="G54" i="11" s="1"/>
  <c r="F48" i="11"/>
  <c r="G48" i="11" s="1"/>
  <c r="F45" i="11"/>
  <c r="G45" i="11" s="1"/>
  <c r="F51" i="11"/>
  <c r="G51" i="11" s="1"/>
  <c r="F44" i="11"/>
  <c r="G44" i="11" s="1"/>
  <c r="I9" i="32"/>
  <c r="I24" i="32"/>
  <c r="I89" i="24"/>
  <c r="I85" i="24"/>
  <c r="I83" i="24"/>
  <c r="I74" i="24"/>
  <c r="I79" i="24"/>
  <c r="I88" i="24"/>
  <c r="I87" i="24"/>
  <c r="I84" i="24"/>
  <c r="I86" i="24"/>
  <c r="I90" i="24"/>
  <c r="I80" i="24"/>
  <c r="I73" i="24"/>
  <c r="I76" i="24"/>
  <c r="I72" i="24"/>
  <c r="I82" i="24"/>
  <c r="I78" i="24"/>
  <c r="I70" i="24"/>
  <c r="J70" i="24" s="1"/>
  <c r="F72" i="24" s="1"/>
  <c r="I81" i="24"/>
  <c r="I75" i="24"/>
  <c r="I77" i="24"/>
  <c r="J129" i="11" l="1"/>
  <c r="F130" i="11" s="1"/>
  <c r="G129" i="11"/>
  <c r="F5" i="32"/>
  <c r="F35" i="29"/>
  <c r="G54" i="10"/>
  <c r="J54" i="10"/>
  <c r="F55" i="10" s="1"/>
  <c r="G79" i="11"/>
  <c r="J79" i="11" s="1"/>
  <c r="F80" i="11" s="1"/>
  <c r="J72" i="24"/>
  <c r="F73" i="24" s="1"/>
  <c r="G72" i="24"/>
  <c r="J48" i="24"/>
  <c r="F49" i="24" s="1"/>
  <c r="G48" i="24"/>
  <c r="G47" i="42"/>
  <c r="F48" i="42"/>
  <c r="G25" i="42"/>
  <c r="F26" i="42"/>
  <c r="F30" i="17"/>
  <c r="G29" i="17"/>
  <c r="E15" i="32" s="1"/>
  <c r="F20" i="29"/>
  <c r="G80" i="11" l="1"/>
  <c r="J80" i="11" s="1"/>
  <c r="F81" i="11" s="1"/>
  <c r="G130" i="11"/>
  <c r="J130" i="11" s="1"/>
  <c r="F131" i="11" s="1"/>
  <c r="J49" i="24"/>
  <c r="F50" i="24" s="1"/>
  <c r="G49" i="24"/>
  <c r="G55" i="10"/>
  <c r="J55" i="10"/>
  <c r="F56" i="10" s="1"/>
  <c r="F15" i="32"/>
  <c r="J73" i="24"/>
  <c r="F74" i="24" s="1"/>
  <c r="G73" i="24"/>
  <c r="F31" i="17"/>
  <c r="G30" i="17"/>
  <c r="F27" i="42"/>
  <c r="G26" i="42"/>
  <c r="G48" i="42"/>
  <c r="F49" i="42"/>
  <c r="G81" i="11" l="1"/>
  <c r="J81" i="11"/>
  <c r="F82" i="11" s="1"/>
  <c r="J131" i="11"/>
  <c r="F132" i="11" s="1"/>
  <c r="G131" i="11"/>
  <c r="G49" i="42"/>
  <c r="F50" i="42"/>
  <c r="G31" i="17"/>
  <c r="F32" i="17"/>
  <c r="G56" i="10"/>
  <c r="G57" i="10" s="1"/>
  <c r="J74" i="24"/>
  <c r="F75" i="24" s="1"/>
  <c r="G74" i="24"/>
  <c r="B26" i="29" s="1"/>
  <c r="G50" i="24"/>
  <c r="J50" i="24"/>
  <c r="F51" i="24" s="1"/>
  <c r="F28" i="42"/>
  <c r="G27" i="42"/>
  <c r="G82" i="11" l="1"/>
  <c r="J82" i="11" s="1"/>
  <c r="F83" i="11" s="1"/>
  <c r="G51" i="24"/>
  <c r="J51" i="24"/>
  <c r="F52" i="24" s="1"/>
  <c r="J75" i="24"/>
  <c r="F76" i="24" s="1"/>
  <c r="G75" i="24"/>
  <c r="C26" i="29" s="1"/>
  <c r="I61" i="10"/>
  <c r="I66" i="10"/>
  <c r="I72" i="10"/>
  <c r="I62" i="10"/>
  <c r="I69" i="10"/>
  <c r="I67" i="10"/>
  <c r="I56" i="10"/>
  <c r="J56" i="10" s="1"/>
  <c r="F58" i="10"/>
  <c r="G58" i="10" s="1"/>
  <c r="I63" i="10"/>
  <c r="I60" i="10"/>
  <c r="I75" i="10"/>
  <c r="I59" i="10"/>
  <c r="I65" i="10"/>
  <c r="I71" i="10"/>
  <c r="I74" i="10"/>
  <c r="I76" i="10"/>
  <c r="I70" i="10"/>
  <c r="I68" i="10"/>
  <c r="F61" i="10"/>
  <c r="G61" i="10" s="1"/>
  <c r="I73" i="10"/>
  <c r="I58" i="10"/>
  <c r="F64" i="10" s="1"/>
  <c r="G64" i="10" s="1"/>
  <c r="I64" i="10"/>
  <c r="G50" i="42"/>
  <c r="F51" i="42"/>
  <c r="F29" i="42"/>
  <c r="G28" i="42"/>
  <c r="G32" i="17"/>
  <c r="F33" i="17"/>
  <c r="G132" i="11"/>
  <c r="J132" i="11"/>
  <c r="F133" i="11" s="1"/>
  <c r="G83" i="11" l="1"/>
  <c r="J83" i="11" s="1"/>
  <c r="F84" i="11" s="1"/>
  <c r="F71" i="10"/>
  <c r="G71" i="10" s="1"/>
  <c r="F68" i="10"/>
  <c r="G68" i="10" s="1"/>
  <c r="G133" i="11"/>
  <c r="J133" i="11" s="1"/>
  <c r="F134" i="11" s="1"/>
  <c r="F72" i="10"/>
  <c r="G72" i="10" s="1"/>
  <c r="F63" i="10"/>
  <c r="G63" i="10" s="1"/>
  <c r="G29" i="42"/>
  <c r="F30" i="42"/>
  <c r="G30" i="42" s="1"/>
  <c r="F52" i="42"/>
  <c r="G51" i="42"/>
  <c r="F70" i="10"/>
  <c r="G70" i="10" s="1"/>
  <c r="F74" i="10"/>
  <c r="G74" i="10" s="1"/>
  <c r="B16" i="29" s="1"/>
  <c r="F73" i="10"/>
  <c r="G73" i="10" s="1"/>
  <c r="F76" i="10"/>
  <c r="G76" i="10" s="1"/>
  <c r="D16" i="29" s="1"/>
  <c r="J76" i="24"/>
  <c r="F77" i="24" s="1"/>
  <c r="G76" i="24"/>
  <c r="D26" i="29" s="1"/>
  <c r="G52" i="24"/>
  <c r="J52" i="24"/>
  <c r="F53" i="24" s="1"/>
  <c r="F75" i="10"/>
  <c r="G75" i="10" s="1"/>
  <c r="C16" i="29" s="1"/>
  <c r="F62" i="10"/>
  <c r="G62" i="10" s="1"/>
  <c r="F67" i="10"/>
  <c r="G67" i="10" s="1"/>
  <c r="F59" i="10"/>
  <c r="G59" i="10" s="1"/>
  <c r="F69" i="10"/>
  <c r="G69" i="10" s="1"/>
  <c r="F66" i="10"/>
  <c r="G66" i="10" s="1"/>
  <c r="F34" i="17"/>
  <c r="G33" i="17"/>
  <c r="F60" i="10"/>
  <c r="G60" i="10" s="1"/>
  <c r="F65" i="10"/>
  <c r="G65" i="10" s="1"/>
  <c r="F16" i="29" l="1"/>
  <c r="G84" i="11"/>
  <c r="J84" i="11" s="1"/>
  <c r="F85" i="11" s="1"/>
  <c r="G134" i="11"/>
  <c r="J134" i="11" s="1"/>
  <c r="F135" i="11" s="1"/>
  <c r="J53" i="24"/>
  <c r="F54" i="24" s="1"/>
  <c r="G53" i="24"/>
  <c r="J77" i="24"/>
  <c r="F78" i="24" s="1"/>
  <c r="G77" i="24"/>
  <c r="E26" i="29" s="1"/>
  <c r="G52" i="42"/>
  <c r="F53" i="42"/>
  <c r="F35" i="17"/>
  <c r="G34" i="17"/>
  <c r="G85" i="11" l="1"/>
  <c r="J85" i="11" s="1"/>
  <c r="F86" i="11" s="1"/>
  <c r="G135" i="11"/>
  <c r="J135" i="11"/>
  <c r="F136" i="11" s="1"/>
  <c r="G53" i="42"/>
  <c r="F54" i="42"/>
  <c r="G35" i="17"/>
  <c r="F36" i="17"/>
  <c r="G78" i="24"/>
  <c r="B11" i="32" s="1"/>
  <c r="J78" i="24"/>
  <c r="F79" i="24" s="1"/>
  <c r="J54" i="24"/>
  <c r="F55" i="24" s="1"/>
  <c r="G54" i="24"/>
  <c r="F26" i="29"/>
  <c r="J86" i="11" l="1"/>
  <c r="F87" i="11" s="1"/>
  <c r="G86" i="11"/>
  <c r="J136" i="11"/>
  <c r="F137" i="11" s="1"/>
  <c r="G136" i="11"/>
  <c r="J55" i="24"/>
  <c r="G55" i="24"/>
  <c r="G79" i="24"/>
  <c r="C11" i="32" s="1"/>
  <c r="J79" i="24"/>
  <c r="F80" i="24" s="1"/>
  <c r="F37" i="17"/>
  <c r="G37" i="17" s="1"/>
  <c r="G36" i="17"/>
  <c r="F55" i="42"/>
  <c r="G55" i="42" s="1"/>
  <c r="G54" i="42"/>
  <c r="G80" i="24" l="1"/>
  <c r="D11" i="32" s="1"/>
  <c r="J80" i="24"/>
  <c r="F81" i="24" s="1"/>
  <c r="G137" i="11"/>
  <c r="J137" i="11" s="1"/>
  <c r="F138" i="11" s="1"/>
  <c r="G87" i="11"/>
  <c r="J87" i="11"/>
  <c r="F88" i="11" s="1"/>
  <c r="G138" i="11" l="1"/>
  <c r="J138" i="11"/>
  <c r="F139" i="11" s="1"/>
  <c r="G88" i="11"/>
  <c r="J88" i="11"/>
  <c r="F89" i="11" s="1"/>
  <c r="G81" i="24"/>
  <c r="E11" i="32" s="1"/>
  <c r="J81" i="24"/>
  <c r="F82" i="24" s="1"/>
  <c r="F11" i="32" l="1"/>
  <c r="G89" i="11"/>
  <c r="J89" i="11"/>
  <c r="F90" i="11" s="1"/>
  <c r="G139" i="11"/>
  <c r="J139" i="11" s="1"/>
  <c r="F140" i="11" s="1"/>
  <c r="G82" i="24"/>
  <c r="J82" i="24"/>
  <c r="F83" i="24" s="1"/>
  <c r="J140" i="11" l="1"/>
  <c r="G140" i="11"/>
  <c r="G141" i="11" s="1"/>
  <c r="J90" i="11"/>
  <c r="F91" i="11" s="1"/>
  <c r="G90" i="11"/>
  <c r="J83" i="24"/>
  <c r="F84" i="24" s="1"/>
  <c r="G83" i="24"/>
  <c r="G84" i="24" l="1"/>
  <c r="J84" i="24"/>
  <c r="F85" i="24" s="1"/>
  <c r="G91" i="11"/>
  <c r="J91" i="11" s="1"/>
  <c r="F92" i="11" s="1"/>
  <c r="I151" i="11"/>
  <c r="I143" i="11"/>
  <c r="I152" i="11"/>
  <c r="I148" i="11"/>
  <c r="I153" i="11"/>
  <c r="I140" i="11"/>
  <c r="F142" i="11" s="1"/>
  <c r="G142" i="11" s="1"/>
  <c r="I156" i="11"/>
  <c r="I149" i="11"/>
  <c r="I150" i="11"/>
  <c r="F152" i="11"/>
  <c r="G152" i="11" s="1"/>
  <c r="I144" i="11"/>
  <c r="I147" i="11"/>
  <c r="F154" i="11" s="1"/>
  <c r="G154" i="11" s="1"/>
  <c r="I146" i="11"/>
  <c r="I155" i="11"/>
  <c r="F143" i="11"/>
  <c r="G143" i="11" s="1"/>
  <c r="I154" i="11"/>
  <c r="I142" i="11"/>
  <c r="F157" i="11"/>
  <c r="G157" i="11" s="1"/>
  <c r="I145" i="11"/>
  <c r="G92" i="11" l="1"/>
  <c r="G93" i="11" s="1"/>
  <c r="F156" i="11"/>
  <c r="G156" i="11" s="1"/>
  <c r="F147" i="11"/>
  <c r="G147" i="11" s="1"/>
  <c r="F146" i="11"/>
  <c r="G146" i="11" s="1"/>
  <c r="F145" i="11"/>
  <c r="G145" i="11" s="1"/>
  <c r="F144" i="11"/>
  <c r="G144" i="11" s="1"/>
  <c r="F149" i="11"/>
  <c r="G149" i="11" s="1"/>
  <c r="F150" i="11"/>
  <c r="G150" i="11" s="1"/>
  <c r="F151" i="11"/>
  <c r="G151" i="11" s="1"/>
  <c r="F155" i="11"/>
  <c r="G155" i="11" s="1"/>
  <c r="F153" i="11"/>
  <c r="G153" i="11" s="1"/>
  <c r="F148" i="11"/>
  <c r="G148" i="11" s="1"/>
  <c r="G85" i="24"/>
  <c r="J85" i="24"/>
  <c r="F86" i="24" s="1"/>
  <c r="G86" i="24" l="1"/>
  <c r="J86" i="24"/>
  <c r="F87" i="24" s="1"/>
  <c r="I101" i="11"/>
  <c r="I103" i="11"/>
  <c r="I97" i="11"/>
  <c r="I92" i="11"/>
  <c r="J92" i="11" s="1"/>
  <c r="I99" i="11"/>
  <c r="I94" i="11"/>
  <c r="F95" i="11"/>
  <c r="G95" i="11" s="1"/>
  <c r="I100" i="11"/>
  <c r="I98" i="11"/>
  <c r="I102" i="11"/>
  <c r="I105" i="11"/>
  <c r="I110" i="11"/>
  <c r="I104" i="11"/>
  <c r="F105" i="11"/>
  <c r="G105" i="11" s="1"/>
  <c r="I112" i="11"/>
  <c r="I96" i="11"/>
  <c r="I109" i="11"/>
  <c r="I111" i="11"/>
  <c r="F98" i="11"/>
  <c r="G98" i="11" s="1"/>
  <c r="I106" i="11"/>
  <c r="I107" i="11"/>
  <c r="I108" i="11"/>
  <c r="F94" i="11"/>
  <c r="G94" i="11" s="1"/>
  <c r="F97" i="11"/>
  <c r="G97" i="11" s="1"/>
  <c r="I95" i="11"/>
  <c r="F101" i="11" s="1"/>
  <c r="G101" i="11" s="1"/>
  <c r="F110" i="11" l="1"/>
  <c r="G110" i="11" s="1"/>
  <c r="D21" i="29" s="1"/>
  <c r="D36" i="29" s="1"/>
  <c r="F107" i="11"/>
  <c r="G107" i="11" s="1"/>
  <c r="F103" i="11"/>
  <c r="G103" i="11" s="1"/>
  <c r="F99" i="11"/>
  <c r="G99" i="11" s="1"/>
  <c r="F112" i="11"/>
  <c r="G112" i="11" s="1"/>
  <c r="B6" i="32" s="1"/>
  <c r="F109" i="11"/>
  <c r="G109" i="11" s="1"/>
  <c r="C21" i="29" s="1"/>
  <c r="C36" i="29" s="1"/>
  <c r="F111" i="11"/>
  <c r="G111" i="11" s="1"/>
  <c r="E21" i="29" s="1"/>
  <c r="E36" i="29" s="1"/>
  <c r="F102" i="11"/>
  <c r="G102" i="11" s="1"/>
  <c r="F100" i="11"/>
  <c r="G100" i="11" s="1"/>
  <c r="F108" i="11"/>
  <c r="G108" i="11" s="1"/>
  <c r="B21" i="29" s="1"/>
  <c r="G87" i="24"/>
  <c r="J87" i="24"/>
  <c r="F88" i="24" s="1"/>
  <c r="F106" i="11"/>
  <c r="G106" i="11" s="1"/>
  <c r="F96" i="11"/>
  <c r="G96" i="11" s="1"/>
  <c r="F104" i="11"/>
  <c r="G104" i="11" s="1"/>
  <c r="F6" i="32" l="1"/>
  <c r="G88" i="24"/>
  <c r="J88" i="24"/>
  <c r="F89" i="24" s="1"/>
  <c r="F21" i="29"/>
  <c r="B36" i="29"/>
  <c r="F36" i="29" s="1"/>
  <c r="J89" i="24" l="1"/>
  <c r="F90" i="24" s="1"/>
  <c r="G89" i="24"/>
  <c r="G90" i="24" l="1"/>
  <c r="J90" i="24"/>
</calcChain>
</file>

<file path=xl/comments1.xml><?xml version="1.0" encoding="utf-8"?>
<comments xmlns="http://schemas.openxmlformats.org/spreadsheetml/2006/main">
  <authors>
    <author>Mauleon, Gregory</author>
  </authors>
  <commentList>
    <comment ref="B18" authorId="0">
      <text>
        <r>
          <rPr>
            <b/>
            <sz val="8"/>
            <color indexed="81"/>
            <rFont val="Tahoma"/>
            <family val="2"/>
          </rPr>
          <t>TC Refunds Begin</t>
        </r>
      </text>
    </comment>
  </commentList>
</comments>
</file>

<file path=xl/comments2.xml><?xml version="1.0" encoding="utf-8"?>
<comments xmlns="http://schemas.openxmlformats.org/spreadsheetml/2006/main">
  <authors>
    <author>Mauleon, Gregory</author>
  </authors>
  <commentList>
    <comment ref="H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</commentList>
</comments>
</file>

<file path=xl/comments3.xml><?xml version="1.0" encoding="utf-8"?>
<comments xmlns="http://schemas.openxmlformats.org/spreadsheetml/2006/main">
  <authors>
    <author>Mani, Concepcion Mendoza</author>
  </authors>
  <commentList>
    <comment ref="H41" author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Actual cost for network upgrade is $24,754,950.33.  The 3rd quarter TC refund includes the TC refund for the quarter, plus $1,697,050 (difference between the estimated and actual cost). 
</t>
        </r>
      </text>
    </comment>
  </commentList>
</comments>
</file>

<file path=xl/sharedStrings.xml><?xml version="1.0" encoding="utf-8"?>
<sst xmlns="http://schemas.openxmlformats.org/spreadsheetml/2006/main" count="949" uniqueCount="178">
  <si>
    <t>Total</t>
  </si>
  <si>
    <t>ITCC</t>
  </si>
  <si>
    <t>Facility Credit</t>
  </si>
  <si>
    <t>Facility - Interest Credit</t>
  </si>
  <si>
    <t>One Time Cost - Interest Credit</t>
  </si>
  <si>
    <t>Facility Cost</t>
  </si>
  <si>
    <t>Date Payment Received By SCE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</si>
  <si>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</si>
  <si>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</si>
  <si>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</si>
  <si>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</si>
  <si>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</si>
  <si>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</si>
  <si>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</si>
  <si>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</si>
  <si>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</si>
  <si>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</si>
  <si>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</si>
  <si>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</si>
  <si>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</si>
  <si>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</si>
  <si>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</si>
  <si>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Qtr 2 -2003</t>
  </si>
  <si>
    <t>Qtr 3 -2003</t>
  </si>
  <si>
    <t>Qtr 4 -2003</t>
  </si>
  <si>
    <t>Qtr 1 -2004</t>
  </si>
  <si>
    <t>Qtr 4 - 2004</t>
  </si>
  <si>
    <t>Qtr 1 - 2005</t>
  </si>
  <si>
    <t>Qtr 2 - 2005</t>
  </si>
  <si>
    <t>Qtr 3 - 2005</t>
  </si>
  <si>
    <t>Qtr 4 - 2005</t>
  </si>
  <si>
    <t>Principal Paid</t>
  </si>
  <si>
    <t>Qtr 2 -2005</t>
  </si>
  <si>
    <t>Qtr 3 -2004</t>
  </si>
  <si>
    <t>Qtr 3 -2005</t>
  </si>
  <si>
    <t>Qtr 1 -2005</t>
  </si>
  <si>
    <t>Qtr 2 -2004</t>
  </si>
  <si>
    <t>Qtr 4 -2004</t>
  </si>
  <si>
    <t>Facility Cost Interest</t>
  </si>
  <si>
    <t>Qtr 4 - 2002</t>
  </si>
  <si>
    <t>Qtr 2 - 2003</t>
  </si>
  <si>
    <t>Qtr 3 - 2003</t>
  </si>
  <si>
    <t>Qtr 2 - 2004</t>
  </si>
  <si>
    <t>Qtr 3 - 2004</t>
  </si>
  <si>
    <t>Payment #</t>
  </si>
  <si>
    <t>Qtr 1 - 2004</t>
  </si>
  <si>
    <t>Qtr 3 - 2002</t>
  </si>
  <si>
    <t>Qtr 1 - 2003</t>
  </si>
  <si>
    <t>Qtr 4 - 2003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</si>
  <si>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</si>
  <si>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</si>
  <si>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</si>
  <si>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</si>
  <si>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</si>
  <si>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</si>
  <si>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</si>
  <si>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</si>
  <si>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Disbursement #</t>
  </si>
  <si>
    <t>Disbursement Date</t>
  </si>
  <si>
    <t>One-Time Cost</t>
  </si>
  <si>
    <t>Combined total</t>
  </si>
  <si>
    <t>Estimated In-Service Date:</t>
  </si>
  <si>
    <t>Facility Costs</t>
  </si>
  <si>
    <t>Qtr 2 - 2001</t>
  </si>
  <si>
    <t>Qtr 3 - 2001</t>
  </si>
  <si>
    <t>Qtr 4 - 2001</t>
  </si>
  <si>
    <t>Qtr 1 - 2002</t>
  </si>
  <si>
    <t>Qtr 2 - 2002</t>
  </si>
  <si>
    <t>In-Service Date:</t>
  </si>
  <si>
    <t>Total Payments</t>
  </si>
  <si>
    <t>(Estimated)</t>
  </si>
  <si>
    <t>Lugo Share (41.75%)</t>
  </si>
  <si>
    <t>Moenkopi Share (58.25%)</t>
  </si>
  <si>
    <t>Qtr 4 - 2008</t>
  </si>
  <si>
    <t>Qtr 4 - 2009</t>
  </si>
  <si>
    <t>Qtr 4 - 2010</t>
  </si>
  <si>
    <t>Qtr 4 - 2011</t>
  </si>
  <si>
    <t>Qtr 4 - 2012</t>
  </si>
  <si>
    <t>Qtr 1 - 2008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</si>
  <si>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</si>
  <si>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</si>
  <si>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</si>
  <si>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</si>
  <si>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</si>
  <si>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</si>
  <si>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</si>
  <si>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</si>
  <si>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</si>
  <si>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</si>
  <si>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</si>
  <si>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</si>
  <si>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</si>
  <si>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</si>
  <si>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t>Facility Costs Interest</t>
  </si>
  <si>
    <t>Accrued Interest on One-Time Cost Interest</t>
  </si>
  <si>
    <t>Accrued Interest on One-Time Costs - Payment 2</t>
  </si>
  <si>
    <t>Accrued Interest on One-Time Costs - Payment 1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</si>
  <si>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</si>
  <si>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</si>
  <si>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</si>
  <si>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</si>
  <si>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</si>
  <si>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</si>
  <si>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</si>
  <si>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</si>
  <si>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</si>
  <si>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Moenkopi Capacitors (PAB004)</t>
  </si>
  <si>
    <t>Lugo Capacitors (PAB004)</t>
  </si>
  <si>
    <t>Mountainview (TOT004)</t>
  </si>
  <si>
    <t>Qtr 1 - 2013</t>
  </si>
  <si>
    <t>Qtr 2 - 2013</t>
  </si>
  <si>
    <t>Qtr 3 - 2013</t>
  </si>
  <si>
    <t>Qtr 4 - 2013</t>
  </si>
  <si>
    <t>Qtr 1 - 2014</t>
  </si>
  <si>
    <t>Qtr 2 - 2014</t>
  </si>
  <si>
    <t>Qtr 3 - 2014</t>
  </si>
  <si>
    <t>Qtr 4 - 2014</t>
  </si>
  <si>
    <t>Qtr 1 - 2015</t>
  </si>
  <si>
    <t>Qtr 2 - 2015</t>
  </si>
  <si>
    <t>Qtr 3 - 2015</t>
  </si>
  <si>
    <t>Qtr 4 - 2015</t>
  </si>
  <si>
    <t>Accrued Interest on One-Time Cost</t>
  </si>
  <si>
    <t>(Actual)</t>
  </si>
  <si>
    <t xml:space="preserve">1st refund </t>
  </si>
  <si>
    <t>Quarterly Interest Amount ($)</t>
  </si>
  <si>
    <t>Qtr 1 - 2016</t>
  </si>
  <si>
    <t>Qtr 2 - 2016</t>
  </si>
  <si>
    <t>Qtr 3 - 2016</t>
  </si>
  <si>
    <t>Qtr 4 - 2016</t>
  </si>
  <si>
    <t>Qtr 1 - 2017</t>
  </si>
  <si>
    <t xml:space="preserve">(Estimated)  </t>
  </si>
  <si>
    <t>Est.date</t>
  </si>
  <si>
    <t>One Time Cost</t>
  </si>
  <si>
    <t>MOENKOPI</t>
  </si>
  <si>
    <t>Adjustments</t>
  </si>
  <si>
    <t>New Qtrly Pymt</t>
  </si>
  <si>
    <t>ONE TIME</t>
  </si>
  <si>
    <t>NEW</t>
  </si>
  <si>
    <t xml:space="preserve">OLD </t>
  </si>
  <si>
    <t>NPC Lenzie</t>
  </si>
  <si>
    <t>Reliant</t>
  </si>
  <si>
    <t>Mirant</t>
  </si>
  <si>
    <t>SNWA</t>
  </si>
  <si>
    <t xml:space="preserve">NPC </t>
  </si>
  <si>
    <t>LV Cogen</t>
  </si>
  <si>
    <t>ADJUSTED Total</t>
  </si>
  <si>
    <t xml:space="preserve">ADJUSTED Total </t>
  </si>
  <si>
    <t>OLD</t>
  </si>
  <si>
    <t>LUGO</t>
  </si>
  <si>
    <t xml:space="preserve">TRUE UP Amounts: </t>
  </si>
  <si>
    <t>Per TC Module??</t>
  </si>
  <si>
    <t>TRUEUP Adj</t>
  </si>
  <si>
    <t>Payments above based on Estimated Values</t>
  </si>
  <si>
    <t>Actual Costs</t>
  </si>
  <si>
    <t>2011 Recorded - Network Upgrade Credits</t>
  </si>
  <si>
    <t>Magnolia (TOT067)</t>
  </si>
  <si>
    <t xml:space="preserve">Blythe (TOT094) </t>
  </si>
  <si>
    <t>Inland Empire Energy Center TOT037)</t>
  </si>
  <si>
    <t>All Totals ***</t>
  </si>
  <si>
    <t>Total Payments *</t>
  </si>
  <si>
    <t>Refunds to Date **</t>
  </si>
  <si>
    <t>* Total Payments = Total facility related payments made by customer, subject to refund.</t>
  </si>
  <si>
    <t>** Refunds to date = Total refunds made by SCE at the end of reporting year.</t>
  </si>
  <si>
    <t>*** ALL TOTALS</t>
  </si>
  <si>
    <t xml:space="preserve">      Facility Credit = Quarterly refunds made by SCE related to customer facility cost prepayments. </t>
  </si>
  <si>
    <t xml:space="preserve">      Facility Interest Credit = Quarterly post-construction interest payments made by SCE, calculation starts on the in-service date of the facility.</t>
  </si>
  <si>
    <t xml:space="preserve">      One Time Cost Interest Credit = Quarterly interest payments made by SCE (for pre and post-construction periods) related to customer One Time prepayments.  </t>
  </si>
  <si>
    <t xml:space="preserve">           Calculation begins on the date SCE receives prepayment.</t>
  </si>
  <si>
    <t>Mountainview TOT004)</t>
  </si>
  <si>
    <t>Inland Empire Energy Center (TOT037)</t>
  </si>
  <si>
    <t>2012 Recorded - Network Upgrade Credits</t>
  </si>
  <si>
    <t>Mountain View IV Project (WDT213)</t>
  </si>
  <si>
    <t>Actual Refunds per TC Module</t>
  </si>
  <si>
    <t>Cogen</t>
  </si>
  <si>
    <t>reliant</t>
  </si>
  <si>
    <t>snwa</t>
  </si>
  <si>
    <t>npc</t>
  </si>
  <si>
    <t>npc lenzie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</si>
</sst>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/d/yyyy;@"/>
    <numFmt numFmtId="167" formatCode="mm/dd/yy;@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sz val="10"/>
      <color indexed="81"/>
      <name val="Tahoma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67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0" xfId="0" applyFont="1" applyFill="1"/>
    <xf numFmtId="166" fontId="10" fillId="0" borderId="0" xfId="0" applyNumberFormat="1" applyFont="1" applyFill="1" applyAlignment="1">
      <alignment horizontal="center"/>
    </xf>
    <xf numFmtId="0" fontId="10" fillId="0" borderId="5" xfId="0" applyFont="1" applyFill="1" applyBorder="1" applyAlignment="1">
      <alignment horizontal="center"/>
    </xf>
    <xf numFmtId="14" fontId="9" fillId="0" borderId="0" xfId="0" applyNumberFormat="1" applyFont="1" applyFill="1"/>
    <xf numFmtId="0" fontId="9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 applyAlignment="1"/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44" fontId="6" fillId="0" borderId="3" xfId="3" applyFont="1" applyFill="1" applyBorder="1"/>
    <xf numFmtId="0" fontId="1" fillId="0" borderId="0" xfId="0" applyFont="1" applyFill="1"/>
    <xf numFmtId="44" fontId="10" fillId="0" borderId="0" xfId="3" applyFont="1" applyFill="1"/>
    <xf numFmtId="44" fontId="10" fillId="0" borderId="0" xfId="3" applyFont="1" applyFill="1" applyBorder="1"/>
    <xf numFmtId="44" fontId="10" fillId="0" borderId="0" xfId="0" applyNumberFormat="1" applyFont="1" applyFill="1"/>
    <xf numFmtId="44" fontId="10" fillId="0" borderId="3" xfId="3" applyFont="1" applyFill="1" applyBorder="1"/>
    <xf numFmtId="44" fontId="10" fillId="0" borderId="5" xfId="0" applyNumberFormat="1" applyFont="1" applyFill="1" applyBorder="1"/>
    <xf numFmtId="0" fontId="9" fillId="0" borderId="0" xfId="0" applyFont="1" applyFill="1" applyAlignment="1">
      <alignment horizontal="center"/>
    </xf>
    <xf numFmtId="14" fontId="10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43" fontId="10" fillId="0" borderId="0" xfId="0" applyNumberFormat="1" applyFont="1" applyFill="1"/>
    <xf numFmtId="4" fontId="10" fillId="0" borderId="0" xfId="0" applyNumberFormat="1" applyFont="1" applyFill="1"/>
    <xf numFmtId="4" fontId="10" fillId="0" borderId="0" xfId="1" applyNumberFormat="1" applyFont="1" applyFill="1" applyBorder="1"/>
    <xf numFmtId="4" fontId="10" fillId="0" borderId="0" xfId="0" applyNumberFormat="1" applyFont="1" applyFill="1" applyBorder="1"/>
    <xf numFmtId="165" fontId="10" fillId="0" borderId="0" xfId="0" applyNumberFormat="1" applyFont="1" applyFill="1"/>
    <xf numFmtId="4" fontId="10" fillId="0" borderId="6" xfId="0" applyNumberFormat="1" applyFont="1" applyFill="1" applyBorder="1"/>
    <xf numFmtId="43" fontId="10" fillId="0" borderId="0" xfId="1" applyFont="1" applyFill="1"/>
    <xf numFmtId="43" fontId="10" fillId="0" borderId="0" xfId="0" applyNumberFormat="1" applyFont="1" applyFill="1" applyBorder="1"/>
    <xf numFmtId="17" fontId="10" fillId="0" borderId="11" xfId="0" applyNumberFormat="1" applyFont="1" applyFill="1" applyBorder="1" applyAlignment="1">
      <alignment horizontal="center"/>
    </xf>
    <xf numFmtId="14" fontId="10" fillId="0" borderId="12" xfId="0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right"/>
    </xf>
    <xf numFmtId="4" fontId="10" fillId="0" borderId="12" xfId="1" applyNumberFormat="1" applyFont="1" applyFill="1" applyBorder="1"/>
    <xf numFmtId="4" fontId="10" fillId="0" borderId="13" xfId="1" applyNumberFormat="1" applyFont="1" applyFill="1" applyBorder="1"/>
    <xf numFmtId="17" fontId="10" fillId="0" borderId="14" xfId="0" applyNumberFormat="1" applyFont="1" applyFill="1" applyBorder="1" applyAlignment="1">
      <alignment horizontal="center"/>
    </xf>
    <xf numFmtId="14" fontId="10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right"/>
    </xf>
    <xf numFmtId="4" fontId="10" fillId="0" borderId="15" xfId="1" applyNumberFormat="1" applyFont="1" applyFill="1" applyBorder="1"/>
    <xf numFmtId="4" fontId="10" fillId="0" borderId="16" xfId="1" applyNumberFormat="1" applyFont="1" applyFill="1" applyBorder="1"/>
    <xf numFmtId="4" fontId="10" fillId="0" borderId="17" xfId="1" applyNumberFormat="1" applyFont="1" applyFill="1" applyBorder="1"/>
    <xf numFmtId="17" fontId="9" fillId="0" borderId="14" xfId="0" applyNumberFormat="1" applyFont="1" applyFill="1" applyBorder="1" applyAlignment="1">
      <alignment horizontal="center"/>
    </xf>
    <xf numFmtId="14" fontId="9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/>
    <xf numFmtId="4" fontId="9" fillId="0" borderId="15" xfId="1" applyNumberFormat="1" applyFont="1" applyFill="1" applyBorder="1"/>
    <xf numFmtId="4" fontId="9" fillId="0" borderId="16" xfId="1" applyNumberFormat="1" applyFont="1" applyFill="1" applyBorder="1"/>
    <xf numFmtId="39" fontId="10" fillId="0" borderId="15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14" fontId="10" fillId="0" borderId="19" xfId="0" applyNumberFormat="1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4" fontId="10" fillId="0" borderId="19" xfId="1" applyNumberFormat="1" applyFont="1" applyFill="1" applyBorder="1"/>
    <xf numFmtId="4" fontId="10" fillId="0" borderId="20" xfId="1" applyNumberFormat="1" applyFont="1" applyFill="1" applyBorder="1"/>
    <xf numFmtId="4" fontId="10" fillId="0" borderId="21" xfId="0" applyNumberFormat="1" applyFont="1" applyFill="1" applyBorder="1"/>
    <xf numFmtId="0" fontId="9" fillId="0" borderId="15" xfId="0" applyFont="1" applyFill="1" applyBorder="1" applyAlignment="1">
      <alignment horizontal="center"/>
    </xf>
    <xf numFmtId="43" fontId="10" fillId="0" borderId="15" xfId="0" applyNumberFormat="1" applyFont="1" applyFill="1" applyBorder="1"/>
    <xf numFmtId="43" fontId="10" fillId="0" borderId="19" xfId="0" applyNumberFormat="1" applyFont="1" applyFill="1" applyBorder="1"/>
    <xf numFmtId="39" fontId="10" fillId="0" borderId="19" xfId="0" applyNumberFormat="1" applyFont="1" applyFill="1" applyBorder="1"/>
    <xf numFmtId="39" fontId="10" fillId="0" borderId="6" xfId="0" applyNumberFormat="1" applyFont="1" applyFill="1" applyBorder="1"/>
    <xf numFmtId="4" fontId="9" fillId="0" borderId="22" xfId="0" applyNumberFormat="1" applyFont="1" applyFill="1" applyBorder="1"/>
    <xf numFmtId="0" fontId="10" fillId="0" borderId="6" xfId="0" applyFont="1" applyFill="1" applyBorder="1"/>
    <xf numFmtId="14" fontId="10" fillId="0" borderId="12" xfId="0" applyNumberFormat="1" applyFont="1" applyFill="1" applyBorder="1" applyAlignment="1">
      <alignment horizontal="center" wrapText="1"/>
    </xf>
    <xf numFmtId="14" fontId="10" fillId="0" borderId="15" xfId="0" applyNumberFormat="1" applyFont="1" applyFill="1" applyBorder="1" applyAlignment="1">
      <alignment horizontal="center" wrapText="1"/>
    </xf>
    <xf numFmtId="2" fontId="10" fillId="0" borderId="15" xfId="0" applyNumberFormat="1" applyFont="1" applyFill="1" applyBorder="1" applyAlignment="1">
      <alignment horizontal="center" wrapText="1"/>
    </xf>
    <xf numFmtId="0" fontId="10" fillId="0" borderId="16" xfId="0" applyFont="1" applyFill="1" applyBorder="1"/>
    <xf numFmtId="4" fontId="10" fillId="0" borderId="23" xfId="0" applyNumberFormat="1" applyFont="1" applyFill="1" applyBorder="1"/>
    <xf numFmtId="39" fontId="10" fillId="0" borderId="21" xfId="0" applyNumberFormat="1" applyFont="1" applyFill="1" applyBorder="1"/>
    <xf numFmtId="4" fontId="9" fillId="0" borderId="15" xfId="0" applyNumberFormat="1" applyFont="1" applyFill="1" applyBorder="1"/>
    <xf numFmtId="0" fontId="10" fillId="0" borderId="22" xfId="0" applyFont="1" applyFill="1" applyBorder="1"/>
    <xf numFmtId="2" fontId="10" fillId="0" borderId="12" xfId="0" applyNumberFormat="1" applyFont="1" applyFill="1" applyBorder="1" applyAlignment="1">
      <alignment horizontal="center" wrapText="1"/>
    </xf>
    <xf numFmtId="44" fontId="10" fillId="0" borderId="12" xfId="3" applyFont="1" applyFill="1" applyBorder="1" applyAlignment="1">
      <alignment horizontal="center" wrapText="1"/>
    </xf>
    <xf numFmtId="44" fontId="10" fillId="0" borderId="12" xfId="3" applyFont="1" applyFill="1" applyBorder="1"/>
    <xf numFmtId="44" fontId="10" fillId="0" borderId="13" xfId="3" applyFont="1" applyFill="1" applyBorder="1"/>
    <xf numFmtId="44" fontId="10" fillId="0" borderId="15" xfId="3" applyFont="1" applyFill="1" applyBorder="1" applyAlignment="1">
      <alignment horizontal="center" wrapText="1"/>
    </xf>
    <xf numFmtId="44" fontId="10" fillId="0" borderId="15" xfId="3" applyFont="1" applyFill="1" applyBorder="1"/>
    <xf numFmtId="44" fontId="10" fillId="0" borderId="16" xfId="3" applyFont="1" applyFill="1" applyBorder="1"/>
    <xf numFmtId="0" fontId="10" fillId="0" borderId="11" xfId="0" applyFont="1" applyFill="1" applyBorder="1" applyAlignment="1">
      <alignment horizontal="center"/>
    </xf>
    <xf numFmtId="39" fontId="10" fillId="0" borderId="12" xfId="0" applyNumberFormat="1" applyFont="1" applyFill="1" applyBorder="1" applyAlignment="1">
      <alignment horizontal="center"/>
    </xf>
    <xf numFmtId="43" fontId="10" fillId="0" borderId="12" xfId="0" applyNumberFormat="1" applyFont="1" applyFill="1" applyBorder="1"/>
    <xf numFmtId="39" fontId="10" fillId="0" borderId="23" xfId="0" applyNumberFormat="1" applyFont="1" applyFill="1" applyBorder="1"/>
    <xf numFmtId="0" fontId="6" fillId="0" borderId="11" xfId="0" applyFont="1" applyFill="1" applyBorder="1" applyAlignment="1">
      <alignment horizontal="center" wrapText="1"/>
    </xf>
    <xf numFmtId="167" fontId="6" fillId="0" borderId="12" xfId="0" applyNumberFormat="1" applyFont="1" applyFill="1" applyBorder="1" applyAlignment="1">
      <alignment horizontal="center" wrapText="1"/>
    </xf>
    <xf numFmtId="14" fontId="6" fillId="0" borderId="12" xfId="0" applyNumberFormat="1" applyFont="1" applyFill="1" applyBorder="1" applyAlignment="1">
      <alignment horizontal="center" wrapText="1"/>
    </xf>
    <xf numFmtId="0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43" fontId="6" fillId="0" borderId="12" xfId="0" applyNumberFormat="1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14" fontId="6" fillId="0" borderId="15" xfId="0" applyNumberFormat="1" applyFont="1" applyFill="1" applyBorder="1" applyAlignment="1">
      <alignment horizontal="center" wrapText="1"/>
    </xf>
    <xf numFmtId="0" fontId="6" fillId="0" borderId="15" xfId="0" applyNumberFormat="1" applyFont="1" applyFill="1" applyBorder="1" applyAlignment="1">
      <alignment horizontal="center" wrapText="1"/>
    </xf>
    <xf numFmtId="2" fontId="6" fillId="0" borderId="15" xfId="0" applyNumberFormat="1" applyFont="1" applyFill="1" applyBorder="1" applyAlignment="1">
      <alignment horizontal="center" wrapText="1"/>
    </xf>
    <xf numFmtId="43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17" fontId="6" fillId="0" borderId="14" xfId="0" applyNumberFormat="1" applyFont="1" applyFill="1" applyBorder="1" applyAlignment="1">
      <alignment horizontal="center"/>
    </xf>
    <xf numFmtId="14" fontId="6" fillId="0" borderId="15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43" fontId="6" fillId="0" borderId="15" xfId="0" applyNumberFormat="1" applyFont="1" applyFill="1" applyBorder="1"/>
    <xf numFmtId="4" fontId="6" fillId="0" borderId="15" xfId="1" applyNumberFormat="1" applyFont="1" applyFill="1" applyBorder="1"/>
    <xf numFmtId="4" fontId="6" fillId="0" borderId="16" xfId="1" applyNumberFormat="1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14" fontId="6" fillId="0" borderId="1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3" fontId="6" fillId="0" borderId="19" xfId="0" applyNumberFormat="1" applyFont="1" applyFill="1" applyBorder="1"/>
    <xf numFmtId="4" fontId="6" fillId="0" borderId="19" xfId="1" applyNumberFormat="1" applyFont="1" applyFill="1" applyBorder="1"/>
    <xf numFmtId="4" fontId="6" fillId="0" borderId="20" xfId="1" applyNumberFormat="1" applyFont="1" applyFill="1" applyBorder="1"/>
    <xf numFmtId="14" fontId="6" fillId="0" borderId="11" xfId="0" applyNumberFormat="1" applyFont="1" applyFill="1" applyBorder="1" applyAlignment="1">
      <alignment horizontal="center"/>
    </xf>
    <xf numFmtId="14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43" fontId="6" fillId="0" borderId="12" xfId="0" applyNumberFormat="1" applyFont="1" applyFill="1" applyBorder="1"/>
    <xf numFmtId="4" fontId="6" fillId="0" borderId="12" xfId="1" applyNumberFormat="1" applyFont="1" applyFill="1" applyBorder="1"/>
    <xf numFmtId="4" fontId="6" fillId="0" borderId="13" xfId="1" applyNumberFormat="1" applyFont="1" applyFill="1" applyBorder="1"/>
    <xf numFmtId="14" fontId="6" fillId="0" borderId="14" xfId="0" applyNumberFormat="1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center"/>
    </xf>
    <xf numFmtId="4" fontId="6" fillId="0" borderId="17" xfId="1" applyNumberFormat="1" applyFont="1" applyFill="1" applyBorder="1"/>
    <xf numFmtId="4" fontId="6" fillId="0" borderId="23" xfId="0" applyNumberFormat="1" applyFont="1" applyFill="1" applyBorder="1"/>
    <xf numFmtId="4" fontId="6" fillId="0" borderId="21" xfId="0" applyNumberFormat="1" applyFont="1" applyFill="1" applyBorder="1"/>
    <xf numFmtId="43" fontId="6" fillId="0" borderId="23" xfId="0" applyNumberFormat="1" applyFont="1" applyFill="1" applyBorder="1" applyAlignment="1">
      <alignment horizontal="center" wrapText="1"/>
    </xf>
    <xf numFmtId="43" fontId="6" fillId="0" borderId="21" xfId="0" applyNumberFormat="1" applyFont="1" applyFill="1" applyBorder="1" applyAlignment="1">
      <alignment horizontal="center" wrapText="1"/>
    </xf>
    <xf numFmtId="17" fontId="6" fillId="0" borderId="11" xfId="0" applyNumberFormat="1" applyFont="1" applyFill="1" applyBorder="1" applyAlignment="1">
      <alignment horizontal="center"/>
    </xf>
    <xf numFmtId="4" fontId="4" fillId="0" borderId="15" xfId="1" applyNumberFormat="1" applyFont="1" applyFill="1" applyBorder="1"/>
    <xf numFmtId="4" fontId="4" fillId="0" borderId="15" xfId="0" applyNumberFormat="1" applyFont="1" applyFill="1" applyBorder="1"/>
    <xf numFmtId="8" fontId="0" fillId="0" borderId="0" xfId="0" applyNumberFormat="1"/>
    <xf numFmtId="8" fontId="0" fillId="2" borderId="1" xfId="0" applyNumberFormat="1" applyFill="1" applyBorder="1" applyAlignment="1">
      <alignment horizontal="center"/>
    </xf>
    <xf numFmtId="8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3" fontId="1" fillId="0" borderId="15" xfId="0" applyNumberFormat="1" applyFont="1" applyFill="1" applyBorder="1"/>
    <xf numFmtId="4" fontId="1" fillId="0" borderId="16" xfId="0" applyNumberFormat="1" applyFont="1" applyFill="1" applyBorder="1"/>
    <xf numFmtId="0" fontId="1" fillId="0" borderId="19" xfId="0" applyNumberFormat="1" applyFont="1" applyFill="1" applyBorder="1" applyAlignment="1">
      <alignment horizontal="center"/>
    </xf>
    <xf numFmtId="39" fontId="1" fillId="0" borderId="19" xfId="0" applyNumberFormat="1" applyFont="1" applyFill="1" applyBorder="1"/>
    <xf numFmtId="43" fontId="1" fillId="0" borderId="0" xfId="1"/>
    <xf numFmtId="0" fontId="6" fillId="0" borderId="25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44" fontId="10" fillId="0" borderId="5" xfId="3" applyFont="1" applyFill="1" applyBorder="1"/>
    <xf numFmtId="4" fontId="10" fillId="0" borderId="26" xfId="1" applyNumberFormat="1" applyFont="1" applyFill="1" applyBorder="1"/>
    <xf numFmtId="0" fontId="10" fillId="0" borderId="25" xfId="0" applyFont="1" applyFill="1" applyBorder="1" applyAlignment="1">
      <alignment horizontal="center"/>
    </xf>
    <xf numFmtId="14" fontId="10" fillId="0" borderId="27" xfId="0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43" fontId="10" fillId="0" borderId="27" xfId="0" applyNumberFormat="1" applyFont="1" applyFill="1" applyBorder="1"/>
    <xf numFmtId="4" fontId="10" fillId="0" borderId="27" xfId="1" applyNumberFormat="1" applyFont="1" applyFill="1" applyBorder="1"/>
    <xf numFmtId="4" fontId="10" fillId="0" borderId="28" xfId="1" applyNumberFormat="1" applyFont="1" applyFill="1" applyBorder="1"/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9" fillId="0" borderId="15" xfId="0" applyFont="1" applyFill="1" applyBorder="1" applyAlignment="1"/>
    <xf numFmtId="4" fontId="9" fillId="0" borderId="16" xfId="0" applyNumberFormat="1" applyFont="1" applyFill="1" applyBorder="1"/>
    <xf numFmtId="0" fontId="1" fillId="0" borderId="1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center"/>
    </xf>
    <xf numFmtId="43" fontId="1" fillId="0" borderId="23" xfId="0" applyNumberFormat="1" applyFont="1" applyFill="1" applyBorder="1"/>
    <xf numFmtId="14" fontId="1" fillId="0" borderId="15" xfId="0" applyNumberFormat="1" applyFont="1" applyFill="1" applyBorder="1" applyAlignment="1">
      <alignment horizontal="center"/>
    </xf>
    <xf numFmtId="164" fontId="1" fillId="0" borderId="15" xfId="3" applyNumberFormat="1" applyFont="1" applyFill="1" applyBorder="1"/>
    <xf numFmtId="164" fontId="1" fillId="0" borderId="16" xfId="3" applyNumberFormat="1" applyFont="1" applyFill="1" applyBorder="1"/>
    <xf numFmtId="164" fontId="1" fillId="0" borderId="19" xfId="3" applyNumberFormat="1" applyFont="1" applyFill="1" applyBorder="1"/>
    <xf numFmtId="164" fontId="1" fillId="0" borderId="20" xfId="3" applyNumberFormat="1" applyFont="1" applyFill="1" applyBorder="1"/>
    <xf numFmtId="0" fontId="4" fillId="0" borderId="7" xfId="0" applyFont="1" applyFill="1" applyBorder="1" applyAlignment="1">
      <alignment horizontal="center" wrapText="1"/>
    </xf>
    <xf numFmtId="4" fontId="1" fillId="0" borderId="15" xfId="0" applyNumberFormat="1" applyFont="1" applyFill="1" applyBorder="1"/>
    <xf numFmtId="43" fontId="1" fillId="0" borderId="15" xfId="1" applyFont="1" applyFill="1" applyBorder="1"/>
    <xf numFmtId="39" fontId="1" fillId="0" borderId="15" xfId="0" applyNumberFormat="1" applyFont="1" applyFill="1" applyBorder="1"/>
    <xf numFmtId="14" fontId="6" fillId="0" borderId="1" xfId="0" applyNumberFormat="1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6" fillId="0" borderId="1" xfId="1" applyNumberFormat="1" applyFont="1" applyFill="1" applyBorder="1"/>
    <xf numFmtId="43" fontId="1" fillId="0" borderId="1" xfId="0" applyNumberFormat="1" applyFont="1" applyFill="1" applyBorder="1"/>
    <xf numFmtId="0" fontId="1" fillId="0" borderId="12" xfId="0" applyFont="1" applyFill="1" applyBorder="1" applyAlignment="1">
      <alignment horizontal="center"/>
    </xf>
    <xf numFmtId="165" fontId="6" fillId="0" borderId="0" xfId="0" applyNumberFormat="1" applyFont="1" applyFill="1"/>
    <xf numFmtId="165" fontId="6" fillId="0" borderId="0" xfId="0" applyNumberFormat="1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16" fillId="0" borderId="0" xfId="0" applyFont="1" applyFill="1"/>
    <xf numFmtId="164" fontId="0" fillId="0" borderId="0" xfId="3" applyNumberFormat="1" applyFont="1" applyFill="1" applyBorder="1"/>
    <xf numFmtId="0" fontId="10" fillId="0" borderId="34" xfId="0" applyFont="1" applyFill="1" applyBorder="1"/>
    <xf numFmtId="0" fontId="10" fillId="0" borderId="35" xfId="0" applyFont="1" applyFill="1" applyBorder="1"/>
    <xf numFmtId="0" fontId="10" fillId="0" borderId="29" xfId="0" applyFont="1" applyFill="1" applyBorder="1"/>
    <xf numFmtId="0" fontId="10" fillId="0" borderId="31" xfId="0" applyFont="1" applyFill="1" applyBorder="1"/>
    <xf numFmtId="0" fontId="10" fillId="0" borderId="32" xfId="0" applyFont="1" applyFill="1" applyBorder="1"/>
    <xf numFmtId="164" fontId="6" fillId="0" borderId="0" xfId="0" applyNumberFormat="1" applyFont="1" applyFill="1"/>
    <xf numFmtId="164" fontId="10" fillId="0" borderId="0" xfId="3" applyNumberFormat="1" applyFont="1" applyFill="1" applyBorder="1"/>
    <xf numFmtId="0" fontId="6" fillId="0" borderId="34" xfId="0" applyFont="1" applyFill="1" applyBorder="1"/>
    <xf numFmtId="164" fontId="6" fillId="0" borderId="31" xfId="0" applyNumberFormat="1" applyFont="1" applyFill="1" applyBorder="1"/>
    <xf numFmtId="0" fontId="6" fillId="0" borderId="0" xfId="0" applyFont="1" applyFill="1" applyBorder="1"/>
    <xf numFmtId="44" fontId="6" fillId="0" borderId="0" xfId="0" applyNumberFormat="1" applyFont="1" applyFill="1"/>
    <xf numFmtId="0" fontId="10" fillId="0" borderId="0" xfId="0" applyNumberFormat="1" applyFont="1" applyFill="1"/>
    <xf numFmtId="0" fontId="6" fillId="0" borderId="0" xfId="3" applyNumberFormat="1" applyFont="1" applyFill="1" applyBorder="1"/>
    <xf numFmtId="0" fontId="14" fillId="0" borderId="0" xfId="0" applyFont="1" applyFill="1"/>
    <xf numFmtId="44" fontId="0" fillId="0" borderId="0" xfId="3" applyFont="1"/>
    <xf numFmtId="0" fontId="0" fillId="0" borderId="0" xfId="0" applyFont="1" applyFill="1"/>
    <xf numFmtId="44" fontId="6" fillId="0" borderId="15" xfId="3" applyFont="1" applyFill="1" applyBorder="1"/>
    <xf numFmtId="44" fontId="6" fillId="0" borderId="16" xfId="3" applyFont="1" applyFill="1" applyBorder="1"/>
    <xf numFmtId="44" fontId="6" fillId="0" borderId="7" xfId="3" applyFont="1" applyFill="1" applyBorder="1" applyAlignment="1">
      <alignment horizontal="center" wrapText="1"/>
    </xf>
    <xf numFmtId="0" fontId="8" fillId="0" borderId="0" xfId="0" applyFont="1" applyFill="1" applyAlignment="1"/>
    <xf numFmtId="44" fontId="6" fillId="0" borderId="0" xfId="4" applyFont="1" applyFill="1"/>
    <xf numFmtId="44" fontId="6" fillId="0" borderId="0" xfId="4" applyFont="1" applyFill="1" applyBorder="1"/>
    <xf numFmtId="0" fontId="17" fillId="0" borderId="0" xfId="0" applyFont="1" applyFill="1" applyAlignment="1"/>
    <xf numFmtId="44" fontId="0" fillId="0" borderId="0" xfId="4" applyFont="1" applyFill="1"/>
    <xf numFmtId="44" fontId="6" fillId="0" borderId="3" xfId="4" applyFont="1" applyFill="1" applyBorder="1"/>
    <xf numFmtId="44" fontId="6" fillId="0" borderId="5" xfId="0" applyNumberFormat="1" applyFont="1" applyFill="1" applyBorder="1"/>
    <xf numFmtId="14" fontId="6" fillId="0" borderId="0" xfId="0" applyNumberFormat="1" applyFont="1" applyFill="1" applyAlignment="1">
      <alignment horizontal="center"/>
    </xf>
    <xf numFmtId="4" fontId="6" fillId="0" borderId="12" xfId="2" applyNumberFormat="1" applyFont="1" applyFill="1" applyBorder="1"/>
    <xf numFmtId="4" fontId="6" fillId="0" borderId="13" xfId="2" applyNumberFormat="1" applyFont="1" applyFill="1" applyBorder="1"/>
    <xf numFmtId="4" fontId="6" fillId="0" borderId="15" xfId="2" applyNumberFormat="1" applyFont="1" applyFill="1" applyBorder="1"/>
    <xf numFmtId="4" fontId="6" fillId="0" borderId="16" xfId="2" applyNumberFormat="1" applyFont="1" applyFill="1" applyBorder="1"/>
    <xf numFmtId="4" fontId="4" fillId="0" borderId="15" xfId="2" applyNumberFormat="1" applyFont="1" applyFill="1" applyBorder="1"/>
    <xf numFmtId="0" fontId="6" fillId="0" borderId="22" xfId="0" applyFont="1" applyFill="1" applyBorder="1"/>
    <xf numFmtId="4" fontId="6" fillId="0" borderId="17" xfId="2" applyNumberFormat="1" applyFont="1" applyFill="1" applyBorder="1"/>
    <xf numFmtId="0" fontId="6" fillId="0" borderId="6" xfId="0" applyFont="1" applyFill="1" applyBorder="1"/>
    <xf numFmtId="1" fontId="6" fillId="0" borderId="0" xfId="0" applyNumberFormat="1" applyFont="1" applyFill="1"/>
    <xf numFmtId="4" fontId="6" fillId="0" borderId="19" xfId="2" applyNumberFormat="1" applyFont="1" applyFill="1" applyBorder="1"/>
    <xf numFmtId="4" fontId="6" fillId="0" borderId="20" xfId="2" applyNumberFormat="1" applyFont="1" applyFill="1" applyBorder="1"/>
    <xf numFmtId="4" fontId="6" fillId="0" borderId="0" xfId="0" applyNumberFormat="1" applyFont="1" applyFill="1"/>
    <xf numFmtId="164" fontId="0" fillId="0" borderId="0" xfId="4" applyNumberFormat="1" applyFont="1" applyFill="1" applyBorder="1"/>
    <xf numFmtId="0" fontId="6" fillId="0" borderId="35" xfId="0" applyFont="1" applyFill="1" applyBorder="1"/>
    <xf numFmtId="164" fontId="6" fillId="0" borderId="0" xfId="4" applyNumberFormat="1" applyFont="1" applyFill="1" applyBorder="1"/>
    <xf numFmtId="0" fontId="6" fillId="0" borderId="29" xfId="0" applyFont="1" applyFill="1" applyBorder="1"/>
    <xf numFmtId="0" fontId="6" fillId="0" borderId="31" xfId="0" applyFont="1" applyFill="1" applyBorder="1"/>
    <xf numFmtId="0" fontId="6" fillId="0" borderId="32" xfId="0" applyFont="1" applyFill="1" applyBorder="1"/>
    <xf numFmtId="4" fontId="4" fillId="0" borderId="0" xfId="0" applyNumberFormat="1" applyFont="1" applyFill="1"/>
    <xf numFmtId="4" fontId="4" fillId="0" borderId="16" xfId="1" applyNumberFormat="1" applyFont="1" applyFill="1" applyBorder="1"/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2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3" fillId="0" borderId="0" xfId="3" applyFont="1" applyFill="1" applyBorder="1" applyAlignment="1"/>
    <xf numFmtId="164" fontId="5" fillId="0" borderId="0" xfId="3" applyNumberFormat="1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right"/>
    </xf>
    <xf numFmtId="164" fontId="0" fillId="2" borderId="36" xfId="3" applyNumberFormat="1" applyFont="1" applyFill="1" applyBorder="1" applyAlignment="1">
      <alignment horizontal="center"/>
    </xf>
    <xf numFmtId="164" fontId="0" fillId="2" borderId="1" xfId="3" applyNumberFormat="1" applyFont="1" applyFill="1" applyBorder="1" applyAlignment="1">
      <alignment horizontal="center"/>
    </xf>
    <xf numFmtId="164" fontId="3" fillId="0" borderId="37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/>
    <xf numFmtId="164" fontId="0" fillId="0" borderId="0" xfId="3" applyNumberFormat="1" applyFont="1"/>
    <xf numFmtId="164" fontId="0" fillId="0" borderId="0" xfId="3" applyNumberFormat="1" applyFont="1" applyFill="1"/>
    <xf numFmtId="164" fontId="3" fillId="0" borderId="37" xfId="3" applyNumberFormat="1" applyFont="1" applyFill="1" applyBorder="1" applyAlignment="1"/>
    <xf numFmtId="164" fontId="3" fillId="0" borderId="1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1" fillId="0" borderId="0" xfId="0" applyFont="1" applyFill="1" applyBorder="1"/>
    <xf numFmtId="0" fontId="3" fillId="0" borderId="0" xfId="0" applyFont="1" applyFill="1" applyBorder="1"/>
    <xf numFmtId="6" fontId="3" fillId="0" borderId="1" xfId="0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0" fillId="2" borderId="1" xfId="0" applyNumberFormat="1" applyFill="1" applyBorder="1" applyAlignment="1">
      <alignment horizontal="center"/>
    </xf>
    <xf numFmtId="6" fontId="0" fillId="2" borderId="1" xfId="3" applyNumberFormat="1" applyFont="1" applyFill="1" applyBorder="1" applyAlignment="1">
      <alignment horizontal="center"/>
    </xf>
    <xf numFmtId="6" fontId="3" fillId="0" borderId="9" xfId="3" applyNumberFormat="1" applyFont="1" applyFill="1" applyBorder="1" applyAlignment="1">
      <alignment horizontal="right"/>
    </xf>
    <xf numFmtId="6" fontId="3" fillId="0" borderId="1" xfId="0" applyNumberFormat="1" applyFont="1" applyFill="1" applyBorder="1" applyAlignment="1"/>
    <xf numFmtId="164" fontId="3" fillId="0" borderId="1" xfId="3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9" xfId="0" applyFont="1" applyFill="1" applyBorder="1" applyAlignment="1"/>
    <xf numFmtId="0" fontId="4" fillId="0" borderId="39" xfId="0" applyFont="1" applyFill="1" applyBorder="1" applyAlignment="1"/>
    <xf numFmtId="0" fontId="4" fillId="0" borderId="36" xfId="0" applyFont="1" applyFill="1" applyBorder="1" applyAlignment="1"/>
    <xf numFmtId="0" fontId="17" fillId="0" borderId="0" xfId="0" applyFont="1" applyFill="1"/>
    <xf numFmtId="0" fontId="6" fillId="0" borderId="33" xfId="0" applyFont="1" applyFill="1" applyBorder="1"/>
    <xf numFmtId="0" fontId="0" fillId="0" borderId="34" xfId="0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0" fillId="0" borderId="10" xfId="0" applyFill="1" applyBorder="1"/>
    <xf numFmtId="164" fontId="0" fillId="0" borderId="29" xfId="4" applyNumberFormat="1" applyFont="1" applyFill="1" applyBorder="1"/>
    <xf numFmtId="0" fontId="0" fillId="0" borderId="30" xfId="0" applyFill="1" applyBorder="1"/>
    <xf numFmtId="164" fontId="0" fillId="0" borderId="31" xfId="4" applyNumberFormat="1" applyFont="1" applyFill="1" applyBorder="1"/>
    <xf numFmtId="164" fontId="0" fillId="0" borderId="32" xfId="4" applyNumberFormat="1" applyFont="1" applyFill="1" applyBorder="1"/>
    <xf numFmtId="164" fontId="0" fillId="0" borderId="10" xfId="4" applyNumberFormat="1" applyFont="1" applyFill="1" applyBorder="1"/>
    <xf numFmtId="164" fontId="0" fillId="0" borderId="30" xfId="4" applyNumberFormat="1" applyFont="1" applyFill="1" applyBorder="1"/>
    <xf numFmtId="43" fontId="10" fillId="0" borderId="15" xfId="1" applyFont="1" applyFill="1" applyBorder="1" applyAlignment="1">
      <alignment horizontal="right"/>
    </xf>
    <xf numFmtId="0" fontId="0" fillId="0" borderId="33" xfId="0" applyFill="1" applyBorder="1"/>
    <xf numFmtId="0" fontId="0" fillId="0" borderId="35" xfId="0" applyFill="1" applyBorder="1" applyAlignment="1">
      <alignment horizontal="center"/>
    </xf>
    <xf numFmtId="164" fontId="6" fillId="0" borderId="0" xfId="3" applyNumberFormat="1" applyFont="1" applyFill="1" applyBorder="1"/>
    <xf numFmtId="164" fontId="0" fillId="0" borderId="29" xfId="3" applyNumberFormat="1" applyFont="1" applyFill="1" applyBorder="1"/>
    <xf numFmtId="164" fontId="0" fillId="0" borderId="31" xfId="3" applyNumberFormat="1" applyFont="1" applyFill="1" applyBorder="1"/>
    <xf numFmtId="164" fontId="0" fillId="0" borderId="32" xfId="3" applyNumberFormat="1" applyFont="1" applyFill="1" applyBorder="1"/>
    <xf numFmtId="0" fontId="0" fillId="0" borderId="33" xfId="0" applyFill="1" applyBorder="1" applyAlignment="1">
      <alignment horizontal="center"/>
    </xf>
    <xf numFmtId="164" fontId="0" fillId="0" borderId="10" xfId="3" applyNumberFormat="1" applyFont="1" applyFill="1" applyBorder="1"/>
    <xf numFmtId="164" fontId="0" fillId="0" borderId="30" xfId="3" applyNumberFormat="1" applyFont="1" applyFill="1" applyBorder="1"/>
    <xf numFmtId="164" fontId="6" fillId="0" borderId="13" xfId="3" applyNumberFormat="1" applyFont="1" applyFill="1" applyBorder="1"/>
    <xf numFmtId="164" fontId="6" fillId="0" borderId="16" xfId="3" applyNumberFormat="1" applyFont="1" applyFill="1" applyBorder="1"/>
    <xf numFmtId="43" fontId="1" fillId="0" borderId="22" xfId="0" applyNumberFormat="1" applyFont="1" applyFill="1" applyBorder="1"/>
    <xf numFmtId="0" fontId="0" fillId="0" borderId="0" xfId="0" applyFill="1" applyAlignment="1"/>
    <xf numFmtId="14" fontId="6" fillId="0" borderId="26" xfId="0" applyNumberFormat="1" applyFont="1" applyFill="1" applyBorder="1" applyAlignment="1">
      <alignment horizontal="center"/>
    </xf>
    <xf numFmtId="44" fontId="1" fillId="0" borderId="0" xfId="4" applyFont="1" applyFill="1"/>
    <xf numFmtId="43" fontId="1" fillId="0" borderId="0" xfId="2" applyFont="1" applyFill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5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36" xfId="0" applyFont="1" applyFill="1" applyBorder="1" applyAlignment="1">
      <alignment horizontal="center"/>
    </xf>
    <xf numFmtId="43" fontId="9" fillId="0" borderId="17" xfId="0" applyNumberFormat="1" applyFont="1" applyFill="1" applyBorder="1" applyAlignment="1">
      <alignment horizontal="right"/>
    </xf>
    <xf numFmtId="43" fontId="9" fillId="0" borderId="26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/>
    </xf>
  </cellXfs>
  <cellStyles count="7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660587</xdr:colOff>
      <xdr:row>27</xdr:row>
      <xdr:rowOff>65553</xdr:rowOff>
    </xdr:from>
    <xdr:to>
      <xdr:col>8</xdr:col>
      <xdr:colOff>826434</xdr:colOff>
      <xdr:row>30</xdr:row>
      <xdr:rowOff>80681</xdr:rowOff>
    </xdr:to>
    <xdr:sp macro="" textlink="">
      <xdr:nvSpPr>
        <xdr:cNvPr id="4" name="TextBox 3"/>
        <xdr:cNvSpPr txBox="1"/>
      </xdr:nvSpPr>
      <xdr:spPr>
        <a:xfrm>
          <a:off x="9434793" y="6273612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5</a:t>
          </a:r>
          <a:endParaRPr lang="en-US" sz="1100"/>
        </a:p>
      </xdr:txBody>
    </xdr:sp>
    <xdr:clientData/>
  </xdr:twoCellAnchor>
  <xdr:twoCellAnchor>
    <xdr:from>
      <xdr:col>8</xdr:col>
      <xdr:colOff>216834</xdr:colOff>
      <xdr:row>24</xdr:row>
      <xdr:rowOff>33617</xdr:rowOff>
    </xdr:from>
    <xdr:to>
      <xdr:col>8</xdr:col>
      <xdr:colOff>593912</xdr:colOff>
      <xdr:row>27</xdr:row>
      <xdr:rowOff>65553</xdr:rowOff>
    </xdr:to>
    <xdr:cxnSp macro="">
      <xdr:nvCxnSpPr>
        <xdr:cNvPr id="5" name="Straight Arrow Connector 4"/>
        <xdr:cNvCxnSpPr>
          <a:stCxn id="4" idx="0"/>
        </xdr:cNvCxnSpPr>
      </xdr:nvCxnSpPr>
      <xdr:spPr>
        <a:xfrm flipV="1">
          <a:off x="10044393" y="4829735"/>
          <a:ext cx="377078" cy="50258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209549</xdr:colOff>
      <xdr:row>27</xdr:row>
      <xdr:rowOff>65552</xdr:rowOff>
    </xdr:from>
    <xdr:to>
      <xdr:col>7</xdr:col>
      <xdr:colOff>470086</xdr:colOff>
      <xdr:row>30</xdr:row>
      <xdr:rowOff>80680</xdr:rowOff>
    </xdr:to>
    <xdr:sp macro="" textlink="">
      <xdr:nvSpPr>
        <xdr:cNvPr id="6" name="TextBox 5"/>
        <xdr:cNvSpPr txBox="1"/>
      </xdr:nvSpPr>
      <xdr:spPr>
        <a:xfrm>
          <a:off x="7863167" y="6273611"/>
          <a:ext cx="1381125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Sum is input to Schedule 22, Line</a:t>
          </a:r>
          <a:r>
            <a:rPr lang="en-US" sz="1100" baseline="0"/>
            <a:t> 10</a:t>
          </a:r>
          <a:endParaRPr lang="en-US" sz="1100"/>
        </a:p>
      </xdr:txBody>
    </xdr:sp>
    <xdr:clientData/>
  </xdr:twoCellAnchor>
  <xdr:twoCellAnchor>
    <xdr:from>
      <xdr:col>6</xdr:col>
      <xdr:colOff>44823</xdr:colOff>
      <xdr:row>24</xdr:row>
      <xdr:rowOff>78441</xdr:rowOff>
    </xdr:from>
    <xdr:to>
      <xdr:col>6</xdr:col>
      <xdr:colOff>900112</xdr:colOff>
      <xdr:row>27</xdr:row>
      <xdr:rowOff>65552</xdr:rowOff>
    </xdr:to>
    <xdr:cxnSp macro="">
      <xdr:nvCxnSpPr>
        <xdr:cNvPr id="7" name="Straight Arrow Connector 6"/>
        <xdr:cNvCxnSpPr>
          <a:stCxn id="6" idx="0"/>
        </xdr:cNvCxnSpPr>
      </xdr:nvCxnSpPr>
      <xdr:spPr>
        <a:xfrm flipH="1" flipV="1">
          <a:off x="7698441" y="4874559"/>
          <a:ext cx="855289" cy="45775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33617</xdr:colOff>
      <xdr:row>25</xdr:row>
      <xdr:rowOff>67235</xdr:rowOff>
    </xdr:from>
    <xdr:to>
      <xdr:col>6</xdr:col>
      <xdr:colOff>900112</xdr:colOff>
      <xdr:row>27</xdr:row>
      <xdr:rowOff>65552</xdr:rowOff>
    </xdr:to>
    <xdr:cxnSp macro="">
      <xdr:nvCxnSpPr>
        <xdr:cNvPr id="8" name="Straight Arrow Connector 7"/>
        <xdr:cNvCxnSpPr>
          <a:stCxn id="6" idx="0"/>
        </xdr:cNvCxnSpPr>
      </xdr:nvCxnSpPr>
      <xdr:spPr>
        <a:xfrm flipH="1" flipV="1">
          <a:off x="7687235" y="5020235"/>
          <a:ext cx="866495" cy="31208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694204</xdr:colOff>
      <xdr:row>36</xdr:row>
      <xdr:rowOff>99171</xdr:rowOff>
    </xdr:from>
    <xdr:to>
      <xdr:col>8</xdr:col>
      <xdr:colOff>860051</xdr:colOff>
      <xdr:row>39</xdr:row>
      <xdr:rowOff>114299</xdr:rowOff>
    </xdr:to>
    <xdr:sp macro="" textlink="">
      <xdr:nvSpPr>
        <xdr:cNvPr id="7" name="TextBox 6"/>
        <xdr:cNvSpPr txBox="1"/>
      </xdr:nvSpPr>
      <xdr:spPr>
        <a:xfrm>
          <a:off x="9042586" y="6889936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1</a:t>
          </a:r>
          <a:endParaRPr lang="en-US" sz="1100"/>
        </a:p>
      </xdr:txBody>
    </xdr:sp>
    <xdr:clientData/>
  </xdr:twoCellAnchor>
  <xdr:twoCellAnchor>
    <xdr:from>
      <xdr:col>8</xdr:col>
      <xdr:colOff>250451</xdr:colOff>
      <xdr:row>34</xdr:row>
      <xdr:rowOff>33617</xdr:rowOff>
    </xdr:from>
    <xdr:to>
      <xdr:col>8</xdr:col>
      <xdr:colOff>582706</xdr:colOff>
      <xdr:row>36</xdr:row>
      <xdr:rowOff>99171</xdr:rowOff>
    </xdr:to>
    <xdr:cxnSp macro="">
      <xdr:nvCxnSpPr>
        <xdr:cNvPr id="8" name="Straight Arrow Connector 7"/>
        <xdr:cNvCxnSpPr>
          <a:stCxn id="7" idx="0"/>
        </xdr:cNvCxnSpPr>
      </xdr:nvCxnSpPr>
      <xdr:spPr>
        <a:xfrm flipV="1">
          <a:off x="9652186" y="5412441"/>
          <a:ext cx="332255" cy="37931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 enableFormatConditionsCalculation="0">
    <tabColor theme="0" tint="-4.9989318521683403E-2"/>
  </sheetPr>
  <dimension ref="A1:I35"/>
  <sheetViews>
    <sheetView tabSelected="1" view="pageLayout" zoomScale="80" zoomScaleNormal="100" zoomScaleSheetLayoutView="85" zoomScalePageLayoutView="80" workbookViewId="0">
      <selection activeCell="M16" sqref="M16:N16"/>
    </sheetView>
  </sheetViews>
  <sheetFormatPr defaultRowHeight="12.75" x14ac:dyDescent="0.2"/>
  <cols>
    <col min="1" max="1" width="41.28515625" bestFit="1" customWidth="1"/>
    <col min="2" max="2" width="14" style="151" bestFit="1" customWidth="1"/>
    <col min="3" max="3" width="14.5703125" style="151" bestFit="1" customWidth="1"/>
    <col min="4" max="5" width="14.5703125" style="224" bestFit="1" customWidth="1"/>
    <col min="6" max="6" width="15.5703125" style="224" customWidth="1"/>
    <col min="7" max="7" width="16.85546875" style="224" bestFit="1" customWidth="1"/>
    <col min="8" max="8" width="15.7109375" style="224" bestFit="1" customWidth="1"/>
    <col min="9" max="9" width="16.140625" style="224" customWidth="1"/>
    <col min="10" max="10" width="10.140625" bestFit="1" customWidth="1"/>
    <col min="11" max="12" width="14" bestFit="1" customWidth="1"/>
  </cols>
  <sheetData>
    <row r="1" spans="1:9" s="180" customFormat="1" ht="15.75" x14ac:dyDescent="0.25">
      <c r="A1" s="322" t="s">
        <v>170</v>
      </c>
      <c r="B1" s="323"/>
      <c r="C1" s="323"/>
      <c r="D1" s="323"/>
      <c r="E1" s="323"/>
      <c r="F1" s="323"/>
      <c r="G1" s="260"/>
      <c r="H1" s="260"/>
      <c r="I1" s="260"/>
    </row>
    <row r="2" spans="1:9" x14ac:dyDescent="0.2">
      <c r="A2" s="18"/>
      <c r="B2" s="153"/>
      <c r="C2" s="153"/>
      <c r="D2" s="261"/>
      <c r="E2" s="261"/>
      <c r="F2" s="261"/>
      <c r="G2" s="261"/>
      <c r="H2" s="261"/>
      <c r="I2" s="261"/>
    </row>
    <row r="3" spans="1:9" x14ac:dyDescent="0.2">
      <c r="A3" s="207" t="s">
        <v>168</v>
      </c>
      <c r="B3" s="152" t="s">
        <v>101</v>
      </c>
      <c r="C3" s="152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9" x14ac:dyDescent="0.2">
      <c r="A4" s="170" t="s">
        <v>2</v>
      </c>
      <c r="B4" s="280">
        <f>Mountainview!H62</f>
        <v>601481.94000000018</v>
      </c>
      <c r="C4" s="280">
        <v>0</v>
      </c>
      <c r="D4" s="281">
        <v>0</v>
      </c>
      <c r="E4" s="281">
        <v>0</v>
      </c>
      <c r="F4" s="281">
        <f>SUM(B4:E4)</f>
        <v>601481.94000000018</v>
      </c>
      <c r="G4" s="267">
        <f>Mountainview!C29</f>
        <v>12029638.800000003</v>
      </c>
      <c r="H4" s="268">
        <f>SUM(Mountainview!H41:H62)</f>
        <v>12029638.800000001</v>
      </c>
      <c r="I4" s="268">
        <f>G4-H4</f>
        <v>0</v>
      </c>
    </row>
    <row r="5" spans="1:9" x14ac:dyDescent="0.2">
      <c r="A5" s="170" t="s">
        <v>3</v>
      </c>
      <c r="B5" s="280">
        <f>Mountainview!G62+Mountainview!I62</f>
        <v>81203.112972628354</v>
      </c>
      <c r="C5" s="280">
        <v>0</v>
      </c>
      <c r="D5" s="281">
        <v>0</v>
      </c>
      <c r="E5" s="281">
        <v>0</v>
      </c>
      <c r="F5" s="281">
        <f>SUM(B5:E5)</f>
        <v>81203.112972628354</v>
      </c>
      <c r="G5" s="270"/>
      <c r="H5" s="270"/>
      <c r="I5" s="270"/>
    </row>
    <row r="6" spans="1:9" x14ac:dyDescent="0.2">
      <c r="A6" s="170" t="s">
        <v>4</v>
      </c>
      <c r="B6" s="280">
        <f>SUM(Mountainview!G112+Mountainview!I112)+(Mountainview!G160+Mountainview!I160)</f>
        <v>10400.267356711827</v>
      </c>
      <c r="C6" s="280">
        <v>0</v>
      </c>
      <c r="D6" s="281">
        <f>SUM(Mountainview!G113+Mountainview!I113)+(Mountainview!G162+Mountainview!I162)</f>
        <v>0</v>
      </c>
      <c r="E6" s="281">
        <v>0</v>
      </c>
      <c r="F6" s="281">
        <f>SUM(B6:E6)</f>
        <v>10400.267356711827</v>
      </c>
      <c r="G6" s="270"/>
      <c r="H6" s="270"/>
      <c r="I6" s="270"/>
    </row>
    <row r="7" spans="1:9" x14ac:dyDescent="0.2">
      <c r="A7" s="15"/>
      <c r="B7" s="280"/>
      <c r="C7" s="280"/>
      <c r="D7" s="281"/>
      <c r="E7" s="281"/>
      <c r="F7" s="281"/>
      <c r="G7" s="264"/>
      <c r="H7" s="264"/>
      <c r="I7" s="264"/>
    </row>
    <row r="8" spans="1:9" x14ac:dyDescent="0.2">
      <c r="A8" s="206" t="s">
        <v>156</v>
      </c>
      <c r="B8" s="282" t="s">
        <v>101</v>
      </c>
      <c r="C8" s="282" t="s">
        <v>102</v>
      </c>
      <c r="D8" s="283" t="s">
        <v>103</v>
      </c>
      <c r="E8" s="283" t="s">
        <v>104</v>
      </c>
      <c r="F8" s="283" t="s">
        <v>0</v>
      </c>
      <c r="G8" s="265" t="s">
        <v>159</v>
      </c>
      <c r="H8" s="266" t="s">
        <v>160</v>
      </c>
      <c r="I8" s="266" t="s">
        <v>105</v>
      </c>
    </row>
    <row r="9" spans="1:9" x14ac:dyDescent="0.2">
      <c r="A9" s="170" t="s">
        <v>2</v>
      </c>
      <c r="B9" s="280">
        <f>'Blythe I'!H43</f>
        <v>1209463.3553333331</v>
      </c>
      <c r="C9" s="280">
        <f>'Blythe I'!H44</f>
        <v>1209463.3553333331</v>
      </c>
      <c r="D9" s="281">
        <f>'Blythe I'!H45</f>
        <v>1482570.1553333332</v>
      </c>
      <c r="E9" s="281">
        <f>'Blythe I'!H46</f>
        <v>1182152.6753333332</v>
      </c>
      <c r="F9" s="281">
        <f>SUM(B9:E9)</f>
        <v>5083649.5413333327</v>
      </c>
      <c r="G9" s="267">
        <f>'Blythe I'!D29</f>
        <v>26452000</v>
      </c>
      <c r="H9" s="268">
        <f>SUM('Blythe I'!H36:H46)</f>
        <v>15812625.922000002</v>
      </c>
      <c r="I9" s="268">
        <f>G9-H9</f>
        <v>10639374.077999998</v>
      </c>
    </row>
    <row r="10" spans="1:9" x14ac:dyDescent="0.2">
      <c r="A10" s="170" t="s">
        <v>3</v>
      </c>
      <c r="B10" s="280">
        <f>'Blythe I'!G43</f>
        <v>127051.4818420173</v>
      </c>
      <c r="C10" s="280">
        <f>'Blythe I'!G44</f>
        <v>117278.29093109288</v>
      </c>
      <c r="D10" s="281">
        <f>'Blythe I'!G45</f>
        <v>108686.47474566483</v>
      </c>
      <c r="E10" s="281">
        <f>'Blythe I'!G46</f>
        <v>96574.767738979965</v>
      </c>
      <c r="F10" s="281">
        <f>SUM(B10:E10)</f>
        <v>449591.015257755</v>
      </c>
      <c r="G10" s="270"/>
      <c r="H10" s="270"/>
      <c r="I10" s="270"/>
    </row>
    <row r="11" spans="1:9" x14ac:dyDescent="0.2">
      <c r="A11" s="170" t="s">
        <v>4</v>
      </c>
      <c r="B11" s="280">
        <f>'Blythe I'!G78+'Blythe I'!I78</f>
        <v>25.814558857881387</v>
      </c>
      <c r="C11" s="280">
        <f>'Blythe I'!G79+'Blythe I'!I79</f>
        <v>24.71173572800128</v>
      </c>
      <c r="D11" s="281">
        <f>'Blythe I'!G80+'Blythe I'!I80</f>
        <v>23.742220888546242</v>
      </c>
      <c r="E11" s="281">
        <f>'Blythe I'!G81+'Blythe I'!I81</f>
        <v>22.627278823172951</v>
      </c>
      <c r="F11" s="281">
        <f>SUM(B11:E11)</f>
        <v>96.895794297601867</v>
      </c>
      <c r="G11" s="270"/>
      <c r="H11" s="270"/>
      <c r="I11" s="270"/>
    </row>
    <row r="12" spans="1:9" x14ac:dyDescent="0.2">
      <c r="A12" s="15"/>
      <c r="B12" s="280"/>
      <c r="C12" s="280"/>
      <c r="D12" s="281"/>
      <c r="E12" s="281"/>
      <c r="F12" s="284"/>
      <c r="G12" s="264"/>
      <c r="H12" s="264"/>
      <c r="I12" s="264"/>
    </row>
    <row r="13" spans="1:9" x14ac:dyDescent="0.2">
      <c r="A13" s="206" t="s">
        <v>169</v>
      </c>
      <c r="B13" s="282" t="s">
        <v>101</v>
      </c>
      <c r="C13" s="282" t="s">
        <v>102</v>
      </c>
      <c r="D13" s="283" t="s">
        <v>103</v>
      </c>
      <c r="E13" s="283" t="s">
        <v>104</v>
      </c>
      <c r="F13" s="283" t="s">
        <v>0</v>
      </c>
      <c r="G13" s="265" t="s">
        <v>159</v>
      </c>
      <c r="H13" s="266" t="s">
        <v>160</v>
      </c>
      <c r="I13" s="266" t="s">
        <v>105</v>
      </c>
    </row>
    <row r="14" spans="1:9" x14ac:dyDescent="0.2">
      <c r="A14" s="170" t="s">
        <v>2</v>
      </c>
      <c r="B14" s="280">
        <f>'Inland Empire Energy Center'!H26</f>
        <v>249200</v>
      </c>
      <c r="C14" s="280">
        <f>'Inland Empire Energy Center'!H27</f>
        <v>249200</v>
      </c>
      <c r="D14" s="281">
        <f>'Inland Empire Energy Center'!H28</f>
        <v>249200</v>
      </c>
      <c r="E14" s="281">
        <f>'Inland Empire Energy Center'!H29</f>
        <v>249200</v>
      </c>
      <c r="F14" s="281">
        <f>SUM(B14:E14)</f>
        <v>996800</v>
      </c>
      <c r="G14" s="267">
        <f>'Inland Empire Energy Center'!D9</f>
        <v>4984000</v>
      </c>
      <c r="H14" s="268">
        <f>SUM('Inland Empire Energy Center'!H16:H29)</f>
        <v>3488800</v>
      </c>
      <c r="I14" s="268">
        <f>G14-H14</f>
        <v>1495200</v>
      </c>
    </row>
    <row r="15" spans="1:9" x14ac:dyDescent="0.2">
      <c r="A15" s="170" t="s">
        <v>3</v>
      </c>
      <c r="B15" s="280">
        <f>'Inland Empire Energy Center'!G26</f>
        <v>20136.857923497268</v>
      </c>
      <c r="C15" s="280">
        <f>'Inland Empire Energy Center'!G27</f>
        <v>18123.172131147541</v>
      </c>
      <c r="D15" s="281">
        <f>'Inland Empire Energy Center'!G28</f>
        <v>16286.513661202187</v>
      </c>
      <c r="E15" s="281">
        <f>'Inland Empire Energy Center'!G29</f>
        <v>14250.699453551913</v>
      </c>
      <c r="F15" s="281">
        <f>SUM(B15:E15)</f>
        <v>68797.24316939892</v>
      </c>
      <c r="G15" s="270"/>
      <c r="H15" s="270"/>
      <c r="I15" s="270"/>
    </row>
    <row r="16" spans="1:9" x14ac:dyDescent="0.2">
      <c r="A16" s="170" t="s">
        <v>4</v>
      </c>
      <c r="B16" s="280">
        <v>0</v>
      </c>
      <c r="C16" s="280">
        <v>0</v>
      </c>
      <c r="D16" s="281">
        <v>0</v>
      </c>
      <c r="E16" s="281">
        <v>0</v>
      </c>
      <c r="F16" s="281">
        <f>SUM(B16:E16)</f>
        <v>0</v>
      </c>
      <c r="G16" s="270"/>
      <c r="H16" s="270"/>
      <c r="I16" s="270"/>
    </row>
    <row r="17" spans="1:9" x14ac:dyDescent="0.2">
      <c r="A17" s="15"/>
      <c r="B17" s="280"/>
      <c r="C17" s="280"/>
      <c r="D17" s="281"/>
      <c r="E17" s="281"/>
      <c r="F17" s="281"/>
      <c r="G17" s="264"/>
      <c r="H17" s="264"/>
      <c r="I17" s="264"/>
    </row>
    <row r="18" spans="1:9" x14ac:dyDescent="0.2">
      <c r="A18" s="207" t="s">
        <v>171</v>
      </c>
      <c r="B18" s="282" t="s">
        <v>101</v>
      </c>
      <c r="C18" s="282" t="s">
        <v>102</v>
      </c>
      <c r="D18" s="283" t="s">
        <v>103</v>
      </c>
      <c r="E18" s="283" t="s">
        <v>104</v>
      </c>
      <c r="F18" s="283" t="s">
        <v>0</v>
      </c>
      <c r="G18" s="265" t="s">
        <v>159</v>
      </c>
      <c r="H18" s="266" t="s">
        <v>160</v>
      </c>
      <c r="I18" s="266" t="s">
        <v>105</v>
      </c>
    </row>
    <row r="19" spans="1:9" s="155" customFormat="1" x14ac:dyDescent="0.2">
      <c r="A19" s="171" t="s">
        <v>2</v>
      </c>
      <c r="B19" s="281">
        <f>'Mountain View IV Project'!H10</f>
        <v>15000</v>
      </c>
      <c r="C19" s="281">
        <f>'Mountain View IV Project'!H11</f>
        <v>15000</v>
      </c>
      <c r="D19" s="281">
        <f>'Mountain View IV Project'!H12</f>
        <v>15000</v>
      </c>
      <c r="E19" s="281">
        <f>'Mountain View IV Project'!H13</f>
        <v>15000</v>
      </c>
      <c r="F19" s="281">
        <f>SUM(B19:E19)</f>
        <v>60000</v>
      </c>
      <c r="G19" s="267">
        <f>'Mountain View IV Project'!$D$3</f>
        <v>300000</v>
      </c>
      <c r="H19" s="268">
        <f>SUM('Mountain View IV Project'!H10:H13)</f>
        <v>60000</v>
      </c>
      <c r="I19" s="268">
        <f>G19-H19</f>
        <v>240000</v>
      </c>
    </row>
    <row r="20" spans="1:9" s="155" customFormat="1" x14ac:dyDescent="0.2">
      <c r="A20" s="171" t="s">
        <v>3</v>
      </c>
      <c r="B20" s="281">
        <f>'Mountain View IV Project'!G10</f>
        <v>1015.068493150685</v>
      </c>
      <c r="C20" s="281">
        <f>'Mountain View IV Project'!G11</f>
        <v>2309.2808219178082</v>
      </c>
      <c r="D20" s="281">
        <f>'Mountain View IV Project'!G12</f>
        <v>2211.7808219178082</v>
      </c>
      <c r="E20" s="281">
        <f>'Mountain View IV Project'!G13</f>
        <v>2088.9041095890411</v>
      </c>
      <c r="F20" s="281">
        <f>SUM(B20:E20)</f>
        <v>7625.034246575342</v>
      </c>
      <c r="G20" s="271"/>
      <c r="H20" s="271"/>
      <c r="I20" s="271"/>
    </row>
    <row r="21" spans="1:9" s="155" customFormat="1" x14ac:dyDescent="0.2">
      <c r="A21" s="171" t="s">
        <v>4</v>
      </c>
      <c r="B21" s="281">
        <f>'Mountain View IV Project'!G35</f>
        <v>23.684931506849317</v>
      </c>
      <c r="C21" s="281">
        <f>'Mountain View IV Project'!G36</f>
        <v>53.883219178082193</v>
      </c>
      <c r="D21" s="281">
        <f>'Mountain View IV Project'!G37</f>
        <v>51.608219178082194</v>
      </c>
      <c r="E21" s="281">
        <f>'Mountain View IV Project'!G38</f>
        <v>48.741095890410961</v>
      </c>
      <c r="F21" s="281">
        <f>SUM(B21:E21)</f>
        <v>177.91746575342466</v>
      </c>
      <c r="G21" s="271"/>
      <c r="H21" s="271"/>
      <c r="I21" s="271"/>
    </row>
    <row r="22" spans="1:9" x14ac:dyDescent="0.2">
      <c r="A22" s="15"/>
      <c r="B22" s="281"/>
      <c r="C22" s="281"/>
      <c r="D22" s="281"/>
      <c r="E22" s="281"/>
      <c r="F22" s="281"/>
      <c r="G22" s="264"/>
      <c r="H22" s="264"/>
      <c r="I22" s="264"/>
    </row>
    <row r="23" spans="1:9" x14ac:dyDescent="0.2">
      <c r="A23" s="9" t="s">
        <v>158</v>
      </c>
      <c r="B23" s="282" t="s">
        <v>101</v>
      </c>
      <c r="C23" s="282" t="s">
        <v>102</v>
      </c>
      <c r="D23" s="283" t="s">
        <v>103</v>
      </c>
      <c r="E23" s="283" t="s">
        <v>104</v>
      </c>
      <c r="F23" s="283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1" t="s">
        <v>2</v>
      </c>
      <c r="B24" s="285">
        <f>+B19+B14+B9+B4</f>
        <v>2075145.2953333333</v>
      </c>
      <c r="C24" s="285">
        <f t="shared" ref="C24:F24" si="0">+C19+C14+C9+C4</f>
        <v>1473663.3553333331</v>
      </c>
      <c r="D24" s="285">
        <f t="shared" si="0"/>
        <v>1746770.1553333332</v>
      </c>
      <c r="E24" s="285">
        <f t="shared" si="0"/>
        <v>1446352.6753333332</v>
      </c>
      <c r="F24" s="285">
        <f t="shared" si="0"/>
        <v>6741931.4813333331</v>
      </c>
      <c r="G24" s="272">
        <f>G19+G14+G9+G4</f>
        <v>43765638.800000004</v>
      </c>
      <c r="H24" s="272">
        <f>H19+H14+H9+H4</f>
        <v>31391064.722000003</v>
      </c>
      <c r="I24" s="272">
        <f>G24-H24</f>
        <v>12374574.078000002</v>
      </c>
    </row>
    <row r="25" spans="1:9" x14ac:dyDescent="0.2">
      <c r="A25" s="171" t="s">
        <v>3</v>
      </c>
      <c r="B25" s="285">
        <f>+B20+B15+B10+B5</f>
        <v>229406.52123129359</v>
      </c>
      <c r="C25" s="285">
        <f t="shared" ref="C25:F25" si="1">+C20+C15+C10+C5</f>
        <v>137710.74388415823</v>
      </c>
      <c r="D25" s="285">
        <f t="shared" si="1"/>
        <v>127184.76922878483</v>
      </c>
      <c r="E25" s="285">
        <f t="shared" si="1"/>
        <v>112914.37130212091</v>
      </c>
      <c r="F25" s="285">
        <f t="shared" si="1"/>
        <v>607216.40564635757</v>
      </c>
    </row>
    <row r="26" spans="1:9" x14ac:dyDescent="0.2">
      <c r="A26" s="171" t="s">
        <v>4</v>
      </c>
      <c r="B26" s="285">
        <f>+B21+B16+B11+B6</f>
        <v>10449.766847076558</v>
      </c>
      <c r="C26" s="285">
        <f t="shared" ref="C26:F26" si="2">+C21+C16+C11+C6</f>
        <v>78.594954906083473</v>
      </c>
      <c r="D26" s="285">
        <f t="shared" si="2"/>
        <v>75.350440066628437</v>
      </c>
      <c r="E26" s="285">
        <f t="shared" si="2"/>
        <v>71.368374713583904</v>
      </c>
      <c r="F26" s="285">
        <f t="shared" si="2"/>
        <v>10675.080616762854</v>
      </c>
      <c r="G26" s="262"/>
    </row>
    <row r="27" spans="1:9" x14ac:dyDescent="0.2">
      <c r="A27" s="154"/>
    </row>
    <row r="28" spans="1:9" x14ac:dyDescent="0.2">
      <c r="A28" s="278" t="s">
        <v>97</v>
      </c>
      <c r="D28" s="151"/>
      <c r="E28" s="151"/>
      <c r="F28" s="151"/>
      <c r="G28" s="151"/>
      <c r="H28" s="151"/>
      <c r="I28" s="151"/>
    </row>
    <row r="29" spans="1:9" x14ac:dyDescent="0.2">
      <c r="A29" s="279" t="s">
        <v>161</v>
      </c>
      <c r="D29" s="151"/>
      <c r="E29" s="151"/>
      <c r="F29" s="151"/>
      <c r="G29" s="151"/>
      <c r="H29" s="151"/>
      <c r="I29" s="151"/>
    </row>
    <row r="30" spans="1:9" x14ac:dyDescent="0.2">
      <c r="A30" s="279" t="s">
        <v>162</v>
      </c>
      <c r="D30" s="151"/>
      <c r="E30" s="151"/>
      <c r="F30" s="151"/>
      <c r="G30" s="151"/>
      <c r="H30" s="151"/>
      <c r="I30" s="151"/>
    </row>
    <row r="31" spans="1:9" x14ac:dyDescent="0.2">
      <c r="A31" s="279" t="s">
        <v>163</v>
      </c>
      <c r="D31" s="151"/>
      <c r="E31" s="151"/>
      <c r="F31" s="151"/>
      <c r="G31" s="151"/>
      <c r="H31" s="151"/>
      <c r="I31" s="151"/>
    </row>
    <row r="32" spans="1:9" x14ac:dyDescent="0.2">
      <c r="A32" s="321" t="s">
        <v>164</v>
      </c>
      <c r="B32" s="321"/>
      <c r="C32" s="321"/>
      <c r="D32" s="321"/>
      <c r="E32" s="321"/>
      <c r="F32" s="321"/>
      <c r="G32" s="321"/>
      <c r="H32" s="321"/>
      <c r="I32" s="321"/>
    </row>
    <row r="33" spans="1:9" x14ac:dyDescent="0.2">
      <c r="A33" s="320" t="s">
        <v>165</v>
      </c>
      <c r="B33" s="320"/>
      <c r="C33" s="320"/>
      <c r="D33" s="320"/>
      <c r="E33" s="320"/>
      <c r="F33" s="320"/>
      <c r="G33" s="320"/>
      <c r="H33" s="320"/>
      <c r="I33" s="320"/>
    </row>
    <row r="34" spans="1:9" x14ac:dyDescent="0.2">
      <c r="A34" s="320" t="s">
        <v>166</v>
      </c>
      <c r="B34" s="320"/>
      <c r="C34" s="320"/>
      <c r="D34" s="320"/>
      <c r="E34" s="320"/>
      <c r="F34" s="320"/>
      <c r="G34" s="320"/>
      <c r="H34" s="320"/>
      <c r="I34" s="320"/>
    </row>
    <row r="35" spans="1:9" x14ac:dyDescent="0.2">
      <c r="A35" s="320" t="s">
        <v>167</v>
      </c>
      <c r="B35" s="320"/>
      <c r="C35" s="320"/>
      <c r="D35" s="320"/>
      <c r="E35" s="320"/>
      <c r="F35" s="320"/>
      <c r="G35" s="320"/>
      <c r="H35" s="320"/>
      <c r="I35" s="320"/>
    </row>
  </sheetData>
  <mergeCells count="5">
    <mergeCell ref="A33:I33"/>
    <mergeCell ref="A32:I32"/>
    <mergeCell ref="A1:F1"/>
    <mergeCell ref="A34:I34"/>
    <mergeCell ref="A35:I35"/>
  </mergeCells>
  <phoneticPr fontId="2" type="noConversion"/>
  <printOptions horizontalCentered="1"/>
  <pageMargins left="0.75" right="0.75" top="1" bottom="1" header="0.5" footer="0.5"/>
  <pageSetup scale="54" orientation="landscape" r:id="rId1"/>
  <headerFooter alignWithMargins="0">
    <oddHeader>&amp;C&amp;A&amp;R
Attachment 4
WP- Schedule 22
(Based on Aug. 26, 2013 Offer of Settlement)
Page &amp;P of &amp;N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theme="0" tint="-4.9989318521683403E-2"/>
  </sheetPr>
  <dimension ref="A1:L45"/>
  <sheetViews>
    <sheetView view="pageLayout" topLeftCell="B1" zoomScaleNormal="100" zoomScaleSheetLayoutView="85" workbookViewId="0">
      <selection activeCell="L7" sqref="L7"/>
    </sheetView>
  </sheetViews>
  <sheetFormatPr defaultRowHeight="12.75" x14ac:dyDescent="0.2"/>
  <cols>
    <col min="1" max="1" width="37" customWidth="1"/>
    <col min="2" max="5" width="14" style="224" bestFit="1" customWidth="1"/>
    <col min="6" max="6" width="15.5703125" style="224" customWidth="1"/>
    <col min="7" max="7" width="16.85546875" style="270" bestFit="1" customWidth="1"/>
    <col min="8" max="8" width="15.7109375" style="270" bestFit="1" customWidth="1"/>
    <col min="9" max="9" width="16.140625" style="270" customWidth="1"/>
    <col min="10" max="10" width="10.140625" bestFit="1" customWidth="1"/>
    <col min="11" max="12" width="14" bestFit="1" customWidth="1"/>
  </cols>
  <sheetData>
    <row r="1" spans="1:12" s="180" customFormat="1" ht="15.75" x14ac:dyDescent="0.25">
      <c r="A1" s="322" t="s">
        <v>154</v>
      </c>
      <c r="B1" s="323"/>
      <c r="C1" s="323"/>
      <c r="D1" s="323"/>
      <c r="E1" s="323"/>
      <c r="F1" s="323"/>
      <c r="G1" s="263"/>
      <c r="H1" s="263"/>
      <c r="I1" s="263"/>
    </row>
    <row r="2" spans="1:12" x14ac:dyDescent="0.2">
      <c r="A2" s="18"/>
      <c r="B2" s="261"/>
      <c r="C2" s="261"/>
      <c r="D2" s="261"/>
      <c r="E2" s="261"/>
      <c r="F2" s="261"/>
      <c r="G2" s="264"/>
      <c r="H2" s="264"/>
      <c r="I2" s="264"/>
    </row>
    <row r="3" spans="1:12" x14ac:dyDescent="0.2">
      <c r="A3" s="206" t="s">
        <v>107</v>
      </c>
      <c r="B3" s="259" t="s">
        <v>101</v>
      </c>
      <c r="C3" s="259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12" x14ac:dyDescent="0.2">
      <c r="A4" s="170" t="s">
        <v>2</v>
      </c>
      <c r="B4" s="286">
        <f>Lugo!H60</f>
        <v>507915.21222222201</v>
      </c>
      <c r="C4" s="286">
        <v>0</v>
      </c>
      <c r="D4" s="286">
        <v>0</v>
      </c>
      <c r="E4" s="286">
        <v>0</v>
      </c>
      <c r="F4" s="286">
        <f>SUM(B4:E4)</f>
        <v>507915.21222222201</v>
      </c>
      <c r="G4" s="267">
        <f>Lugo!H32</f>
        <v>11374630.049999999</v>
      </c>
      <c r="H4" s="268">
        <f>SUM(Lugo!H41:H60)-0.02</f>
        <v>11374630.054444443</v>
      </c>
      <c r="I4" s="269">
        <f>ROUND(G4-H4,2)</f>
        <v>0</v>
      </c>
    </row>
    <row r="5" spans="1:12" x14ac:dyDescent="0.2">
      <c r="A5" s="170" t="s">
        <v>3</v>
      </c>
      <c r="B5" s="286">
        <f>Lugo!G60+Lugo!I60</f>
        <v>26223.649492300407</v>
      </c>
      <c r="C5" s="286">
        <v>0</v>
      </c>
      <c r="D5" s="286">
        <v>0</v>
      </c>
      <c r="E5" s="286">
        <v>0</v>
      </c>
      <c r="F5" s="286">
        <f>SUM(B5:E5)</f>
        <v>26223.649492300407</v>
      </c>
    </row>
    <row r="6" spans="1:12" x14ac:dyDescent="0.2">
      <c r="A6" s="170" t="s">
        <v>4</v>
      </c>
      <c r="B6" s="286">
        <f>Lugo!G86+Lugo!I86</f>
        <v>413.65789009343649</v>
      </c>
      <c r="C6" s="286">
        <v>0</v>
      </c>
      <c r="D6" s="286">
        <v>0</v>
      </c>
      <c r="E6" s="286">
        <v>0</v>
      </c>
      <c r="F6" s="286">
        <f>SUM(B6:E6)</f>
        <v>413.65789009343649</v>
      </c>
    </row>
    <row r="7" spans="1:12" x14ac:dyDescent="0.2">
      <c r="A7" s="15"/>
      <c r="B7" s="286"/>
      <c r="C7" s="286"/>
      <c r="D7" s="286"/>
      <c r="E7" s="286"/>
      <c r="F7" s="286"/>
      <c r="G7" s="264"/>
      <c r="H7" s="264"/>
      <c r="I7" s="264"/>
      <c r="K7" s="167"/>
      <c r="L7" s="167"/>
    </row>
    <row r="8" spans="1:12" x14ac:dyDescent="0.2">
      <c r="A8" s="206" t="s">
        <v>106</v>
      </c>
      <c r="B8" s="266" t="s">
        <v>101</v>
      </c>
      <c r="C8" s="266" t="s">
        <v>102</v>
      </c>
      <c r="D8" s="266" t="s">
        <v>103</v>
      </c>
      <c r="E8" s="266" t="s">
        <v>104</v>
      </c>
      <c r="F8" s="266" t="s">
        <v>0</v>
      </c>
      <c r="G8" s="265" t="s">
        <v>159</v>
      </c>
      <c r="H8" s="266" t="s">
        <v>160</v>
      </c>
      <c r="I8" s="266" t="s">
        <v>105</v>
      </c>
    </row>
    <row r="9" spans="1:12" x14ac:dyDescent="0.2">
      <c r="A9" s="170" t="s">
        <v>2</v>
      </c>
      <c r="B9" s="286">
        <f>Moenkopi!H59</f>
        <v>717133.299</v>
      </c>
      <c r="C9" s="286">
        <f>Moenkopi!H60</f>
        <v>717133.28899999999</v>
      </c>
      <c r="D9" s="286">
        <f>Moenkopi!H61</f>
        <v>0</v>
      </c>
      <c r="E9" s="286">
        <v>0</v>
      </c>
      <c r="F9" s="286">
        <f>SUM(B9:E9)</f>
        <v>1434266.588</v>
      </c>
      <c r="G9" s="267">
        <f>Moenkopi!H33</f>
        <v>15869992.810000001</v>
      </c>
      <c r="H9" s="268">
        <f>SUM(Moenkopi!H40:H60)</f>
        <v>15869992.805000003</v>
      </c>
      <c r="I9" s="269">
        <f>G9-H9</f>
        <v>4.9999970942735672E-3</v>
      </c>
    </row>
    <row r="10" spans="1:12" x14ac:dyDescent="0.2">
      <c r="A10" s="170" t="s">
        <v>3</v>
      </c>
      <c r="B10" s="286">
        <f>Moenkopi!G59+Moenkopi!I59</f>
        <v>32975.929438701598</v>
      </c>
      <c r="C10" s="286">
        <f>Moenkopi!G60+Moenkopi!I60</f>
        <v>27125.340403943752</v>
      </c>
      <c r="D10" s="286">
        <v>0</v>
      </c>
      <c r="E10" s="286">
        <v>0</v>
      </c>
      <c r="F10" s="286">
        <f>SUM(B10:E10)</f>
        <v>60101.26984264535</v>
      </c>
    </row>
    <row r="11" spans="1:12" x14ac:dyDescent="0.2">
      <c r="A11" s="170" t="s">
        <v>4</v>
      </c>
      <c r="B11" s="286">
        <f>Moenkopi!G87+Moenkopi!I87</f>
        <v>663.76421719308769</v>
      </c>
      <c r="C11" s="286">
        <f>Moenkopi!G88+Moenkopi!I88</f>
        <v>580.11434155947359</v>
      </c>
      <c r="D11" s="286">
        <f>Moenkopi!G89+Moenkopi!I89</f>
        <v>0</v>
      </c>
      <c r="E11" s="286">
        <v>0</v>
      </c>
      <c r="F11" s="286">
        <f>SUM(B11:E11)</f>
        <v>1243.8785587525613</v>
      </c>
    </row>
    <row r="12" spans="1:12" x14ac:dyDescent="0.2">
      <c r="A12" s="15"/>
      <c r="B12" s="286"/>
      <c r="C12" s="286"/>
      <c r="D12" s="286"/>
      <c r="E12" s="286"/>
      <c r="F12" s="286"/>
      <c r="G12" s="264"/>
      <c r="H12" s="264"/>
      <c r="I12" s="264"/>
    </row>
    <row r="13" spans="1:12" s="155" customFormat="1" x14ac:dyDescent="0.2">
      <c r="A13" s="206" t="s">
        <v>155</v>
      </c>
      <c r="B13" s="266" t="s">
        <v>101</v>
      </c>
      <c r="C13" s="266" t="s">
        <v>102</v>
      </c>
      <c r="D13" s="266" t="s">
        <v>103</v>
      </c>
      <c r="E13" s="266" t="s">
        <v>104</v>
      </c>
      <c r="F13" s="266" t="s">
        <v>0</v>
      </c>
      <c r="G13" s="265" t="s">
        <v>159</v>
      </c>
      <c r="H13" s="266" t="s">
        <v>160</v>
      </c>
      <c r="I13" s="266" t="s">
        <v>105</v>
      </c>
    </row>
    <row r="14" spans="1:12" s="155" customFormat="1" x14ac:dyDescent="0.2">
      <c r="A14" s="171" t="s">
        <v>2</v>
      </c>
      <c r="B14" s="286">
        <f>Magnolia!H33</f>
        <v>25800</v>
      </c>
      <c r="C14" s="286">
        <f>Magnolia!H34</f>
        <v>25800</v>
      </c>
      <c r="D14" s="286">
        <f>Magnolia!H35</f>
        <v>25800</v>
      </c>
      <c r="E14" s="286">
        <f>Magnolia!H36</f>
        <v>0</v>
      </c>
      <c r="F14" s="286">
        <f>SUM(B14:E14)</f>
        <v>77400</v>
      </c>
      <c r="G14" s="267">
        <f>Magnolia!D3</f>
        <v>516000</v>
      </c>
      <c r="H14" s="268">
        <f>SUM(Magnolia!H15:H35)</f>
        <v>516000</v>
      </c>
      <c r="I14" s="269">
        <f>G14-H14</f>
        <v>0</v>
      </c>
    </row>
    <row r="15" spans="1:12" s="155" customFormat="1" x14ac:dyDescent="0.2">
      <c r="A15" s="171" t="s">
        <v>3</v>
      </c>
      <c r="B15" s="286">
        <f>Magnolia!G33+Magnolia!I33</f>
        <v>3146.6572699893391</v>
      </c>
      <c r="C15" s="286">
        <f>Magnolia!G34+Magnolia!I34</f>
        <v>2925.1672297454238</v>
      </c>
      <c r="D15" s="286">
        <f>Magnolia!G35+Magnolia!I35</f>
        <v>2698.6433249505103</v>
      </c>
      <c r="E15" s="286">
        <f>Magnolia!G36+Magnolia!I36</f>
        <v>0</v>
      </c>
      <c r="F15" s="286">
        <f>SUM(B15:E15)</f>
        <v>8770.4678246852727</v>
      </c>
      <c r="G15" s="271"/>
      <c r="H15" s="271"/>
      <c r="I15" s="271"/>
    </row>
    <row r="16" spans="1:12" s="155" customFormat="1" x14ac:dyDescent="0.2">
      <c r="A16" s="171" t="s">
        <v>4</v>
      </c>
      <c r="B16" s="286">
        <f>Magnolia!G74+Magnolia!I74</f>
        <v>257.19881075790317</v>
      </c>
      <c r="C16" s="286">
        <f>Magnolia!G75+Magnolia!I75</f>
        <v>246.67407918601293</v>
      </c>
      <c r="D16" s="286">
        <f>Magnolia!G76+Magnolia!I76</f>
        <v>235.91203212730079</v>
      </c>
      <c r="E16" s="286">
        <f>Magnolia!G77+Magnolia!I77</f>
        <v>0</v>
      </c>
      <c r="F16" s="286">
        <f>SUM(B16:E16)</f>
        <v>739.7849220712169</v>
      </c>
      <c r="G16" s="271"/>
      <c r="H16" s="271"/>
      <c r="I16" s="271"/>
    </row>
    <row r="17" spans="1:9" x14ac:dyDescent="0.2">
      <c r="A17" s="15"/>
      <c r="B17" s="286"/>
      <c r="C17" s="286"/>
      <c r="D17" s="286"/>
      <c r="E17" s="286"/>
      <c r="F17" s="286"/>
      <c r="G17" s="264"/>
      <c r="H17" s="264"/>
      <c r="I17" s="264"/>
    </row>
    <row r="18" spans="1:9" x14ac:dyDescent="0.2">
      <c r="A18" s="206" t="s">
        <v>108</v>
      </c>
      <c r="B18" s="266" t="s">
        <v>101</v>
      </c>
      <c r="C18" s="266" t="s">
        <v>102</v>
      </c>
      <c r="D18" s="266" t="s">
        <v>103</v>
      </c>
      <c r="E18" s="266" t="s">
        <v>104</v>
      </c>
      <c r="F18" s="266" t="s">
        <v>0</v>
      </c>
      <c r="G18" s="265" t="s">
        <v>159</v>
      </c>
      <c r="H18" s="266" t="s">
        <v>160</v>
      </c>
      <c r="I18" s="266" t="s">
        <v>105</v>
      </c>
    </row>
    <row r="19" spans="1:9" x14ac:dyDescent="0.2">
      <c r="A19" s="170" t="s">
        <v>2</v>
      </c>
      <c r="B19" s="286">
        <f>Mountainview!H58</f>
        <v>601481.94000000018</v>
      </c>
      <c r="C19" s="286">
        <f>Mountainview!H59</f>
        <v>601481.94000000018</v>
      </c>
      <c r="D19" s="286">
        <f>Mountainview!H60</f>
        <v>601481.94000000018</v>
      </c>
      <c r="E19" s="286">
        <f>Mountainview!H61</f>
        <v>601481.94000000018</v>
      </c>
      <c r="F19" s="286">
        <f>SUM(B19:E19)</f>
        <v>2405927.7600000007</v>
      </c>
      <c r="G19" s="267">
        <f>Mountainview!C29</f>
        <v>12029638.800000003</v>
      </c>
      <c r="H19" s="268">
        <f>SUM(Mountainview!H41:H61)</f>
        <v>11428156.860000001</v>
      </c>
      <c r="I19" s="268">
        <f>G19-H19</f>
        <v>601481.94000000134</v>
      </c>
    </row>
    <row r="20" spans="1:9" x14ac:dyDescent="0.2">
      <c r="A20" s="170" t="s">
        <v>3</v>
      </c>
      <c r="B20" s="286">
        <f>Mountainview!G58+Mountainview!I58</f>
        <v>102850.25389395251</v>
      </c>
      <c r="C20" s="286">
        <f>Mountainview!G59+Mountainview!I59</f>
        <v>97664.587823663154</v>
      </c>
      <c r="D20" s="286">
        <f>Mountainview!G60+Mountainview!I60</f>
        <v>92358.324868018244</v>
      </c>
      <c r="E20" s="286">
        <f>Mountainview!G61+Mountainview!I61</f>
        <v>86810.868141662184</v>
      </c>
      <c r="F20" s="286">
        <f>SUM(B20:E20)</f>
        <v>379684.03472729609</v>
      </c>
    </row>
    <row r="21" spans="1:9" x14ac:dyDescent="0.2">
      <c r="A21" s="170" t="s">
        <v>4</v>
      </c>
      <c r="B21" s="286">
        <f>SUM(Mountainview!G108+Mountainview!I108)+(Mountainview!G157+Mountainview!I157)</f>
        <v>11495.624139806847</v>
      </c>
      <c r="C21" s="286">
        <f>SUM(Mountainview!G109+Mountainview!I109)+(Mountainview!G158+Mountainview!I158)</f>
        <v>11233.22669316013</v>
      </c>
      <c r="D21" s="286">
        <f>SUM(Mountainview!G110+Mountainview!I110)+(Mountainview!G158+Mountainview!I158)</f>
        <v>10964.726980312325</v>
      </c>
      <c r="E21" s="286">
        <f>SUM(Mountainview!G111+Mountainview!I111)+(Mountainview!G159+Mountainview!I159)</f>
        <v>10684.022735062348</v>
      </c>
      <c r="F21" s="286">
        <f>SUM(B21:E21)</f>
        <v>44377.600548341652</v>
      </c>
    </row>
    <row r="22" spans="1:9" x14ac:dyDescent="0.2">
      <c r="A22" s="15"/>
      <c r="B22" s="286"/>
      <c r="C22" s="286"/>
      <c r="D22" s="286"/>
      <c r="E22" s="286"/>
      <c r="F22" s="286"/>
      <c r="G22" s="264"/>
      <c r="H22" s="264"/>
      <c r="I22" s="264"/>
    </row>
    <row r="23" spans="1:9" x14ac:dyDescent="0.2">
      <c r="A23" s="206" t="s">
        <v>156</v>
      </c>
      <c r="B23" s="266" t="s">
        <v>101</v>
      </c>
      <c r="C23" s="266" t="s">
        <v>102</v>
      </c>
      <c r="D23" s="266" t="s">
        <v>103</v>
      </c>
      <c r="E23" s="266" t="s">
        <v>104</v>
      </c>
      <c r="F23" s="266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0" t="s">
        <v>2</v>
      </c>
      <c r="B24" s="286">
        <f>'Blythe I'!H39</f>
        <v>1322600</v>
      </c>
      <c r="C24" s="286">
        <f>'Blythe I'!H40</f>
        <v>1322600</v>
      </c>
      <c r="D24" s="286">
        <f>'Blythe I'!H41</f>
        <v>2906513.0253333347</v>
      </c>
      <c r="E24" s="286">
        <f>'Blythe I'!H42</f>
        <v>1209463.3553333331</v>
      </c>
      <c r="F24" s="286">
        <f>SUM(B24:E24)</f>
        <v>6761176.3806666676</v>
      </c>
      <c r="G24" s="267">
        <f>'Blythe I'!D29</f>
        <v>26452000</v>
      </c>
      <c r="H24" s="268">
        <f>SUM('Blythe I'!H36:H42)</f>
        <v>10728976.380666668</v>
      </c>
      <c r="I24" s="268">
        <f>G24-H24</f>
        <v>15723023.619333332</v>
      </c>
    </row>
    <row r="25" spans="1:9" x14ac:dyDescent="0.2">
      <c r="A25" s="170" t="s">
        <v>3</v>
      </c>
      <c r="B25" s="286">
        <f>'Blythe I'!G39</f>
        <v>180181.60273972602</v>
      </c>
      <c r="C25" s="286">
        <f>'Blythe I'!G40</f>
        <v>171466.93698630139</v>
      </c>
      <c r="D25" s="286">
        <f>'Blythe I'!G41</f>
        <v>162516.73972602742</v>
      </c>
      <c r="E25" s="286">
        <f>'Blythe I'!G42</f>
        <v>138707.22206644749</v>
      </c>
      <c r="F25" s="286">
        <f>SUM(B25:E25)</f>
        <v>652872.50151850237</v>
      </c>
    </row>
    <row r="26" spans="1:9" x14ac:dyDescent="0.2">
      <c r="A26" s="170" t="s">
        <v>4</v>
      </c>
      <c r="B26" s="286">
        <f>'Blythe I'!G74+'Blythe I'!I74</f>
        <v>30.070629395400019</v>
      </c>
      <c r="C26" s="286">
        <f>'Blythe I'!G75+'Blythe I'!I75</f>
        <v>29.171371179242477</v>
      </c>
      <c r="D26" s="286">
        <f>'Blythe I'!G76+'Blythe I'!I76</f>
        <v>28.247808686972569</v>
      </c>
      <c r="E26" s="286">
        <f>'Blythe I'!G77+'Blythe I'!I77</f>
        <v>27.12981198580373</v>
      </c>
      <c r="F26" s="286">
        <f>SUM(B26:E26)</f>
        <v>114.61962124741879</v>
      </c>
    </row>
    <row r="27" spans="1:9" x14ac:dyDescent="0.2">
      <c r="A27" s="15"/>
      <c r="B27" s="286"/>
      <c r="C27" s="286"/>
      <c r="D27" s="286"/>
      <c r="E27" s="286"/>
      <c r="F27" s="286"/>
      <c r="G27" s="264"/>
      <c r="H27" s="264"/>
      <c r="I27" s="264"/>
    </row>
    <row r="28" spans="1:9" x14ac:dyDescent="0.2">
      <c r="A28" s="206" t="s">
        <v>157</v>
      </c>
      <c r="B28" s="266" t="s">
        <v>101</v>
      </c>
      <c r="C28" s="266" t="s">
        <v>102</v>
      </c>
      <c r="D28" s="266" t="s">
        <v>103</v>
      </c>
      <c r="E28" s="266" t="s">
        <v>104</v>
      </c>
      <c r="F28" s="266" t="s">
        <v>0</v>
      </c>
      <c r="G28" s="265" t="s">
        <v>159</v>
      </c>
      <c r="H28" s="266" t="s">
        <v>160</v>
      </c>
      <c r="I28" s="266" t="s">
        <v>105</v>
      </c>
    </row>
    <row r="29" spans="1:9" x14ac:dyDescent="0.2">
      <c r="A29" s="171" t="s">
        <v>2</v>
      </c>
      <c r="B29" s="286">
        <f>'Inland Empire Energy Center'!H22</f>
        <v>249200</v>
      </c>
      <c r="C29" s="286">
        <f>'Inland Empire Energy Center'!H23</f>
        <v>249200</v>
      </c>
      <c r="D29" s="286">
        <f>'Inland Empire Energy Center'!H24</f>
        <v>249200</v>
      </c>
      <c r="E29" s="286">
        <f>'Inland Empire Energy Center'!H25</f>
        <v>249200</v>
      </c>
      <c r="F29" s="286">
        <f>SUM(B29:E29)</f>
        <v>996800</v>
      </c>
      <c r="G29" s="267">
        <f>'Inland Empire Energy Center'!D9</f>
        <v>4984000</v>
      </c>
      <c r="H29" s="268">
        <f>SUM('Inland Empire Energy Center'!H16:H25)</f>
        <v>2492000</v>
      </c>
      <c r="I29" s="268">
        <f>G29-H29</f>
        <v>2492000</v>
      </c>
    </row>
    <row r="30" spans="1:9" x14ac:dyDescent="0.2">
      <c r="A30" s="170" t="s">
        <v>3</v>
      </c>
      <c r="B30" s="286">
        <f>'Inland Empire Energy Center'!G22</f>
        <v>27958.191780821915</v>
      </c>
      <c r="C30" s="286">
        <f>'Inland Empire Energy Center'!G23</f>
        <v>26249.635616438358</v>
      </c>
      <c r="D30" s="286">
        <f>'Inland Empire Energy Center'!G24</f>
        <v>24496.701369863014</v>
      </c>
      <c r="E30" s="286">
        <f>'Inland Empire Energy Center'!G25</f>
        <v>22455.309589041099</v>
      </c>
      <c r="F30" s="286">
        <f>SUM(B30:E30)</f>
        <v>101159.8383561644</v>
      </c>
    </row>
    <row r="31" spans="1:9" x14ac:dyDescent="0.2">
      <c r="A31" s="170" t="s">
        <v>4</v>
      </c>
      <c r="B31" s="286">
        <v>0</v>
      </c>
      <c r="C31" s="286">
        <v>0</v>
      </c>
      <c r="D31" s="286">
        <v>0</v>
      </c>
      <c r="E31" s="286">
        <v>0</v>
      </c>
      <c r="F31" s="286">
        <f>SUM(B31:E31)</f>
        <v>0</v>
      </c>
    </row>
    <row r="32" spans="1:9" x14ac:dyDescent="0.2">
      <c r="A32" s="15"/>
      <c r="B32" s="286"/>
      <c r="C32" s="286"/>
      <c r="D32" s="286"/>
      <c r="E32" s="286"/>
      <c r="F32" s="286"/>
      <c r="G32" s="264"/>
      <c r="H32" s="264"/>
      <c r="I32" s="264"/>
    </row>
    <row r="33" spans="1:9" x14ac:dyDescent="0.2">
      <c r="A33" s="9" t="s">
        <v>158</v>
      </c>
      <c r="B33" s="266" t="s">
        <v>101</v>
      </c>
      <c r="C33" s="266" t="s">
        <v>102</v>
      </c>
      <c r="D33" s="266" t="s">
        <v>103</v>
      </c>
      <c r="E33" s="266" t="s">
        <v>104</v>
      </c>
      <c r="F33" s="266" t="s">
        <v>0</v>
      </c>
      <c r="G33" s="265" t="s">
        <v>159</v>
      </c>
      <c r="H33" s="266" t="s">
        <v>160</v>
      </c>
      <c r="I33" s="266" t="s">
        <v>105</v>
      </c>
    </row>
    <row r="34" spans="1:9" x14ac:dyDescent="0.2">
      <c r="A34" s="171" t="s">
        <v>2</v>
      </c>
      <c r="B34" s="273">
        <f t="shared" ref="B34:E36" si="0">B29+B24+B19+B14+B9+B4</f>
        <v>3424130.4512222223</v>
      </c>
      <c r="C34" s="273">
        <f t="shared" si="0"/>
        <v>2916215.2290000003</v>
      </c>
      <c r="D34" s="273">
        <f t="shared" si="0"/>
        <v>3782994.9653333351</v>
      </c>
      <c r="E34" s="273">
        <f t="shared" si="0"/>
        <v>2060145.2953333333</v>
      </c>
      <c r="F34" s="273">
        <f>SUM(B34:E34)</f>
        <v>12183485.940888891</v>
      </c>
      <c r="G34" s="273">
        <f>G29+G24+G19+G14+G9+G4</f>
        <v>71226261.660000011</v>
      </c>
      <c r="H34" s="273">
        <f>H29+H24+H19+H14+H9+H4</f>
        <v>52409756.100111112</v>
      </c>
      <c r="I34" s="272">
        <f>G34-H34</f>
        <v>18816505.559888899</v>
      </c>
    </row>
    <row r="35" spans="1:9" x14ac:dyDescent="0.2">
      <c r="A35" s="171" t="s">
        <v>3</v>
      </c>
      <c r="B35" s="273">
        <f t="shared" si="0"/>
        <v>373336.28461549175</v>
      </c>
      <c r="C35" s="273">
        <f t="shared" si="0"/>
        <v>325431.66806009202</v>
      </c>
      <c r="D35" s="273">
        <f t="shared" si="0"/>
        <v>282070.40928885917</v>
      </c>
      <c r="E35" s="273">
        <f t="shared" si="0"/>
        <v>247973.39979715078</v>
      </c>
      <c r="F35" s="273">
        <f>SUM(B35:E35)</f>
        <v>1228811.7617615939</v>
      </c>
      <c r="G35" s="271"/>
      <c r="H35" s="271"/>
    </row>
    <row r="36" spans="1:9" x14ac:dyDescent="0.2">
      <c r="A36" s="171" t="s">
        <v>4</v>
      </c>
      <c r="B36" s="273">
        <f t="shared" si="0"/>
        <v>12860.315687246675</v>
      </c>
      <c r="C36" s="273">
        <f t="shared" si="0"/>
        <v>12089.186485084858</v>
      </c>
      <c r="D36" s="273">
        <f t="shared" si="0"/>
        <v>11228.886821126598</v>
      </c>
      <c r="E36" s="273">
        <f t="shared" si="0"/>
        <v>10711.152547048152</v>
      </c>
      <c r="F36" s="273">
        <f>SUM(B36:E36)</f>
        <v>46889.541540506281</v>
      </c>
      <c r="G36" s="271"/>
      <c r="H36" s="271"/>
    </row>
    <row r="37" spans="1:9" x14ac:dyDescent="0.2">
      <c r="A37" s="154"/>
    </row>
    <row r="38" spans="1:9" x14ac:dyDescent="0.2">
      <c r="A38" s="278" t="s">
        <v>97</v>
      </c>
      <c r="B38" s="151"/>
      <c r="C38" s="151"/>
      <c r="D38" s="151"/>
      <c r="E38" s="151"/>
      <c r="F38" s="151"/>
      <c r="G38" s="151"/>
      <c r="H38" s="151"/>
      <c r="I38" s="151"/>
    </row>
    <row r="39" spans="1:9" x14ac:dyDescent="0.2">
      <c r="A39" s="279" t="s">
        <v>161</v>
      </c>
      <c r="B39" s="151"/>
      <c r="C39" s="151"/>
      <c r="D39" s="151"/>
      <c r="E39" s="151"/>
      <c r="F39" s="151"/>
      <c r="G39" s="151"/>
      <c r="H39" s="151"/>
      <c r="I39" s="151"/>
    </row>
    <row r="40" spans="1:9" x14ac:dyDescent="0.2">
      <c r="A40" s="279" t="s">
        <v>162</v>
      </c>
      <c r="B40" s="151"/>
      <c r="C40" s="151"/>
      <c r="D40" s="151"/>
      <c r="E40" s="151"/>
      <c r="F40" s="151"/>
      <c r="G40" s="151"/>
      <c r="H40" s="151"/>
      <c r="I40" s="151"/>
    </row>
    <row r="41" spans="1:9" x14ac:dyDescent="0.2">
      <c r="A41" s="279" t="s">
        <v>163</v>
      </c>
      <c r="B41" s="151"/>
      <c r="C41" s="151"/>
      <c r="D41" s="151"/>
      <c r="E41" s="151"/>
      <c r="F41" s="151"/>
      <c r="G41" s="151"/>
      <c r="H41" s="151"/>
      <c r="I41" s="151"/>
    </row>
    <row r="42" spans="1:9" x14ac:dyDescent="0.2">
      <c r="A42" s="321" t="s">
        <v>164</v>
      </c>
      <c r="B42" s="321"/>
      <c r="C42" s="321"/>
      <c r="D42" s="321"/>
      <c r="E42" s="321"/>
      <c r="F42" s="321"/>
      <c r="G42" s="321"/>
      <c r="H42" s="321"/>
      <c r="I42" s="321"/>
    </row>
    <row r="43" spans="1:9" x14ac:dyDescent="0.2">
      <c r="A43" s="320" t="s">
        <v>165</v>
      </c>
      <c r="B43" s="320"/>
      <c r="C43" s="320"/>
      <c r="D43" s="320"/>
      <c r="E43" s="320"/>
      <c r="F43" s="320"/>
      <c r="G43" s="320"/>
      <c r="H43" s="320"/>
      <c r="I43" s="320"/>
    </row>
    <row r="44" spans="1:9" x14ac:dyDescent="0.2">
      <c r="A44" s="320" t="s">
        <v>166</v>
      </c>
      <c r="B44" s="320"/>
      <c r="C44" s="320"/>
      <c r="D44" s="320"/>
      <c r="E44" s="320"/>
      <c r="F44" s="320"/>
      <c r="G44" s="320"/>
      <c r="H44" s="320"/>
      <c r="I44" s="320"/>
    </row>
    <row r="45" spans="1:9" x14ac:dyDescent="0.2">
      <c r="A45" s="320" t="s">
        <v>167</v>
      </c>
      <c r="B45" s="320"/>
      <c r="C45" s="320"/>
      <c r="D45" s="320"/>
      <c r="E45" s="320"/>
      <c r="F45" s="320"/>
      <c r="G45" s="320"/>
      <c r="H45" s="320"/>
      <c r="I45" s="320"/>
    </row>
  </sheetData>
  <mergeCells count="5">
    <mergeCell ref="A44:I44"/>
    <mergeCell ref="A45:I45"/>
    <mergeCell ref="A1:F1"/>
    <mergeCell ref="A42:I42"/>
    <mergeCell ref="A43:I43"/>
  </mergeCells>
  <phoneticPr fontId="2" type="noConversion"/>
  <printOptions horizontalCentered="1"/>
  <pageMargins left="0.75" right="0.75" top="1" bottom="1" header="0.5" footer="0.5"/>
  <pageSetup scale="59" orientation="landscape" r:id="rId1"/>
  <headerFooter alignWithMargins="0">
    <oddHeader>&amp;C&amp;A&amp;R
Attachment 4
WP- Schedule 22
(Based on Aug. 26, 2013 Offer of Settlement)
Page &amp;P of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2:J77"/>
  <sheetViews>
    <sheetView view="pageLayout" zoomScaleNormal="85" workbookViewId="0">
      <selection activeCell="L6" sqref="L6"/>
    </sheetView>
  </sheetViews>
  <sheetFormatPr defaultRowHeight="12.75" x14ac:dyDescent="0.2"/>
  <cols>
    <col min="1" max="1" width="12" style="21" customWidth="1"/>
    <col min="2" max="2" width="10.5703125" style="21" customWidth="1"/>
    <col min="3" max="3" width="16.85546875" style="21" bestFit="1" customWidth="1"/>
    <col min="4" max="7" width="15.140625" style="21" customWidth="1"/>
    <col min="8" max="9" width="10.7109375" style="21" customWidth="1"/>
    <col min="10" max="10" width="13" style="21" customWidth="1"/>
    <col min="11" max="16384" width="9.140625" style="21"/>
  </cols>
  <sheetData>
    <row r="2" spans="1:10" ht="25.5" x14ac:dyDescent="0.2">
      <c r="A2" s="35"/>
      <c r="B2" s="41" t="s">
        <v>44</v>
      </c>
      <c r="C2" s="19" t="s">
        <v>6</v>
      </c>
      <c r="D2" s="41" t="s">
        <v>5</v>
      </c>
      <c r="E2" s="41" t="s">
        <v>1</v>
      </c>
      <c r="F2" s="41" t="s">
        <v>59</v>
      </c>
      <c r="G2" s="19" t="s">
        <v>0</v>
      </c>
    </row>
    <row r="3" spans="1:10" x14ac:dyDescent="0.2">
      <c r="B3" s="276">
        <v>1</v>
      </c>
      <c r="C3" s="42">
        <v>37790</v>
      </c>
      <c r="D3" s="36">
        <v>516000</v>
      </c>
      <c r="E3" s="36">
        <v>139320</v>
      </c>
      <c r="F3" s="36">
        <v>22000</v>
      </c>
      <c r="G3" s="36">
        <f>SUM(D3:F3)</f>
        <v>677320</v>
      </c>
    </row>
    <row r="5" spans="1:10" x14ac:dyDescent="0.2">
      <c r="A5" s="325" t="s">
        <v>68</v>
      </c>
      <c r="B5" s="325"/>
      <c r="C5" s="24">
        <v>38617</v>
      </c>
    </row>
    <row r="7" spans="1:10" x14ac:dyDescent="0.2">
      <c r="A7" s="326" t="s">
        <v>38</v>
      </c>
      <c r="B7" s="327"/>
      <c r="C7" s="327"/>
      <c r="D7" s="327"/>
      <c r="E7" s="327"/>
      <c r="F7" s="327"/>
      <c r="G7" s="327"/>
      <c r="H7" s="327"/>
      <c r="I7" s="327"/>
      <c r="J7" s="328"/>
    </row>
    <row r="8" spans="1:10" x14ac:dyDescent="0.2">
      <c r="A8" s="275" t="s">
        <v>7</v>
      </c>
      <c r="B8" s="275" t="s">
        <v>8</v>
      </c>
      <c r="C8" s="275" t="s">
        <v>9</v>
      </c>
      <c r="D8" s="275" t="s">
        <v>10</v>
      </c>
      <c r="E8" s="275" t="s">
        <v>11</v>
      </c>
      <c r="F8" s="275" t="s">
        <v>12</v>
      </c>
      <c r="G8" s="275" t="s">
        <v>13</v>
      </c>
      <c r="H8" s="275"/>
      <c r="I8" s="275"/>
      <c r="J8" s="275" t="s">
        <v>14</v>
      </c>
    </row>
    <row r="9" spans="1:10" ht="51" x14ac:dyDescent="0.2">
      <c r="A9" s="25" t="s">
        <v>15</v>
      </c>
      <c r="B9" s="25" t="s">
        <v>16</v>
      </c>
      <c r="C9" s="25" t="s">
        <v>17</v>
      </c>
      <c r="D9" s="25" t="s">
        <v>18</v>
      </c>
      <c r="E9" s="25" t="s">
        <v>19</v>
      </c>
      <c r="F9" s="25" t="s">
        <v>20</v>
      </c>
      <c r="G9" s="5" t="s">
        <v>98</v>
      </c>
      <c r="H9" s="5" t="s">
        <v>31</v>
      </c>
      <c r="I9" s="5" t="s">
        <v>99</v>
      </c>
      <c r="J9" s="25" t="s">
        <v>21</v>
      </c>
    </row>
    <row r="10" spans="1:10" x14ac:dyDescent="0.2">
      <c r="A10" s="53" t="s">
        <v>29</v>
      </c>
      <c r="B10" s="54">
        <f>C5</f>
        <v>38617</v>
      </c>
      <c r="C10" s="54">
        <v>38625</v>
      </c>
      <c r="D10" s="55">
        <f t="shared" ref="D10:D20" si="0">+C10-B10+1</f>
        <v>9</v>
      </c>
      <c r="E10" s="56">
        <v>5.77</v>
      </c>
      <c r="F10" s="105">
        <f>D3</f>
        <v>516000</v>
      </c>
      <c r="G10" s="58">
        <f t="shared" ref="G10:G15" si="1">+D10/365*E10/100*F10</f>
        <v>734.13369863013691</v>
      </c>
      <c r="H10" s="58"/>
      <c r="I10" s="59"/>
      <c r="J10" s="92">
        <f t="shared" ref="J10:J15" si="2">+F10+G10</f>
        <v>516734.13369863015</v>
      </c>
    </row>
    <row r="11" spans="1:10" x14ac:dyDescent="0.2">
      <c r="A11" s="60" t="s">
        <v>30</v>
      </c>
      <c r="B11" s="61">
        <f t="shared" ref="B11:B32" si="3">C10+1</f>
        <v>38626</v>
      </c>
      <c r="C11" s="61">
        <v>38717</v>
      </c>
      <c r="D11" s="62">
        <f t="shared" si="0"/>
        <v>92</v>
      </c>
      <c r="E11" s="63">
        <v>6.23</v>
      </c>
      <c r="F11" s="82">
        <f>J10</f>
        <v>516734.13369863015</v>
      </c>
      <c r="G11" s="65">
        <f t="shared" si="1"/>
        <v>8114.2831800193662</v>
      </c>
      <c r="H11" s="65"/>
      <c r="I11" s="66"/>
      <c r="J11" s="80">
        <f t="shared" si="2"/>
        <v>524848.4168786495</v>
      </c>
    </row>
    <row r="12" spans="1:10" x14ac:dyDescent="0.2">
      <c r="A12" s="60" t="s">
        <v>49</v>
      </c>
      <c r="B12" s="61">
        <f t="shared" si="3"/>
        <v>38718</v>
      </c>
      <c r="C12" s="61">
        <v>38807</v>
      </c>
      <c r="D12" s="62">
        <f t="shared" si="0"/>
        <v>90</v>
      </c>
      <c r="E12" s="63">
        <v>6.78</v>
      </c>
      <c r="F12" s="82">
        <f>J11</f>
        <v>524848.4168786495</v>
      </c>
      <c r="G12" s="65">
        <f t="shared" si="1"/>
        <v>8774.3151775164897</v>
      </c>
      <c r="H12" s="65"/>
      <c r="I12" s="66"/>
      <c r="J12" s="80">
        <f t="shared" si="2"/>
        <v>533622.73205616605</v>
      </c>
    </row>
    <row r="13" spans="1:10" x14ac:dyDescent="0.2">
      <c r="A13" s="60" t="s">
        <v>50</v>
      </c>
      <c r="B13" s="61">
        <f t="shared" si="3"/>
        <v>38808</v>
      </c>
      <c r="C13" s="61">
        <v>38898</v>
      </c>
      <c r="D13" s="62">
        <f t="shared" si="0"/>
        <v>91</v>
      </c>
      <c r="E13" s="63">
        <v>7.3</v>
      </c>
      <c r="F13" s="82">
        <f>J12</f>
        <v>533622.73205616605</v>
      </c>
      <c r="G13" s="65">
        <f t="shared" si="1"/>
        <v>9711.9337234222221</v>
      </c>
      <c r="H13" s="65"/>
      <c r="I13" s="66"/>
      <c r="J13" s="80">
        <f t="shared" si="2"/>
        <v>543334.66577958828</v>
      </c>
    </row>
    <row r="14" spans="1:10" x14ac:dyDescent="0.2">
      <c r="A14" s="60" t="s">
        <v>51</v>
      </c>
      <c r="B14" s="61">
        <f t="shared" si="3"/>
        <v>38899</v>
      </c>
      <c r="C14" s="61">
        <v>38990</v>
      </c>
      <c r="D14" s="62">
        <f t="shared" si="0"/>
        <v>92</v>
      </c>
      <c r="E14" s="62">
        <v>7.74</v>
      </c>
      <c r="F14" s="82">
        <f>J13</f>
        <v>543334.66577958828</v>
      </c>
      <c r="G14" s="65">
        <f t="shared" si="1"/>
        <v>10599.938323515871</v>
      </c>
      <c r="H14" s="65"/>
      <c r="I14" s="66"/>
      <c r="J14" s="80">
        <f t="shared" si="2"/>
        <v>553934.60410310409</v>
      </c>
    </row>
    <row r="15" spans="1:10" x14ac:dyDescent="0.2">
      <c r="A15" s="60" t="s">
        <v>52</v>
      </c>
      <c r="B15" s="61">
        <f>C14+1</f>
        <v>38991</v>
      </c>
      <c r="C15" s="61">
        <v>39082</v>
      </c>
      <c r="D15" s="62">
        <f>+C15-B15+1</f>
        <v>92</v>
      </c>
      <c r="E15" s="62">
        <v>8.17</v>
      </c>
      <c r="F15" s="82">
        <f>J14</f>
        <v>553934.60410310409</v>
      </c>
      <c r="G15" s="65">
        <f t="shared" si="1"/>
        <v>11407.107008987869</v>
      </c>
      <c r="H15" s="65">
        <f>F$10/20</f>
        <v>25800</v>
      </c>
      <c r="I15" s="66">
        <f>G$16/20</f>
        <v>2467.0855556045981</v>
      </c>
      <c r="J15" s="80">
        <f t="shared" si="2"/>
        <v>565341.71111209202</v>
      </c>
    </row>
    <row r="16" spans="1:10" x14ac:dyDescent="0.2">
      <c r="A16" s="60"/>
      <c r="B16" s="61"/>
      <c r="C16" s="61"/>
      <c r="D16" s="62"/>
      <c r="E16" s="324" t="s">
        <v>100</v>
      </c>
      <c r="F16" s="324"/>
      <c r="G16" s="149">
        <f>SUM(G10:G15)</f>
        <v>49341.711112091958</v>
      </c>
      <c r="H16" s="65"/>
      <c r="I16" s="66"/>
      <c r="J16" s="95"/>
    </row>
    <row r="17" spans="1:10" x14ac:dyDescent="0.2">
      <c r="A17" s="60" t="s">
        <v>53</v>
      </c>
      <c r="B17" s="61">
        <f>C15+1</f>
        <v>39083</v>
      </c>
      <c r="C17" s="61">
        <v>39172</v>
      </c>
      <c r="D17" s="62">
        <f t="shared" si="0"/>
        <v>90</v>
      </c>
      <c r="E17" s="62">
        <v>8.25</v>
      </c>
      <c r="F17" s="82">
        <f>F$10+G$16-SUM(H$14:H16)-SUM(I$14:I16)</f>
        <v>537074.62555648747</v>
      </c>
      <c r="G17" s="65">
        <f>+D17/365*E17/100*F17</f>
        <v>10925.422177416218</v>
      </c>
      <c r="H17" s="65">
        <f>F$10/20</f>
        <v>25800</v>
      </c>
      <c r="I17" s="67">
        <f>G$16/20</f>
        <v>2467.0855556045981</v>
      </c>
      <c r="J17" s="87"/>
    </row>
    <row r="18" spans="1:10" x14ac:dyDescent="0.2">
      <c r="A18" s="60" t="s">
        <v>54</v>
      </c>
      <c r="B18" s="61">
        <f t="shared" si="3"/>
        <v>39173</v>
      </c>
      <c r="C18" s="61">
        <v>39263</v>
      </c>
      <c r="D18" s="62">
        <f t="shared" si="0"/>
        <v>91</v>
      </c>
      <c r="E18" s="62">
        <v>8.25</v>
      </c>
      <c r="F18" s="82">
        <f>F$10+G$16-SUM(H$14:H17)-SUM(I$14:I17)</f>
        <v>508807.54000088281</v>
      </c>
      <c r="G18" s="65">
        <f>+D18/365*E18/100*F18</f>
        <v>10465.404401525009</v>
      </c>
      <c r="H18" s="65">
        <f>F$10/20</f>
        <v>25800</v>
      </c>
      <c r="I18" s="67">
        <f>G$16/20</f>
        <v>2467.0855556045981</v>
      </c>
      <c r="J18" s="87"/>
    </row>
    <row r="19" spans="1:10" x14ac:dyDescent="0.2">
      <c r="A19" s="60" t="s">
        <v>55</v>
      </c>
      <c r="B19" s="61">
        <f t="shared" si="3"/>
        <v>39264</v>
      </c>
      <c r="C19" s="61">
        <v>39355</v>
      </c>
      <c r="D19" s="62">
        <f t="shared" si="0"/>
        <v>92</v>
      </c>
      <c r="E19" s="62">
        <v>8.25</v>
      </c>
      <c r="F19" s="82">
        <f>F$10+G$16-SUM(H$14:H18)-SUM(I$14:I18)</f>
        <v>480540.45444527821</v>
      </c>
      <c r="G19" s="65">
        <f>+D19/365*E19/100*F19</f>
        <v>9992.6083540812651</v>
      </c>
      <c r="H19" s="65">
        <f>F$10/20</f>
        <v>25800</v>
      </c>
      <c r="I19" s="67">
        <f>G$16/20</f>
        <v>2467.0855556045981</v>
      </c>
      <c r="J19" s="87"/>
    </row>
    <row r="20" spans="1:10" x14ac:dyDescent="0.2">
      <c r="A20" s="74" t="s">
        <v>56</v>
      </c>
      <c r="B20" s="61">
        <f t="shared" si="3"/>
        <v>39356</v>
      </c>
      <c r="C20" s="61">
        <v>39447</v>
      </c>
      <c r="D20" s="62">
        <f t="shared" si="0"/>
        <v>92</v>
      </c>
      <c r="E20" s="62">
        <v>8.25</v>
      </c>
      <c r="F20" s="82">
        <f>F$10+G$16-SUM(H$14:H19)-SUM(I$14:I19)</f>
        <v>452273.36888967361</v>
      </c>
      <c r="G20" s="65">
        <f>+D20/365*E20/100*F20</f>
        <v>9404.8078626647202</v>
      </c>
      <c r="H20" s="65">
        <f>F$10/20</f>
        <v>25800</v>
      </c>
      <c r="I20" s="67">
        <f>G$16/20</f>
        <v>2467.0855556045981</v>
      </c>
      <c r="J20" s="87"/>
    </row>
    <row r="21" spans="1:10" x14ac:dyDescent="0.2">
      <c r="A21" s="74" t="s">
        <v>78</v>
      </c>
      <c r="B21" s="61">
        <f t="shared" si="3"/>
        <v>39448</v>
      </c>
      <c r="C21" s="61">
        <v>39538</v>
      </c>
      <c r="D21" s="62">
        <f t="shared" ref="D21:D36" si="4">+C21-B21+1</f>
        <v>91</v>
      </c>
      <c r="E21" s="62">
        <v>7.76</v>
      </c>
      <c r="F21" s="82">
        <f>F$10+G$16-SUM(H$14:H20)-SUM(I$14:I20)</f>
        <v>424006.28333406901</v>
      </c>
      <c r="G21" s="65">
        <f>+D21/366*E21/100*F21</f>
        <v>8180.7725966990765</v>
      </c>
      <c r="H21" s="65">
        <f t="shared" ref="H21:H35" si="5">F$10/20</f>
        <v>25800</v>
      </c>
      <c r="I21" s="66">
        <f t="shared" ref="I21:I35" si="6">G$16/20</f>
        <v>2467.0855556045981</v>
      </c>
      <c r="J21" s="28"/>
    </row>
    <row r="22" spans="1:10" x14ac:dyDescent="0.2">
      <c r="A22" s="74" t="s">
        <v>79</v>
      </c>
      <c r="B22" s="61">
        <f t="shared" si="3"/>
        <v>39539</v>
      </c>
      <c r="C22" s="61">
        <v>39629</v>
      </c>
      <c r="D22" s="62">
        <f t="shared" si="4"/>
        <v>91</v>
      </c>
      <c r="E22" s="62">
        <v>6.77</v>
      </c>
      <c r="F22" s="82">
        <f>F$10+G$16-SUM(H$14:H21)-SUM(I$14:I21)</f>
        <v>395739.19777846441</v>
      </c>
      <c r="G22" s="65">
        <f>+D22/366*E22/100*F22</f>
        <v>6661.285452879195</v>
      </c>
      <c r="H22" s="65">
        <f t="shared" si="5"/>
        <v>25800</v>
      </c>
      <c r="I22" s="66">
        <f t="shared" si="6"/>
        <v>2467.0855556045981</v>
      </c>
      <c r="J22" s="28"/>
    </row>
    <row r="23" spans="1:10" x14ac:dyDescent="0.2">
      <c r="A23" s="74" t="s">
        <v>80</v>
      </c>
      <c r="B23" s="61">
        <f t="shared" si="3"/>
        <v>39630</v>
      </c>
      <c r="C23" s="61">
        <v>39721</v>
      </c>
      <c r="D23" s="62">
        <f t="shared" si="4"/>
        <v>92</v>
      </c>
      <c r="E23" s="62">
        <v>5.3</v>
      </c>
      <c r="F23" s="82">
        <f>F$10+G$16-SUM(H$14:H22)-SUM(I$14:I22)</f>
        <v>367472.11222285981</v>
      </c>
      <c r="G23" s="65">
        <f>+D23/366*E23/100*F23</f>
        <v>4895.6120743132906</v>
      </c>
      <c r="H23" s="65">
        <f t="shared" si="5"/>
        <v>25800</v>
      </c>
      <c r="I23" s="66">
        <f t="shared" si="6"/>
        <v>2467.0855556045981</v>
      </c>
      <c r="J23" s="28"/>
    </row>
    <row r="24" spans="1:10" x14ac:dyDescent="0.2">
      <c r="A24" s="74" t="s">
        <v>73</v>
      </c>
      <c r="B24" s="61">
        <f t="shared" si="3"/>
        <v>39722</v>
      </c>
      <c r="C24" s="61">
        <v>39813</v>
      </c>
      <c r="D24" s="62">
        <f t="shared" si="4"/>
        <v>92</v>
      </c>
      <c r="E24" s="62">
        <v>5</v>
      </c>
      <c r="F24" s="82">
        <f>F$10+G$16-SUM(H$14:H23)-SUM(I$14:I23)</f>
        <v>339205.02666725521</v>
      </c>
      <c r="G24" s="65">
        <f>+D24/366*E24/100*F24</f>
        <v>4263.2325755993825</v>
      </c>
      <c r="H24" s="65">
        <f t="shared" si="5"/>
        <v>25800</v>
      </c>
      <c r="I24" s="66">
        <f t="shared" si="6"/>
        <v>2467.0855556045981</v>
      </c>
      <c r="J24" s="28"/>
    </row>
    <row r="25" spans="1:10" x14ac:dyDescent="0.2">
      <c r="A25" s="74" t="s">
        <v>81</v>
      </c>
      <c r="B25" s="61">
        <f t="shared" si="3"/>
        <v>39814</v>
      </c>
      <c r="C25" s="61">
        <v>39903</v>
      </c>
      <c r="D25" s="62">
        <f t="shared" si="4"/>
        <v>90</v>
      </c>
      <c r="E25" s="62">
        <v>4.5199999999999996</v>
      </c>
      <c r="F25" s="82">
        <f>F$10+G$16-SUM(H$14:H24)-SUM(I$14:I24)</f>
        <v>310937.94111165067</v>
      </c>
      <c r="G25" s="65">
        <f t="shared" ref="G25:G35" si="7">+D25/365*E25/100*F25</f>
        <v>3465.4672450471094</v>
      </c>
      <c r="H25" s="65">
        <f t="shared" si="5"/>
        <v>25800</v>
      </c>
      <c r="I25" s="66">
        <f t="shared" si="6"/>
        <v>2467.0855556045981</v>
      </c>
      <c r="J25" s="28"/>
    </row>
    <row r="26" spans="1:10" x14ac:dyDescent="0.2">
      <c r="A26" s="74" t="s">
        <v>82</v>
      </c>
      <c r="B26" s="61">
        <f t="shared" si="3"/>
        <v>39904</v>
      </c>
      <c r="C26" s="61">
        <v>39994</v>
      </c>
      <c r="D26" s="62">
        <f t="shared" si="4"/>
        <v>91</v>
      </c>
      <c r="E26" s="62">
        <v>3.37</v>
      </c>
      <c r="F26" s="82">
        <f>F$10+G$16-SUM(H$14:H25)-SUM(I$14:I25)</f>
        <v>282670.85555604607</v>
      </c>
      <c r="G26" s="65">
        <f t="shared" si="7"/>
        <v>2374.9772951608943</v>
      </c>
      <c r="H26" s="65">
        <f t="shared" si="5"/>
        <v>25800</v>
      </c>
      <c r="I26" s="66">
        <f t="shared" si="6"/>
        <v>2467.0855556045981</v>
      </c>
      <c r="J26" s="28"/>
    </row>
    <row r="27" spans="1:10" x14ac:dyDescent="0.2">
      <c r="A27" s="74" t="s">
        <v>84</v>
      </c>
      <c r="B27" s="61">
        <f t="shared" si="3"/>
        <v>39995</v>
      </c>
      <c r="C27" s="61">
        <v>40086</v>
      </c>
      <c r="D27" s="62">
        <f t="shared" si="4"/>
        <v>92</v>
      </c>
      <c r="E27" s="62">
        <v>3.25</v>
      </c>
      <c r="F27" s="82">
        <f>F$10+G$16-SUM(H$14:H26)-SUM(I$14:I26)</f>
        <v>254403.77000044144</v>
      </c>
      <c r="G27" s="65">
        <f t="shared" si="7"/>
        <v>2084.0199241132054</v>
      </c>
      <c r="H27" s="65">
        <f t="shared" si="5"/>
        <v>25800</v>
      </c>
      <c r="I27" s="66">
        <f t="shared" si="6"/>
        <v>2467.0855556045981</v>
      </c>
      <c r="J27" s="28"/>
    </row>
    <row r="28" spans="1:10" x14ac:dyDescent="0.2">
      <c r="A28" s="74" t="s">
        <v>74</v>
      </c>
      <c r="B28" s="61">
        <f t="shared" si="3"/>
        <v>40087</v>
      </c>
      <c r="C28" s="61">
        <v>40178</v>
      </c>
      <c r="D28" s="62">
        <f t="shared" si="4"/>
        <v>92</v>
      </c>
      <c r="E28" s="62">
        <f t="shared" ref="E28:E36" si="8">E27</f>
        <v>3.25</v>
      </c>
      <c r="F28" s="82">
        <f>F$10+G$16-SUM(H$14:H27)-SUM(I$14:I27)</f>
        <v>226136.68444483684</v>
      </c>
      <c r="G28" s="65">
        <f t="shared" si="7"/>
        <v>1852.4621547672937</v>
      </c>
      <c r="H28" s="65">
        <f t="shared" si="5"/>
        <v>25800</v>
      </c>
      <c r="I28" s="66">
        <f t="shared" si="6"/>
        <v>2467.0855556045981</v>
      </c>
      <c r="J28" s="28"/>
    </row>
    <row r="29" spans="1:10" x14ac:dyDescent="0.2">
      <c r="A29" s="74" t="s">
        <v>85</v>
      </c>
      <c r="B29" s="61">
        <f t="shared" si="3"/>
        <v>40179</v>
      </c>
      <c r="C29" s="61">
        <v>40268</v>
      </c>
      <c r="D29" s="62">
        <f t="shared" si="4"/>
        <v>90</v>
      </c>
      <c r="E29" s="62">
        <f t="shared" si="8"/>
        <v>3.25</v>
      </c>
      <c r="F29" s="82">
        <f>F$10+G$16-SUM(H$14:H28)-SUM(I$14:I28)</f>
        <v>197869.59888923226</v>
      </c>
      <c r="G29" s="65">
        <f t="shared" si="7"/>
        <v>1585.6673335643954</v>
      </c>
      <c r="H29" s="65">
        <f t="shared" si="5"/>
        <v>25800</v>
      </c>
      <c r="I29" s="66">
        <f t="shared" si="6"/>
        <v>2467.0855556045981</v>
      </c>
      <c r="J29" s="28"/>
    </row>
    <row r="30" spans="1:10" x14ac:dyDescent="0.2">
      <c r="A30" s="74" t="s">
        <v>86</v>
      </c>
      <c r="B30" s="61">
        <f t="shared" si="3"/>
        <v>40269</v>
      </c>
      <c r="C30" s="61">
        <v>40359</v>
      </c>
      <c r="D30" s="62">
        <f t="shared" si="4"/>
        <v>91</v>
      </c>
      <c r="E30" s="62">
        <f t="shared" si="8"/>
        <v>3.25</v>
      </c>
      <c r="F30" s="82">
        <f>F$10+G$16-SUM(H$14:H29)-SUM(I$14:I29)</f>
        <v>169602.51333362766</v>
      </c>
      <c r="G30" s="65">
        <f t="shared" si="7"/>
        <v>1374.2450224224763</v>
      </c>
      <c r="H30" s="65">
        <f t="shared" si="5"/>
        <v>25800</v>
      </c>
      <c r="I30" s="66">
        <f t="shared" si="6"/>
        <v>2467.0855556045981</v>
      </c>
      <c r="J30" s="28"/>
    </row>
    <row r="31" spans="1:10" x14ac:dyDescent="0.2">
      <c r="A31" s="74" t="s">
        <v>87</v>
      </c>
      <c r="B31" s="61">
        <f t="shared" si="3"/>
        <v>40360</v>
      </c>
      <c r="C31" s="61">
        <v>40451</v>
      </c>
      <c r="D31" s="62">
        <f t="shared" si="4"/>
        <v>92</v>
      </c>
      <c r="E31" s="62">
        <f t="shared" si="8"/>
        <v>3.25</v>
      </c>
      <c r="F31" s="82">
        <f>F$10+G$16-SUM(H$14:H30)-SUM(I$14:I30)</f>
        <v>141335.42777802306</v>
      </c>
      <c r="G31" s="65">
        <f t="shared" si="7"/>
        <v>1157.7888467295588</v>
      </c>
      <c r="H31" s="65">
        <f t="shared" si="5"/>
        <v>25800</v>
      </c>
      <c r="I31" s="66">
        <f t="shared" si="6"/>
        <v>2467.0855556045981</v>
      </c>
      <c r="J31" s="28"/>
    </row>
    <row r="32" spans="1:10" x14ac:dyDescent="0.2">
      <c r="A32" s="174" t="s">
        <v>75</v>
      </c>
      <c r="B32" s="175">
        <f t="shared" si="3"/>
        <v>40452</v>
      </c>
      <c r="C32" s="175">
        <v>40543</v>
      </c>
      <c r="D32" s="176">
        <f t="shared" si="4"/>
        <v>92</v>
      </c>
      <c r="E32" s="62">
        <f t="shared" si="8"/>
        <v>3.25</v>
      </c>
      <c r="F32" s="177">
        <f>F$10+G$16-SUM(H$14:H31)-SUM(I$14:I31)</f>
        <v>113068.34222241845</v>
      </c>
      <c r="G32" s="178">
        <f t="shared" si="7"/>
        <v>926.23107738364706</v>
      </c>
      <c r="H32" s="65">
        <f t="shared" si="5"/>
        <v>25800</v>
      </c>
      <c r="I32" s="66">
        <f t="shared" si="6"/>
        <v>2467.0855556045981</v>
      </c>
      <c r="J32" s="28"/>
    </row>
    <row r="33" spans="1:10" x14ac:dyDescent="0.2">
      <c r="A33" s="26" t="s">
        <v>88</v>
      </c>
      <c r="B33" s="27">
        <f>C32+1</f>
        <v>40544</v>
      </c>
      <c r="C33" s="27">
        <v>40633</v>
      </c>
      <c r="D33" s="26">
        <f t="shared" si="4"/>
        <v>90</v>
      </c>
      <c r="E33" s="62">
        <f t="shared" si="8"/>
        <v>3.25</v>
      </c>
      <c r="F33" s="52">
        <f>F$10+G$16-SUM(H$14:H32)-SUM(I$14:I32)</f>
        <v>84801.256666813846</v>
      </c>
      <c r="G33" s="47">
        <f t="shared" si="7"/>
        <v>679.57171438474109</v>
      </c>
      <c r="H33" s="173">
        <f t="shared" si="5"/>
        <v>25800</v>
      </c>
      <c r="I33" s="66">
        <f t="shared" si="6"/>
        <v>2467.0855556045981</v>
      </c>
      <c r="J33" s="28"/>
    </row>
    <row r="34" spans="1:10" x14ac:dyDescent="0.2">
      <c r="A34" s="26" t="s">
        <v>89</v>
      </c>
      <c r="B34" s="27">
        <f>C33+1</f>
        <v>40634</v>
      </c>
      <c r="C34" s="27">
        <v>40724</v>
      </c>
      <c r="D34" s="26">
        <f t="shared" si="4"/>
        <v>91</v>
      </c>
      <c r="E34" s="62">
        <f t="shared" si="8"/>
        <v>3.25</v>
      </c>
      <c r="F34" s="52">
        <f>F$10+G$16-SUM(H$14:H33)-SUM(I$14:I33)</f>
        <v>56534.171111209245</v>
      </c>
      <c r="G34" s="47">
        <f t="shared" si="7"/>
        <v>458.08167414082561</v>
      </c>
      <c r="H34" s="173">
        <f t="shared" si="5"/>
        <v>25800</v>
      </c>
      <c r="I34" s="66">
        <f t="shared" si="6"/>
        <v>2467.0855556045981</v>
      </c>
      <c r="J34" s="28"/>
    </row>
    <row r="35" spans="1:10" x14ac:dyDescent="0.2">
      <c r="A35" s="26" t="s">
        <v>90</v>
      </c>
      <c r="B35" s="27">
        <f>C34+1</f>
        <v>40725</v>
      </c>
      <c r="C35" s="27">
        <v>40816</v>
      </c>
      <c r="D35" s="26">
        <f t="shared" si="4"/>
        <v>92</v>
      </c>
      <c r="E35" s="62">
        <f t="shared" si="8"/>
        <v>3.25</v>
      </c>
      <c r="F35" s="52">
        <f>F$10+G$16-SUM(H$14:H34)-SUM(I$14:I34)</f>
        <v>28267.085555604644</v>
      </c>
      <c r="G35" s="47">
        <f t="shared" si="7"/>
        <v>231.55776934591205</v>
      </c>
      <c r="H35" s="173">
        <f t="shared" si="5"/>
        <v>25800</v>
      </c>
      <c r="I35" s="66">
        <f t="shared" si="6"/>
        <v>2467.0855556045981</v>
      </c>
      <c r="J35" s="28"/>
    </row>
    <row r="36" spans="1:10" x14ac:dyDescent="0.2">
      <c r="A36" s="26" t="s">
        <v>76</v>
      </c>
      <c r="B36" s="27">
        <f>C35+1</f>
        <v>40817</v>
      </c>
      <c r="C36" s="27">
        <v>40908</v>
      </c>
      <c r="D36" s="26">
        <f t="shared" si="4"/>
        <v>92</v>
      </c>
      <c r="E36" s="62">
        <f t="shared" si="8"/>
        <v>3.25</v>
      </c>
      <c r="F36" s="52"/>
      <c r="G36" s="47"/>
      <c r="H36" s="173"/>
      <c r="I36" s="66"/>
      <c r="J36" s="28"/>
    </row>
    <row r="37" spans="1:10" x14ac:dyDescent="0.2">
      <c r="A37" s="26"/>
      <c r="B37" s="27"/>
      <c r="C37" s="27"/>
      <c r="D37" s="26"/>
      <c r="E37" s="26"/>
      <c r="F37" s="52"/>
      <c r="G37" s="47"/>
      <c r="H37" s="47"/>
      <c r="I37" s="47"/>
      <c r="J37" s="28"/>
    </row>
    <row r="39" spans="1:10" x14ac:dyDescent="0.2">
      <c r="A39" s="326" t="s">
        <v>94</v>
      </c>
      <c r="B39" s="327"/>
      <c r="C39" s="327"/>
      <c r="D39" s="327"/>
      <c r="E39" s="327"/>
      <c r="F39" s="327"/>
      <c r="G39" s="327"/>
      <c r="H39" s="327"/>
      <c r="I39" s="327"/>
      <c r="J39" s="328"/>
    </row>
    <row r="40" spans="1:10" x14ac:dyDescent="0.2">
      <c r="A40" s="275" t="s">
        <v>7</v>
      </c>
      <c r="B40" s="275" t="s">
        <v>8</v>
      </c>
      <c r="C40" s="275" t="s">
        <v>9</v>
      </c>
      <c r="D40" s="275" t="s">
        <v>10</v>
      </c>
      <c r="E40" s="275" t="s">
        <v>11</v>
      </c>
      <c r="F40" s="275" t="s">
        <v>12</v>
      </c>
      <c r="G40" s="275" t="s">
        <v>13</v>
      </c>
      <c r="H40" s="275"/>
      <c r="I40" s="275"/>
      <c r="J40" s="275" t="s">
        <v>14</v>
      </c>
    </row>
    <row r="41" spans="1:10" ht="51" x14ac:dyDescent="0.2">
      <c r="A41" s="25" t="s">
        <v>15</v>
      </c>
      <c r="B41" s="25" t="s">
        <v>16</v>
      </c>
      <c r="C41" s="25" t="s">
        <v>17</v>
      </c>
      <c r="D41" s="25" t="s">
        <v>18</v>
      </c>
      <c r="E41" s="25" t="s">
        <v>19</v>
      </c>
      <c r="F41" s="25" t="s">
        <v>20</v>
      </c>
      <c r="G41" s="5" t="s">
        <v>98</v>
      </c>
      <c r="H41" s="5" t="s">
        <v>31</v>
      </c>
      <c r="I41" s="5" t="s">
        <v>99</v>
      </c>
      <c r="J41" s="25" t="s">
        <v>21</v>
      </c>
    </row>
    <row r="42" spans="1:10" x14ac:dyDescent="0.2">
      <c r="A42" s="53" t="s">
        <v>22</v>
      </c>
      <c r="B42" s="54">
        <f>C3</f>
        <v>37790</v>
      </c>
      <c r="C42" s="54">
        <v>37802</v>
      </c>
      <c r="D42" s="55">
        <f t="shared" ref="D42:D51" si="9">+C42-B42+1</f>
        <v>13</v>
      </c>
      <c r="E42" s="56">
        <v>4.25</v>
      </c>
      <c r="F42" s="57">
        <f>F3</f>
        <v>22000</v>
      </c>
      <c r="G42" s="58">
        <f>+D42/365*E42/100*F42</f>
        <v>33.301369863013697</v>
      </c>
      <c r="H42" s="58"/>
      <c r="I42" s="59"/>
      <c r="J42" s="92">
        <f>+F42+G42</f>
        <v>22033.301369863013</v>
      </c>
    </row>
    <row r="43" spans="1:10" x14ac:dyDescent="0.2">
      <c r="A43" s="60" t="s">
        <v>23</v>
      </c>
      <c r="B43" s="61">
        <v>37803</v>
      </c>
      <c r="C43" s="61">
        <v>37894</v>
      </c>
      <c r="D43" s="62">
        <f t="shared" si="9"/>
        <v>92</v>
      </c>
      <c r="E43" s="63">
        <v>4.25</v>
      </c>
      <c r="F43" s="64">
        <f t="shared" ref="F43:F50" si="10">+J42</f>
        <v>22033.301369863013</v>
      </c>
      <c r="G43" s="65">
        <f>+D43/365*E43/100*F43</f>
        <v>236.02796809908051</v>
      </c>
      <c r="H43" s="65"/>
      <c r="I43" s="66"/>
      <c r="J43" s="80">
        <f t="shared" ref="J43:J55" si="11">+F43+G43</f>
        <v>22269.329337962092</v>
      </c>
    </row>
    <row r="44" spans="1:10" x14ac:dyDescent="0.2">
      <c r="A44" s="60" t="s">
        <v>24</v>
      </c>
      <c r="B44" s="61">
        <v>37895</v>
      </c>
      <c r="C44" s="61">
        <v>37986</v>
      </c>
      <c r="D44" s="62">
        <f t="shared" si="9"/>
        <v>92</v>
      </c>
      <c r="E44" s="63">
        <v>4.07</v>
      </c>
      <c r="F44" s="64">
        <f t="shared" si="10"/>
        <v>22269.329337962092</v>
      </c>
      <c r="G44" s="65">
        <f>+D44/365*E44/100*F44</f>
        <v>228.45281307689112</v>
      </c>
      <c r="H44" s="65"/>
      <c r="I44" s="66"/>
      <c r="J44" s="80">
        <f t="shared" si="11"/>
        <v>22497.782151038984</v>
      </c>
    </row>
    <row r="45" spans="1:10" x14ac:dyDescent="0.2">
      <c r="A45" s="60" t="s">
        <v>25</v>
      </c>
      <c r="B45" s="61">
        <v>37987</v>
      </c>
      <c r="C45" s="61">
        <v>38077</v>
      </c>
      <c r="D45" s="62">
        <f t="shared" si="9"/>
        <v>91</v>
      </c>
      <c r="E45" s="63">
        <v>4</v>
      </c>
      <c r="F45" s="64">
        <f t="shared" si="10"/>
        <v>22497.782151038984</v>
      </c>
      <c r="G45" s="65">
        <f>+D45/366*E45/100*F45</f>
        <v>223.74843450760085</v>
      </c>
      <c r="H45" s="65"/>
      <c r="I45" s="66"/>
      <c r="J45" s="80">
        <f t="shared" si="11"/>
        <v>22721.530585546585</v>
      </c>
    </row>
    <row r="46" spans="1:10" x14ac:dyDescent="0.2">
      <c r="A46" s="60" t="s">
        <v>36</v>
      </c>
      <c r="B46" s="61">
        <v>38078</v>
      </c>
      <c r="C46" s="61">
        <v>38168</v>
      </c>
      <c r="D46" s="62">
        <f t="shared" si="9"/>
        <v>91</v>
      </c>
      <c r="E46" s="63">
        <v>4</v>
      </c>
      <c r="F46" s="64">
        <f t="shared" si="10"/>
        <v>22721.530585546585</v>
      </c>
      <c r="G46" s="65">
        <f>+D46/366*E46/100*F46</f>
        <v>225.97369216226659</v>
      </c>
      <c r="H46" s="65"/>
      <c r="I46" s="66"/>
      <c r="J46" s="80">
        <f t="shared" si="11"/>
        <v>22947.504277708853</v>
      </c>
    </row>
    <row r="47" spans="1:10" x14ac:dyDescent="0.2">
      <c r="A47" s="60" t="s">
        <v>33</v>
      </c>
      <c r="B47" s="61">
        <v>38169</v>
      </c>
      <c r="C47" s="61">
        <v>38260</v>
      </c>
      <c r="D47" s="62">
        <f t="shared" si="9"/>
        <v>92</v>
      </c>
      <c r="E47" s="63">
        <v>4</v>
      </c>
      <c r="F47" s="64">
        <f t="shared" si="10"/>
        <v>22947.504277708853</v>
      </c>
      <c r="G47" s="65">
        <f>+D47/366*E47/100*F47</f>
        <v>230.72900475947699</v>
      </c>
      <c r="H47" s="65"/>
      <c r="I47" s="66"/>
      <c r="J47" s="80">
        <f t="shared" si="11"/>
        <v>23178.233282468329</v>
      </c>
    </row>
    <row r="48" spans="1:10" x14ac:dyDescent="0.2">
      <c r="A48" s="60" t="s">
        <v>37</v>
      </c>
      <c r="B48" s="61">
        <v>38261</v>
      </c>
      <c r="C48" s="61">
        <v>38352</v>
      </c>
      <c r="D48" s="62">
        <f t="shared" si="9"/>
        <v>92</v>
      </c>
      <c r="E48" s="63">
        <v>4.22</v>
      </c>
      <c r="F48" s="64">
        <f t="shared" si="10"/>
        <v>23178.233282468329</v>
      </c>
      <c r="G48" s="65">
        <f>+D48/366*E48/100*F48</f>
        <v>245.8665926116258</v>
      </c>
      <c r="H48" s="65"/>
      <c r="I48" s="66"/>
      <c r="J48" s="80">
        <f t="shared" si="11"/>
        <v>23424.099875079955</v>
      </c>
    </row>
    <row r="49" spans="1:10" x14ac:dyDescent="0.2">
      <c r="A49" s="60" t="s">
        <v>35</v>
      </c>
      <c r="B49" s="61">
        <v>38353</v>
      </c>
      <c r="C49" s="61">
        <v>38442</v>
      </c>
      <c r="D49" s="62">
        <f t="shared" si="9"/>
        <v>90</v>
      </c>
      <c r="E49" s="63">
        <v>4.75</v>
      </c>
      <c r="F49" s="64">
        <f t="shared" si="10"/>
        <v>23424.099875079955</v>
      </c>
      <c r="G49" s="65">
        <f t="shared" ref="G49:G56" si="12">+D49/365*E49/100*F49</f>
        <v>274.350758810868</v>
      </c>
      <c r="H49" s="65"/>
      <c r="I49" s="66"/>
      <c r="J49" s="80">
        <f t="shared" si="11"/>
        <v>23698.450633890825</v>
      </c>
    </row>
    <row r="50" spans="1:10" x14ac:dyDescent="0.2">
      <c r="A50" s="60" t="s">
        <v>32</v>
      </c>
      <c r="B50" s="61">
        <v>38443</v>
      </c>
      <c r="C50" s="61">
        <v>38533</v>
      </c>
      <c r="D50" s="62">
        <f t="shared" si="9"/>
        <v>91</v>
      </c>
      <c r="E50" s="63">
        <v>5.3</v>
      </c>
      <c r="F50" s="64">
        <f t="shared" si="10"/>
        <v>23698.450633890825</v>
      </c>
      <c r="G50" s="65">
        <f t="shared" si="12"/>
        <v>313.14418467741217</v>
      </c>
      <c r="H50" s="65"/>
      <c r="I50" s="66"/>
      <c r="J50" s="80">
        <f t="shared" si="11"/>
        <v>24011.594818568235</v>
      </c>
    </row>
    <row r="51" spans="1:10" x14ac:dyDescent="0.2">
      <c r="A51" s="60" t="s">
        <v>34</v>
      </c>
      <c r="B51" s="61">
        <v>38534</v>
      </c>
      <c r="C51" s="61">
        <v>38625</v>
      </c>
      <c r="D51" s="62">
        <f t="shared" si="9"/>
        <v>92</v>
      </c>
      <c r="E51" s="63">
        <v>5.77</v>
      </c>
      <c r="F51" s="64">
        <f t="shared" ref="F51:F56" si="13">+J50</f>
        <v>24011.594818568235</v>
      </c>
      <c r="G51" s="65">
        <f t="shared" si="12"/>
        <v>349.21410941065102</v>
      </c>
      <c r="H51" s="70"/>
      <c r="I51" s="91"/>
      <c r="J51" s="80">
        <f t="shared" si="11"/>
        <v>24360.808927978887</v>
      </c>
    </row>
    <row r="52" spans="1:10" x14ac:dyDescent="0.2">
      <c r="A52" s="74" t="s">
        <v>30</v>
      </c>
      <c r="B52" s="61">
        <v>38626</v>
      </c>
      <c r="C52" s="61">
        <v>38717</v>
      </c>
      <c r="D52" s="62">
        <f>+C52-B52+1</f>
        <v>92</v>
      </c>
      <c r="E52" s="73">
        <v>6.23</v>
      </c>
      <c r="F52" s="64">
        <f t="shared" si="13"/>
        <v>24360.808927978887</v>
      </c>
      <c r="G52" s="65">
        <f t="shared" si="12"/>
        <v>382.53811630576382</v>
      </c>
      <c r="H52" s="65"/>
      <c r="I52" s="66"/>
      <c r="J52" s="80">
        <f t="shared" si="11"/>
        <v>24743.347044284652</v>
      </c>
    </row>
    <row r="53" spans="1:10" x14ac:dyDescent="0.2">
      <c r="A53" s="60" t="s">
        <v>49</v>
      </c>
      <c r="B53" s="61">
        <f>C52+1</f>
        <v>38718</v>
      </c>
      <c r="C53" s="61">
        <v>38807</v>
      </c>
      <c r="D53" s="62">
        <f>+C53-B53+1</f>
        <v>90</v>
      </c>
      <c r="E53" s="63">
        <v>6.78</v>
      </c>
      <c r="F53" s="64">
        <f t="shared" si="13"/>
        <v>24743.347044284652</v>
      </c>
      <c r="G53" s="65">
        <f t="shared" si="12"/>
        <v>413.65453058691759</v>
      </c>
      <c r="H53" s="65"/>
      <c r="I53" s="66"/>
      <c r="J53" s="80">
        <f t="shared" si="11"/>
        <v>25157.00157487157</v>
      </c>
    </row>
    <row r="54" spans="1:10" x14ac:dyDescent="0.2">
      <c r="A54" s="60" t="s">
        <v>50</v>
      </c>
      <c r="B54" s="61">
        <f>C53+1</f>
        <v>38808</v>
      </c>
      <c r="C54" s="61">
        <v>38898</v>
      </c>
      <c r="D54" s="62">
        <f>+C54-B54+1</f>
        <v>91</v>
      </c>
      <c r="E54" s="63">
        <v>7.3</v>
      </c>
      <c r="F54" s="64">
        <f t="shared" si="13"/>
        <v>25157.00157487157</v>
      </c>
      <c r="G54" s="65">
        <f t="shared" si="12"/>
        <v>457.85742866266258</v>
      </c>
      <c r="H54" s="65"/>
      <c r="I54" s="66"/>
      <c r="J54" s="80">
        <f t="shared" si="11"/>
        <v>25614.859003534231</v>
      </c>
    </row>
    <row r="55" spans="1:10" x14ac:dyDescent="0.2">
      <c r="A55" s="60" t="s">
        <v>51</v>
      </c>
      <c r="B55" s="61">
        <f>C54+1</f>
        <v>38899</v>
      </c>
      <c r="C55" s="61">
        <v>38990</v>
      </c>
      <c r="D55" s="62">
        <f>+C55-B55+1</f>
        <v>92</v>
      </c>
      <c r="E55" s="62">
        <v>7.74</v>
      </c>
      <c r="F55" s="64">
        <f t="shared" si="13"/>
        <v>25614.859003534231</v>
      </c>
      <c r="G55" s="65">
        <f t="shared" si="12"/>
        <v>499.72133696538793</v>
      </c>
      <c r="H55" s="65"/>
      <c r="I55" s="66"/>
      <c r="J55" s="80">
        <f t="shared" si="11"/>
        <v>26114.580340499619</v>
      </c>
    </row>
    <row r="56" spans="1:10" x14ac:dyDescent="0.2">
      <c r="A56" s="60" t="s">
        <v>52</v>
      </c>
      <c r="B56" s="61">
        <f>C55+1</f>
        <v>38991</v>
      </c>
      <c r="C56" s="61">
        <v>39082</v>
      </c>
      <c r="D56" s="62">
        <f>+C56-B56+1</f>
        <v>92</v>
      </c>
      <c r="E56" s="62">
        <v>8.17</v>
      </c>
      <c r="F56" s="64">
        <f t="shared" si="13"/>
        <v>26114.580340499619</v>
      </c>
      <c r="G56" s="65">
        <f t="shared" si="12"/>
        <v>537.77433334611328</v>
      </c>
      <c r="H56" s="65">
        <f>F$42/20</f>
        <v>1100</v>
      </c>
      <c r="I56" s="66">
        <f>G$57/20*5</f>
        <v>1163.0886684614329</v>
      </c>
      <c r="J56" s="80">
        <f>+F56+G56-H56-I56</f>
        <v>24389.266005384299</v>
      </c>
    </row>
    <row r="57" spans="1:10" x14ac:dyDescent="0.2">
      <c r="A57" s="68"/>
      <c r="B57" s="69"/>
      <c r="C57" s="69"/>
      <c r="D57" s="81"/>
      <c r="E57" s="324" t="s">
        <v>100</v>
      </c>
      <c r="F57" s="324"/>
      <c r="G57" s="71">
        <f>SUM(G42:G56)</f>
        <v>4652.3546738457317</v>
      </c>
      <c r="H57" s="71"/>
      <c r="I57" s="72"/>
      <c r="J57" s="86"/>
    </row>
    <row r="58" spans="1:10" x14ac:dyDescent="0.2">
      <c r="A58" s="60" t="s">
        <v>53</v>
      </c>
      <c r="B58" s="61">
        <f>C56+1</f>
        <v>39083</v>
      </c>
      <c r="C58" s="61">
        <v>39172</v>
      </c>
      <c r="D58" s="62">
        <f>+C58-B58+1</f>
        <v>90</v>
      </c>
      <c r="E58" s="62">
        <v>8.25</v>
      </c>
      <c r="F58" s="82">
        <f>F$42+G$57-SUM(H$52:H57)-SUM(I$52:I57)</f>
        <v>24389.266005384296</v>
      </c>
      <c r="G58" s="65">
        <f t="shared" ref="G58:G76" si="14">+D58/365*E58/100*F58</f>
        <v>496.13780846569421</v>
      </c>
      <c r="H58" s="65">
        <f>F$42/20</f>
        <v>1100</v>
      </c>
      <c r="I58" s="67">
        <f>G$57/20</f>
        <v>232.61773369228658</v>
      </c>
      <c r="J58" s="85"/>
    </row>
    <row r="59" spans="1:10" x14ac:dyDescent="0.2">
      <c r="A59" s="60" t="s">
        <v>54</v>
      </c>
      <c r="B59" s="61">
        <f t="shared" ref="B59:B72" si="15">C58+1</f>
        <v>39173</v>
      </c>
      <c r="C59" s="61">
        <v>39263</v>
      </c>
      <c r="D59" s="62">
        <f>+C59-B59+1</f>
        <v>91</v>
      </c>
      <c r="E59" s="62">
        <v>8.25</v>
      </c>
      <c r="F59" s="82">
        <f>F$42+G$57-SUM(H$52:H58)-SUM(I$52:I58)</f>
        <v>23056.648271692011</v>
      </c>
      <c r="G59" s="65">
        <f t="shared" si="14"/>
        <v>474.24051205404874</v>
      </c>
      <c r="H59" s="65">
        <f>F$42/20</f>
        <v>1100</v>
      </c>
      <c r="I59" s="67">
        <f>G$57/20</f>
        <v>232.61773369228658</v>
      </c>
      <c r="J59" s="85"/>
    </row>
    <row r="60" spans="1:10" x14ac:dyDescent="0.2">
      <c r="A60" s="60" t="s">
        <v>55</v>
      </c>
      <c r="B60" s="61">
        <f t="shared" si="15"/>
        <v>39264</v>
      </c>
      <c r="C60" s="61">
        <v>39355</v>
      </c>
      <c r="D60" s="62">
        <f>+C60-B60+1</f>
        <v>92</v>
      </c>
      <c r="E60" s="62">
        <v>8.25</v>
      </c>
      <c r="F60" s="82">
        <f>F$42+G$57-SUM(H$52:H59)-SUM(I$52:I59)</f>
        <v>21724.030537999723</v>
      </c>
      <c r="G60" s="65">
        <f t="shared" si="14"/>
        <v>451.74079940662438</v>
      </c>
      <c r="H60" s="65">
        <f>F$42/20</f>
        <v>1100</v>
      </c>
      <c r="I60" s="67">
        <f>G$57/20</f>
        <v>232.61773369228658</v>
      </c>
      <c r="J60" s="85"/>
    </row>
    <row r="61" spans="1:10" x14ac:dyDescent="0.2">
      <c r="A61" s="74" t="s">
        <v>56</v>
      </c>
      <c r="B61" s="61">
        <f t="shared" si="15"/>
        <v>39356</v>
      </c>
      <c r="C61" s="61">
        <v>39447</v>
      </c>
      <c r="D61" s="62">
        <f>+C61-B61+1</f>
        <v>92</v>
      </c>
      <c r="E61" s="62">
        <v>8.25</v>
      </c>
      <c r="F61" s="82">
        <f>F$42+G$57-SUM(H$52:H60)-SUM(I$52:I60)</f>
        <v>20391.412804307438</v>
      </c>
      <c r="G61" s="65">
        <f t="shared" si="14"/>
        <v>424.02965256080404</v>
      </c>
      <c r="H61" s="65">
        <f>F$42/20</f>
        <v>1100</v>
      </c>
      <c r="I61" s="67">
        <f>G$57/20</f>
        <v>232.61773369228658</v>
      </c>
      <c r="J61" s="85"/>
    </row>
    <row r="62" spans="1:10" x14ac:dyDescent="0.2">
      <c r="A62" s="74" t="s">
        <v>78</v>
      </c>
      <c r="B62" s="61">
        <f t="shared" si="15"/>
        <v>39448</v>
      </c>
      <c r="C62" s="61">
        <v>39538</v>
      </c>
      <c r="D62" s="62">
        <f t="shared" ref="D62:D72" si="16">+C62-B62+1</f>
        <v>91</v>
      </c>
      <c r="E62" s="62">
        <v>7.76</v>
      </c>
      <c r="F62" s="82">
        <f>F$42+G$57-SUM(H$52:H61)-SUM(I$52:I61)</f>
        <v>19058.79507061515</v>
      </c>
      <c r="G62" s="65">
        <f>+D62/366*E62/100*F62</f>
        <v>367.72018379960645</v>
      </c>
      <c r="H62" s="65">
        <f t="shared" ref="H62:H71" si="17">F$42/20</f>
        <v>1100</v>
      </c>
      <c r="I62" s="66">
        <f t="shared" ref="I62:I71" si="18">G$57/20</f>
        <v>232.61773369228658</v>
      </c>
    </row>
    <row r="63" spans="1:10" x14ac:dyDescent="0.2">
      <c r="A63" s="74" t="s">
        <v>79</v>
      </c>
      <c r="B63" s="61">
        <f t="shared" si="15"/>
        <v>39539</v>
      </c>
      <c r="C63" s="61">
        <v>39629</v>
      </c>
      <c r="D63" s="62">
        <f t="shared" si="16"/>
        <v>91</v>
      </c>
      <c r="E63" s="62">
        <v>6.77</v>
      </c>
      <c r="F63" s="82">
        <f>F$42+G$57-SUM(H$52:H62)-SUM(I$52:I62)</f>
        <v>17726.177336922865</v>
      </c>
      <c r="G63" s="65">
        <f>+D63/366*E63/100*F63</f>
        <v>298.37612218464665</v>
      </c>
      <c r="H63" s="65">
        <f t="shared" si="17"/>
        <v>1100</v>
      </c>
      <c r="I63" s="66">
        <f t="shared" si="18"/>
        <v>232.61773369228658</v>
      </c>
    </row>
    <row r="64" spans="1:10" x14ac:dyDescent="0.2">
      <c r="A64" s="74" t="s">
        <v>80</v>
      </c>
      <c r="B64" s="61">
        <f t="shared" si="15"/>
        <v>39630</v>
      </c>
      <c r="C64" s="61">
        <v>39721</v>
      </c>
      <c r="D64" s="62">
        <f t="shared" si="16"/>
        <v>92</v>
      </c>
      <c r="E64" s="62">
        <v>5.3</v>
      </c>
      <c r="F64" s="82">
        <f>F$42+G$57-SUM(H$52:H63)-SUM(I$52:I63)</f>
        <v>16393.559603230577</v>
      </c>
      <c r="G64" s="65">
        <f>+D64/366*E64/100*F64</f>
        <v>218.40163012391338</v>
      </c>
      <c r="H64" s="65">
        <f t="shared" si="17"/>
        <v>1100</v>
      </c>
      <c r="I64" s="66">
        <f t="shared" si="18"/>
        <v>232.61773369228658</v>
      </c>
    </row>
    <row r="65" spans="1:9" x14ac:dyDescent="0.2">
      <c r="A65" s="74" t="s">
        <v>73</v>
      </c>
      <c r="B65" s="61">
        <f t="shared" si="15"/>
        <v>39722</v>
      </c>
      <c r="C65" s="61">
        <v>39813</v>
      </c>
      <c r="D65" s="62">
        <f t="shared" si="16"/>
        <v>92</v>
      </c>
      <c r="E65" s="62">
        <v>5</v>
      </c>
      <c r="F65" s="82">
        <f>F$42+G$57-SUM(H$52:H64)-SUM(I$52:I64)</f>
        <v>15060.941869538292</v>
      </c>
      <c r="G65" s="65">
        <f>+D65/366*E65/100*F65</f>
        <v>189.29052622916979</v>
      </c>
      <c r="H65" s="65">
        <f t="shared" si="17"/>
        <v>1100</v>
      </c>
      <c r="I65" s="66">
        <f t="shared" si="18"/>
        <v>232.61773369228658</v>
      </c>
    </row>
    <row r="66" spans="1:9" x14ac:dyDescent="0.2">
      <c r="A66" s="74" t="s">
        <v>81</v>
      </c>
      <c r="B66" s="61">
        <f t="shared" si="15"/>
        <v>39814</v>
      </c>
      <c r="C66" s="61">
        <v>39903</v>
      </c>
      <c r="D66" s="62">
        <f t="shared" si="16"/>
        <v>90</v>
      </c>
      <c r="E66" s="62">
        <v>4.5199999999999996</v>
      </c>
      <c r="F66" s="82">
        <f>F$42+G$57-SUM(H$52:H65)-SUM(I$52:I65)</f>
        <v>13728.324135846005</v>
      </c>
      <c r="G66" s="65">
        <f t="shared" si="14"/>
        <v>153.00499338252479</v>
      </c>
      <c r="H66" s="65">
        <f t="shared" si="17"/>
        <v>1100</v>
      </c>
      <c r="I66" s="66">
        <f t="shared" si="18"/>
        <v>232.61773369228658</v>
      </c>
    </row>
    <row r="67" spans="1:9" x14ac:dyDescent="0.2">
      <c r="A67" s="74" t="s">
        <v>82</v>
      </c>
      <c r="B67" s="61">
        <f t="shared" si="15"/>
        <v>39904</v>
      </c>
      <c r="C67" s="61">
        <v>39994</v>
      </c>
      <c r="D67" s="62">
        <f t="shared" si="16"/>
        <v>91</v>
      </c>
      <c r="E67" s="62">
        <v>3.37</v>
      </c>
      <c r="F67" s="82">
        <f>F$42+G$57-SUM(H$52:H66)-SUM(I$52:I66)</f>
        <v>12395.706402153719</v>
      </c>
      <c r="G67" s="65">
        <f t="shared" si="14"/>
        <v>104.1477063657118</v>
      </c>
      <c r="H67" s="65">
        <f t="shared" si="17"/>
        <v>1100</v>
      </c>
      <c r="I67" s="66">
        <f t="shared" si="18"/>
        <v>232.61773369228658</v>
      </c>
    </row>
    <row r="68" spans="1:9" x14ac:dyDescent="0.2">
      <c r="A68" s="74" t="s">
        <v>84</v>
      </c>
      <c r="B68" s="61">
        <f t="shared" si="15"/>
        <v>39995</v>
      </c>
      <c r="C68" s="61">
        <v>40086</v>
      </c>
      <c r="D68" s="62">
        <f t="shared" si="16"/>
        <v>92</v>
      </c>
      <c r="E68" s="62">
        <v>3.25</v>
      </c>
      <c r="F68" s="82">
        <f>F$42+G$57-SUM(H$52:H67)-SUM(I$52:I67)</f>
        <v>11063.088668461432</v>
      </c>
      <c r="G68" s="65">
        <f t="shared" si="14"/>
        <v>90.6263975854786</v>
      </c>
      <c r="H68" s="65">
        <f t="shared" si="17"/>
        <v>1100</v>
      </c>
      <c r="I68" s="66">
        <f t="shared" si="18"/>
        <v>232.61773369228658</v>
      </c>
    </row>
    <row r="69" spans="1:9" x14ac:dyDescent="0.2">
      <c r="A69" s="74" t="s">
        <v>74</v>
      </c>
      <c r="B69" s="61">
        <f t="shared" si="15"/>
        <v>40087</v>
      </c>
      <c r="C69" s="61">
        <v>40178</v>
      </c>
      <c r="D69" s="62">
        <f t="shared" si="16"/>
        <v>92</v>
      </c>
      <c r="E69" s="62">
        <f t="shared" ref="E69:E77" si="19">E68</f>
        <v>3.25</v>
      </c>
      <c r="F69" s="82">
        <f>F$42+G$57-SUM(H$52:H68)-SUM(I$52:I68)</f>
        <v>9730.470934769146</v>
      </c>
      <c r="G69" s="65">
        <f t="shared" si="14"/>
        <v>79.709885191670551</v>
      </c>
      <c r="H69" s="65">
        <f t="shared" si="17"/>
        <v>1100</v>
      </c>
      <c r="I69" s="66">
        <f t="shared" si="18"/>
        <v>232.61773369228658</v>
      </c>
    </row>
    <row r="70" spans="1:9" x14ac:dyDescent="0.2">
      <c r="A70" s="74" t="s">
        <v>85</v>
      </c>
      <c r="B70" s="61">
        <f t="shared" si="15"/>
        <v>40179</v>
      </c>
      <c r="C70" s="61">
        <v>40268</v>
      </c>
      <c r="D70" s="62">
        <f t="shared" si="16"/>
        <v>90</v>
      </c>
      <c r="E70" s="62">
        <f t="shared" si="19"/>
        <v>3.25</v>
      </c>
      <c r="F70" s="82">
        <f>F$42+G$57-SUM(H$52:H69)-SUM(I$52:I69)</f>
        <v>8397.8532010768595</v>
      </c>
      <c r="G70" s="65">
        <f t="shared" si="14"/>
        <v>67.297864693561124</v>
      </c>
      <c r="H70" s="65">
        <f t="shared" si="17"/>
        <v>1100</v>
      </c>
      <c r="I70" s="66">
        <f t="shared" si="18"/>
        <v>232.61773369228658</v>
      </c>
    </row>
    <row r="71" spans="1:9" x14ac:dyDescent="0.2">
      <c r="A71" s="74" t="s">
        <v>86</v>
      </c>
      <c r="B71" s="61">
        <f t="shared" si="15"/>
        <v>40269</v>
      </c>
      <c r="C71" s="61">
        <v>40359</v>
      </c>
      <c r="D71" s="62">
        <f t="shared" si="16"/>
        <v>91</v>
      </c>
      <c r="E71" s="62">
        <f t="shared" si="19"/>
        <v>3.25</v>
      </c>
      <c r="F71" s="82">
        <f>F$42+G$57-SUM(H$52:H70)-SUM(I$52:I70)</f>
        <v>7065.2354673845721</v>
      </c>
      <c r="G71" s="65">
        <f t="shared" si="14"/>
        <v>57.247764095314722</v>
      </c>
      <c r="H71" s="65">
        <f t="shared" si="17"/>
        <v>1100</v>
      </c>
      <c r="I71" s="66">
        <f t="shared" si="18"/>
        <v>232.61773369228658</v>
      </c>
    </row>
    <row r="72" spans="1:9" x14ac:dyDescent="0.2">
      <c r="A72" s="174" t="s">
        <v>87</v>
      </c>
      <c r="B72" s="175">
        <f t="shared" si="15"/>
        <v>40360</v>
      </c>
      <c r="C72" s="175">
        <v>40451</v>
      </c>
      <c r="D72" s="176">
        <f t="shared" si="16"/>
        <v>92</v>
      </c>
      <c r="E72" s="62">
        <f t="shared" si="19"/>
        <v>3.25</v>
      </c>
      <c r="F72" s="177">
        <f>F$42+G$57-SUM(H$52:H71)-SUM(I$52:I71)</f>
        <v>5732.6177336922856</v>
      </c>
      <c r="G72" s="178">
        <f t="shared" si="14"/>
        <v>46.960348010246399</v>
      </c>
      <c r="H72" s="178">
        <f>F$42/20</f>
        <v>1100</v>
      </c>
      <c r="I72" s="179">
        <f>G$57/20</f>
        <v>232.61773369228658</v>
      </c>
    </row>
    <row r="73" spans="1:9" x14ac:dyDescent="0.2">
      <c r="A73" s="26" t="s">
        <v>75</v>
      </c>
      <c r="B73" s="27">
        <f>C72+1</f>
        <v>40452</v>
      </c>
      <c r="C73" s="27">
        <v>40543</v>
      </c>
      <c r="D73" s="26">
        <f>+C73-B73+1</f>
        <v>92</v>
      </c>
      <c r="E73" s="62">
        <f t="shared" si="19"/>
        <v>3.25</v>
      </c>
      <c r="F73" s="52">
        <f>F$42+G$57-SUM(H$52:H72)-SUM(I$52:I72)</f>
        <v>4399.9999999999991</v>
      </c>
      <c r="G73" s="47">
        <f t="shared" si="14"/>
        <v>36.043835616438351</v>
      </c>
      <c r="H73" s="47">
        <f>F$42/20</f>
        <v>1100</v>
      </c>
      <c r="I73" s="47">
        <f>G$57/20</f>
        <v>232.61773369228658</v>
      </c>
    </row>
    <row r="74" spans="1:9" x14ac:dyDescent="0.2">
      <c r="A74" s="26" t="s">
        <v>88</v>
      </c>
      <c r="B74" s="27">
        <f>C73+1</f>
        <v>40544</v>
      </c>
      <c r="C74" s="27">
        <v>40633</v>
      </c>
      <c r="D74" s="26">
        <f>+C74-B74+1</f>
        <v>90</v>
      </c>
      <c r="E74" s="62">
        <f t="shared" si="19"/>
        <v>3.25</v>
      </c>
      <c r="F74" s="52">
        <f>F$42+G$57-SUM(H$52:H73)-SUM(I$52:I73)</f>
        <v>3067.3822663077126</v>
      </c>
      <c r="G74" s="47">
        <f t="shared" si="14"/>
        <v>24.581077065616601</v>
      </c>
      <c r="H74" s="47">
        <f>F$42/20</f>
        <v>1100</v>
      </c>
      <c r="I74" s="47">
        <f>G$57/20</f>
        <v>232.61773369228658</v>
      </c>
    </row>
    <row r="75" spans="1:9" x14ac:dyDescent="0.2">
      <c r="A75" s="26" t="s">
        <v>89</v>
      </c>
      <c r="B75" s="27">
        <f>C74+1</f>
        <v>40634</v>
      </c>
      <c r="C75" s="27">
        <v>40724</v>
      </c>
      <c r="D75" s="26">
        <f>+C75-B75+1</f>
        <v>91</v>
      </c>
      <c r="E75" s="62">
        <f t="shared" si="19"/>
        <v>3.25</v>
      </c>
      <c r="F75" s="52">
        <f>F$42+G$57-SUM(H$52:H74)-SUM(I$52:I74)</f>
        <v>1734.7645326154261</v>
      </c>
      <c r="G75" s="47">
        <f t="shared" si="14"/>
        <v>14.056345493726363</v>
      </c>
      <c r="H75" s="47">
        <f>F$42/20</f>
        <v>1100</v>
      </c>
      <c r="I75" s="47">
        <f>G$57/20</f>
        <v>232.61773369228658</v>
      </c>
    </row>
    <row r="76" spans="1:9" x14ac:dyDescent="0.2">
      <c r="A76" s="26" t="s">
        <v>90</v>
      </c>
      <c r="B76" s="27">
        <f>C75+1</f>
        <v>40725</v>
      </c>
      <c r="C76" s="27">
        <v>40816</v>
      </c>
      <c r="D76" s="26">
        <f>+C76-B76+1</f>
        <v>92</v>
      </c>
      <c r="E76" s="62">
        <f t="shared" si="19"/>
        <v>3.25</v>
      </c>
      <c r="F76" s="52">
        <f>F$42+G$57-SUM(H$52:H75)-SUM(I$52:I75)</f>
        <v>402.14679892313961</v>
      </c>
      <c r="G76" s="47">
        <f t="shared" si="14"/>
        <v>3.2942984350142126</v>
      </c>
      <c r="H76" s="47">
        <f>F$42/20</f>
        <v>1100</v>
      </c>
      <c r="I76" s="47">
        <f>G$57/20</f>
        <v>232.61773369228658</v>
      </c>
    </row>
    <row r="77" spans="1:9" x14ac:dyDescent="0.2">
      <c r="A77" s="26" t="s">
        <v>76</v>
      </c>
      <c r="B77" s="27">
        <f>C76+1</f>
        <v>40817</v>
      </c>
      <c r="C77" s="27">
        <v>40908</v>
      </c>
      <c r="D77" s="26">
        <f>+C77-B77+1</f>
        <v>92</v>
      </c>
      <c r="E77" s="62">
        <f t="shared" si="19"/>
        <v>3.25</v>
      </c>
      <c r="F77" s="28"/>
      <c r="G77" s="28"/>
      <c r="H77" s="28"/>
      <c r="I77" s="28"/>
    </row>
  </sheetData>
  <customSheetViews>
    <customSheetView guid="{6086CA2F-D319-4FB4-8773-987A9787386E}" scale="75" showRuler="0">
      <selection sqref="A1:IV65536"/>
      <rowBreaks count="1" manualBreakCount="1">
        <brk id="33" max="16383" man="1"/>
      </rowBreaks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5">
    <mergeCell ref="E57:F57"/>
    <mergeCell ref="A5:B5"/>
    <mergeCell ref="A7:J7"/>
    <mergeCell ref="E16:F16"/>
    <mergeCell ref="A39:J39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
Attachment 4
WP- Schedule 22
(Based on Aug. 26, 2013 Offer of Settlement)
Page &amp;P of &amp;N</oddHeader>
  </headerFooter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2:L157"/>
  <sheetViews>
    <sheetView view="pageLayout" zoomScale="80" zoomScaleNormal="85" zoomScalePageLayoutView="80" workbookViewId="0">
      <selection activeCell="K16" sqref="K16"/>
    </sheetView>
  </sheetViews>
  <sheetFormatPr defaultRowHeight="12.75" x14ac:dyDescent="0.2"/>
  <cols>
    <col min="1" max="1" width="16.140625" style="276" bestFit="1" customWidth="1"/>
    <col min="2" max="2" width="14.5703125" style="276" customWidth="1"/>
    <col min="3" max="3" width="16.140625" style="21" customWidth="1"/>
    <col min="4" max="4" width="13.42578125" style="21" customWidth="1"/>
    <col min="5" max="5" width="15.7109375" style="21" customWidth="1"/>
    <col min="6" max="6" width="16.140625" style="21" customWidth="1"/>
    <col min="7" max="7" width="16.28515625" style="21" customWidth="1"/>
    <col min="8" max="8" width="13.42578125" style="21" customWidth="1"/>
    <col min="9" max="9" width="12.28515625" style="21" customWidth="1"/>
    <col min="10" max="10" width="19.85546875" style="21" bestFit="1" customWidth="1"/>
    <col min="11" max="11" width="9.140625" style="21"/>
    <col min="12" max="12" width="13.140625" style="21" bestFit="1" customWidth="1"/>
    <col min="13" max="16384" width="9.140625" style="21"/>
  </cols>
  <sheetData>
    <row r="2" spans="1:6" ht="25.5" x14ac:dyDescent="0.2">
      <c r="A2" s="19" t="s">
        <v>57</v>
      </c>
      <c r="B2" s="19" t="s">
        <v>58</v>
      </c>
      <c r="C2" s="20" t="s">
        <v>5</v>
      </c>
      <c r="D2" s="20" t="s">
        <v>1</v>
      </c>
      <c r="E2" s="20" t="s">
        <v>59</v>
      </c>
      <c r="F2" s="20" t="s">
        <v>60</v>
      </c>
    </row>
    <row r="3" spans="1:6" x14ac:dyDescent="0.2">
      <c r="A3" s="276">
        <v>1</v>
      </c>
      <c r="B3" s="22">
        <v>36945</v>
      </c>
      <c r="C3" s="36">
        <v>50579.65</v>
      </c>
      <c r="D3" s="36">
        <v>0</v>
      </c>
      <c r="E3" s="36">
        <v>0</v>
      </c>
      <c r="F3" s="36">
        <f>SUM(C3:E3)</f>
        <v>50579.65</v>
      </c>
    </row>
    <row r="4" spans="1:6" x14ac:dyDescent="0.2">
      <c r="A4" s="276">
        <v>2</v>
      </c>
      <c r="B4" s="22">
        <v>36945</v>
      </c>
      <c r="C4" s="36">
        <v>63224.56</v>
      </c>
      <c r="D4" s="36">
        <v>0</v>
      </c>
      <c r="E4" s="36">
        <v>0</v>
      </c>
      <c r="F4" s="36">
        <f t="shared" ref="F4:F28" si="0">SUM(C4:E4)</f>
        <v>63224.56</v>
      </c>
    </row>
    <row r="5" spans="1:6" x14ac:dyDescent="0.2">
      <c r="A5" s="276">
        <v>3</v>
      </c>
      <c r="B5" s="22">
        <v>37001</v>
      </c>
      <c r="C5" s="36">
        <v>450158.9</v>
      </c>
      <c r="D5" s="36">
        <v>0</v>
      </c>
      <c r="E5" s="36">
        <v>0</v>
      </c>
      <c r="F5" s="36">
        <f t="shared" si="0"/>
        <v>450158.9</v>
      </c>
    </row>
    <row r="6" spans="1:6" x14ac:dyDescent="0.2">
      <c r="A6" s="276">
        <v>4</v>
      </c>
      <c r="B6" s="22">
        <v>37026</v>
      </c>
      <c r="C6" s="36">
        <v>730385.42</v>
      </c>
      <c r="D6" s="36">
        <v>0</v>
      </c>
      <c r="E6" s="36">
        <v>482879.15</v>
      </c>
      <c r="F6" s="36">
        <f t="shared" si="0"/>
        <v>1213264.57</v>
      </c>
    </row>
    <row r="7" spans="1:6" x14ac:dyDescent="0.2">
      <c r="A7" s="276">
        <v>5</v>
      </c>
      <c r="B7" s="22">
        <v>37082</v>
      </c>
      <c r="C7" s="36">
        <v>332687.65999999997</v>
      </c>
      <c r="D7" s="36">
        <v>0</v>
      </c>
      <c r="E7" s="36">
        <v>0</v>
      </c>
      <c r="F7" s="36">
        <f t="shared" si="0"/>
        <v>332687.65999999997</v>
      </c>
    </row>
    <row r="8" spans="1:6" x14ac:dyDescent="0.2">
      <c r="A8" s="276">
        <v>6</v>
      </c>
      <c r="B8" s="22">
        <v>37090</v>
      </c>
      <c r="C8" s="36">
        <v>723289.01</v>
      </c>
      <c r="D8" s="36">
        <v>0</v>
      </c>
      <c r="E8" s="36">
        <v>0</v>
      </c>
      <c r="F8" s="36">
        <f t="shared" si="0"/>
        <v>723289.01</v>
      </c>
    </row>
    <row r="9" spans="1:6" x14ac:dyDescent="0.2">
      <c r="A9" s="276">
        <v>7</v>
      </c>
      <c r="B9" s="22">
        <v>37119</v>
      </c>
      <c r="C9" s="36">
        <v>689147.75</v>
      </c>
      <c r="D9" s="36">
        <v>0</v>
      </c>
      <c r="E9" s="36">
        <v>0</v>
      </c>
      <c r="F9" s="36">
        <f t="shared" si="0"/>
        <v>689147.75</v>
      </c>
    </row>
    <row r="10" spans="1:6" x14ac:dyDescent="0.2">
      <c r="A10" s="276">
        <v>8</v>
      </c>
      <c r="B10" s="22">
        <v>37148</v>
      </c>
      <c r="C10" s="36">
        <v>708747.37</v>
      </c>
      <c r="D10" s="36">
        <v>0</v>
      </c>
      <c r="E10" s="36">
        <v>0</v>
      </c>
      <c r="F10" s="36">
        <f t="shared" si="0"/>
        <v>708747.37</v>
      </c>
    </row>
    <row r="11" spans="1:6" x14ac:dyDescent="0.2">
      <c r="A11" s="276">
        <v>9</v>
      </c>
      <c r="B11" s="22">
        <v>37179</v>
      </c>
      <c r="C11" s="36">
        <v>1841099.31</v>
      </c>
      <c r="D11" s="36">
        <v>0</v>
      </c>
      <c r="E11" s="36">
        <v>0</v>
      </c>
      <c r="F11" s="36">
        <f t="shared" si="0"/>
        <v>1841099.31</v>
      </c>
    </row>
    <row r="12" spans="1:6" x14ac:dyDescent="0.2">
      <c r="A12" s="276">
        <v>10</v>
      </c>
      <c r="B12" s="22">
        <v>37215</v>
      </c>
      <c r="C12" s="36">
        <v>720127.79</v>
      </c>
      <c r="D12" s="36">
        <v>0</v>
      </c>
      <c r="E12" s="36">
        <v>0</v>
      </c>
      <c r="F12" s="36">
        <f t="shared" si="0"/>
        <v>720127.79</v>
      </c>
    </row>
    <row r="13" spans="1:6" x14ac:dyDescent="0.2">
      <c r="A13" s="276">
        <v>11</v>
      </c>
      <c r="B13" s="22">
        <v>37243</v>
      </c>
      <c r="C13" s="36">
        <v>856060.6</v>
      </c>
      <c r="D13" s="36">
        <v>0</v>
      </c>
      <c r="E13" s="36">
        <v>0</v>
      </c>
      <c r="F13" s="36">
        <f t="shared" si="0"/>
        <v>856060.6</v>
      </c>
    </row>
    <row r="14" spans="1:6" x14ac:dyDescent="0.2">
      <c r="A14" s="276">
        <v>12</v>
      </c>
      <c r="B14" s="22">
        <v>37273</v>
      </c>
      <c r="C14" s="36">
        <v>936988.04</v>
      </c>
      <c r="D14" s="36">
        <v>0</v>
      </c>
      <c r="E14" s="36">
        <v>0</v>
      </c>
      <c r="F14" s="36">
        <f t="shared" si="0"/>
        <v>936988.04</v>
      </c>
    </row>
    <row r="15" spans="1:6" x14ac:dyDescent="0.2">
      <c r="A15" s="276">
        <v>13</v>
      </c>
      <c r="B15" s="22">
        <v>37512</v>
      </c>
      <c r="C15" s="36">
        <v>1200768.8899999999</v>
      </c>
      <c r="D15" s="36">
        <v>0</v>
      </c>
      <c r="E15" s="36">
        <v>0</v>
      </c>
      <c r="F15" s="36">
        <f t="shared" si="0"/>
        <v>1200768.8899999999</v>
      </c>
    </row>
    <row r="16" spans="1:6" x14ac:dyDescent="0.2">
      <c r="A16" s="276">
        <v>14</v>
      </c>
      <c r="B16" s="22">
        <v>37596</v>
      </c>
      <c r="C16" s="36">
        <v>242822.15</v>
      </c>
      <c r="D16" s="36">
        <v>0</v>
      </c>
      <c r="E16" s="36">
        <v>0</v>
      </c>
      <c r="F16" s="36">
        <f t="shared" si="0"/>
        <v>242822.15</v>
      </c>
    </row>
    <row r="17" spans="1:6" x14ac:dyDescent="0.2">
      <c r="A17" s="276">
        <v>15</v>
      </c>
      <c r="B17" s="22">
        <v>37610</v>
      </c>
      <c r="C17" s="36">
        <v>186786.27</v>
      </c>
      <c r="D17" s="36">
        <v>0</v>
      </c>
      <c r="E17" s="36">
        <v>0</v>
      </c>
      <c r="F17" s="36">
        <f t="shared" si="0"/>
        <v>186786.27</v>
      </c>
    </row>
    <row r="18" spans="1:6" x14ac:dyDescent="0.2">
      <c r="A18" s="276">
        <v>16</v>
      </c>
      <c r="B18" s="22">
        <v>37638</v>
      </c>
      <c r="C18" s="36">
        <v>189454.65</v>
      </c>
      <c r="D18" s="36">
        <v>0</v>
      </c>
      <c r="E18" s="36">
        <v>0</v>
      </c>
      <c r="F18" s="36">
        <f t="shared" si="0"/>
        <v>189454.65</v>
      </c>
    </row>
    <row r="19" spans="1:6" x14ac:dyDescent="0.2">
      <c r="A19" s="276">
        <v>17</v>
      </c>
      <c r="B19" s="22">
        <v>37666</v>
      </c>
      <c r="C19" s="36">
        <v>1241461.6100000001</v>
      </c>
      <c r="D19" s="36">
        <v>0</v>
      </c>
      <c r="E19" s="36">
        <v>0</v>
      </c>
      <c r="F19" s="36">
        <f t="shared" si="0"/>
        <v>1241461.6100000001</v>
      </c>
    </row>
    <row r="20" spans="1:6" x14ac:dyDescent="0.2">
      <c r="A20" s="276">
        <v>18</v>
      </c>
      <c r="B20" s="22">
        <v>37698</v>
      </c>
      <c r="C20" s="36">
        <v>304861.88</v>
      </c>
      <c r="D20" s="36">
        <v>0</v>
      </c>
      <c r="E20" s="36">
        <v>0</v>
      </c>
      <c r="F20" s="36">
        <f t="shared" si="0"/>
        <v>304861.88</v>
      </c>
    </row>
    <row r="21" spans="1:6" x14ac:dyDescent="0.2">
      <c r="A21" s="276">
        <v>19</v>
      </c>
      <c r="B21" s="22">
        <v>37699</v>
      </c>
      <c r="C21" s="36">
        <v>333546.90999999997</v>
      </c>
      <c r="D21" s="36">
        <v>0</v>
      </c>
      <c r="E21" s="36">
        <v>0</v>
      </c>
      <c r="F21" s="36">
        <f t="shared" si="0"/>
        <v>333546.90999999997</v>
      </c>
    </row>
    <row r="22" spans="1:6" x14ac:dyDescent="0.2">
      <c r="A22" s="276">
        <v>20</v>
      </c>
      <c r="B22" s="22">
        <v>37736</v>
      </c>
      <c r="C22" s="36">
        <v>227440.38</v>
      </c>
      <c r="D22" s="36">
        <v>0</v>
      </c>
      <c r="E22" s="36">
        <v>0</v>
      </c>
      <c r="F22" s="36">
        <f t="shared" si="0"/>
        <v>227440.38</v>
      </c>
    </row>
    <row r="23" spans="1:6" x14ac:dyDescent="0.2">
      <c r="A23" s="276">
        <v>21</v>
      </c>
      <c r="B23" s="22"/>
      <c r="C23" s="36"/>
      <c r="D23" s="36"/>
      <c r="E23" s="36"/>
      <c r="F23" s="36">
        <f t="shared" si="0"/>
        <v>0</v>
      </c>
    </row>
    <row r="24" spans="1:6" x14ac:dyDescent="0.2">
      <c r="A24" s="276">
        <v>22</v>
      </c>
      <c r="B24" s="22"/>
      <c r="C24" s="36"/>
      <c r="D24" s="36"/>
      <c r="E24" s="36"/>
      <c r="F24" s="36">
        <f t="shared" si="0"/>
        <v>0</v>
      </c>
    </row>
    <row r="25" spans="1:6" x14ac:dyDescent="0.2">
      <c r="A25" s="276">
        <v>23</v>
      </c>
      <c r="B25" s="22"/>
      <c r="C25" s="36"/>
      <c r="D25" s="36"/>
      <c r="E25" s="36"/>
      <c r="F25" s="36">
        <f t="shared" si="0"/>
        <v>0</v>
      </c>
    </row>
    <row r="26" spans="1:6" x14ac:dyDescent="0.2">
      <c r="A26" s="276">
        <v>24</v>
      </c>
      <c r="B26" s="22"/>
      <c r="C26" s="36"/>
      <c r="D26" s="36"/>
      <c r="E26" s="36"/>
      <c r="F26" s="36">
        <f t="shared" si="0"/>
        <v>0</v>
      </c>
    </row>
    <row r="27" spans="1:6" x14ac:dyDescent="0.2">
      <c r="A27" s="276">
        <v>25</v>
      </c>
      <c r="B27" s="22"/>
      <c r="C27" s="36"/>
      <c r="D27" s="36"/>
      <c r="E27" s="36"/>
      <c r="F27" s="36">
        <f t="shared" si="0"/>
        <v>0</v>
      </c>
    </row>
    <row r="28" spans="1:6" x14ac:dyDescent="0.2">
      <c r="A28" s="276">
        <v>26</v>
      </c>
      <c r="B28" s="22"/>
      <c r="C28" s="36"/>
      <c r="D28" s="36"/>
      <c r="E28" s="36"/>
      <c r="F28" s="36">
        <f t="shared" si="0"/>
        <v>0</v>
      </c>
    </row>
    <row r="29" spans="1:6" x14ac:dyDescent="0.2">
      <c r="B29" s="23" t="s">
        <v>0</v>
      </c>
      <c r="C29" s="172">
        <f>SUM(C3:C28)</f>
        <v>12029638.800000003</v>
      </c>
      <c r="D29" s="172">
        <f>SUM(D3:D28)</f>
        <v>0</v>
      </c>
      <c r="E29" s="172">
        <f>SUM(E3:E28)</f>
        <v>482879.15</v>
      </c>
      <c r="F29" s="172">
        <f>SUM(F3:F28)</f>
        <v>12512517.950000003</v>
      </c>
    </row>
    <row r="31" spans="1:6" x14ac:dyDescent="0.2">
      <c r="A31" s="325" t="s">
        <v>61</v>
      </c>
      <c r="B31" s="325"/>
      <c r="C31" s="24">
        <v>38696</v>
      </c>
    </row>
    <row r="32" spans="1:6" x14ac:dyDescent="0.2">
      <c r="A32" s="277"/>
      <c r="B32" s="277"/>
      <c r="C32" s="24"/>
    </row>
    <row r="33" spans="1:12" x14ac:dyDescent="0.2">
      <c r="A33" s="326" t="s">
        <v>93</v>
      </c>
      <c r="B33" s="327"/>
      <c r="C33" s="327"/>
      <c r="D33" s="327"/>
      <c r="E33" s="327"/>
      <c r="F33" s="327"/>
      <c r="G33" s="327"/>
      <c r="H33" s="327"/>
      <c r="I33" s="327"/>
      <c r="J33" s="328"/>
    </row>
    <row r="34" spans="1:12" x14ac:dyDescent="0.2">
      <c r="A34" s="275" t="s">
        <v>7</v>
      </c>
      <c r="B34" s="275" t="s">
        <v>8</v>
      </c>
      <c r="C34" s="275" t="s">
        <v>9</v>
      </c>
      <c r="D34" s="275" t="s">
        <v>10</v>
      </c>
      <c r="E34" s="275" t="s">
        <v>11</v>
      </c>
      <c r="F34" s="275" t="s">
        <v>12</v>
      </c>
      <c r="G34" s="275" t="s">
        <v>13</v>
      </c>
      <c r="H34" s="275"/>
      <c r="I34" s="275"/>
      <c r="J34" s="275" t="s">
        <v>14</v>
      </c>
    </row>
    <row r="35" spans="1:12" ht="51" x14ac:dyDescent="0.2">
      <c r="A35" s="25" t="s">
        <v>15</v>
      </c>
      <c r="B35" s="25" t="s">
        <v>16</v>
      </c>
      <c r="C35" s="25" t="s">
        <v>17</v>
      </c>
      <c r="D35" s="25" t="s">
        <v>18</v>
      </c>
      <c r="E35" s="25" t="s">
        <v>19</v>
      </c>
      <c r="F35" s="25" t="s">
        <v>20</v>
      </c>
      <c r="G35" s="5" t="s">
        <v>98</v>
      </c>
      <c r="H35" s="5" t="s">
        <v>31</v>
      </c>
      <c r="I35" s="5" t="s">
        <v>99</v>
      </c>
      <c r="J35" s="25" t="s">
        <v>21</v>
      </c>
    </row>
    <row r="36" spans="1:12" x14ac:dyDescent="0.2">
      <c r="A36" s="103" t="s">
        <v>30</v>
      </c>
      <c r="B36" s="54">
        <f>C31</f>
        <v>38696</v>
      </c>
      <c r="C36" s="54">
        <v>38717</v>
      </c>
      <c r="D36" s="55">
        <f>+C36-B36+1</f>
        <v>22</v>
      </c>
      <c r="E36" s="104">
        <v>6.23</v>
      </c>
      <c r="F36" s="105">
        <f>C29</f>
        <v>12029638.800000003</v>
      </c>
      <c r="G36" s="58">
        <f>+D36/365*E36/100*F36</f>
        <v>45172.117641863028</v>
      </c>
      <c r="H36" s="58"/>
      <c r="I36" s="59"/>
      <c r="J36" s="106">
        <f t="shared" ref="J36:J41" si="1">+F36+G36</f>
        <v>12074810.917641865</v>
      </c>
      <c r="L36" s="45"/>
    </row>
    <row r="37" spans="1:12" x14ac:dyDescent="0.2">
      <c r="A37" s="60" t="s">
        <v>49</v>
      </c>
      <c r="B37" s="61">
        <f>C36+1</f>
        <v>38718</v>
      </c>
      <c r="C37" s="61">
        <v>38807</v>
      </c>
      <c r="D37" s="62">
        <f t="shared" ref="D37:D45" si="2">+C37-B37+1</f>
        <v>90</v>
      </c>
      <c r="E37" s="63">
        <v>6.78</v>
      </c>
      <c r="F37" s="82">
        <f t="shared" ref="F37:F42" si="3">J36</f>
        <v>12074810.917641865</v>
      </c>
      <c r="G37" s="65">
        <f t="shared" ref="G37:G58" si="4">+D37/365*E37/100*F37</f>
        <v>201864.37320397436</v>
      </c>
      <c r="H37" s="65"/>
      <c r="I37" s="66"/>
      <c r="J37" s="93">
        <f t="shared" si="1"/>
        <v>12276675.290845839</v>
      </c>
    </row>
    <row r="38" spans="1:12" x14ac:dyDescent="0.2">
      <c r="A38" s="60" t="s">
        <v>50</v>
      </c>
      <c r="B38" s="61">
        <f t="shared" ref="B38:B58" si="5">C37+1</f>
        <v>38808</v>
      </c>
      <c r="C38" s="61">
        <v>38898</v>
      </c>
      <c r="D38" s="62">
        <f t="shared" si="2"/>
        <v>91</v>
      </c>
      <c r="E38" s="63">
        <v>7.3</v>
      </c>
      <c r="F38" s="82">
        <f t="shared" si="3"/>
        <v>12276675.290845839</v>
      </c>
      <c r="G38" s="65">
        <f t="shared" si="4"/>
        <v>223435.49029339428</v>
      </c>
      <c r="H38" s="65"/>
      <c r="I38" s="66"/>
      <c r="J38" s="93">
        <f t="shared" si="1"/>
        <v>12500110.781139234</v>
      </c>
    </row>
    <row r="39" spans="1:12" x14ac:dyDescent="0.2">
      <c r="A39" s="60" t="s">
        <v>51</v>
      </c>
      <c r="B39" s="61">
        <f t="shared" si="5"/>
        <v>38899</v>
      </c>
      <c r="C39" s="61">
        <v>38990</v>
      </c>
      <c r="D39" s="62">
        <f t="shared" si="2"/>
        <v>92</v>
      </c>
      <c r="E39" s="62">
        <v>7.74</v>
      </c>
      <c r="F39" s="82">
        <f t="shared" si="3"/>
        <v>12500110.781139234</v>
      </c>
      <c r="G39" s="65">
        <f>+D39/365*E39/100*F39</f>
        <v>243865.17493242814</v>
      </c>
      <c r="H39" s="70"/>
      <c r="I39" s="91"/>
      <c r="J39" s="93">
        <f t="shared" si="1"/>
        <v>12743975.956071662</v>
      </c>
    </row>
    <row r="40" spans="1:12" x14ac:dyDescent="0.2">
      <c r="A40" s="60" t="s">
        <v>52</v>
      </c>
      <c r="B40" s="61">
        <f>C39+1</f>
        <v>38991</v>
      </c>
      <c r="C40" s="61">
        <v>39082</v>
      </c>
      <c r="D40" s="62">
        <f>+C40-B40+1</f>
        <v>92</v>
      </c>
      <c r="E40" s="62">
        <v>8.17</v>
      </c>
      <c r="F40" s="82">
        <f t="shared" si="3"/>
        <v>12743975.956071662</v>
      </c>
      <c r="G40" s="65">
        <f>+D40/365*E40/100*F40</f>
        <v>262435.12568826589</v>
      </c>
      <c r="H40" s="65"/>
      <c r="I40" s="66"/>
      <c r="J40" s="93">
        <f t="shared" si="1"/>
        <v>13006411.081759928</v>
      </c>
    </row>
    <row r="41" spans="1:12" x14ac:dyDescent="0.2">
      <c r="A41" s="60" t="s">
        <v>53</v>
      </c>
      <c r="B41" s="61">
        <f>C40+1</f>
        <v>39083</v>
      </c>
      <c r="C41" s="61">
        <v>39172</v>
      </c>
      <c r="D41" s="62">
        <f>+C41-B41+1</f>
        <v>90</v>
      </c>
      <c r="E41" s="62">
        <v>8.25</v>
      </c>
      <c r="F41" s="82">
        <f t="shared" si="3"/>
        <v>13006411.081759928</v>
      </c>
      <c r="G41" s="65">
        <f>+D41/365*E41/100*F41</f>
        <v>264582.47200566425</v>
      </c>
      <c r="H41" s="65"/>
      <c r="I41" s="66"/>
      <c r="J41" s="93">
        <f t="shared" si="1"/>
        <v>13270993.553765591</v>
      </c>
    </row>
    <row r="42" spans="1:12" x14ac:dyDescent="0.2">
      <c r="A42" s="60" t="s">
        <v>54</v>
      </c>
      <c r="B42" s="61">
        <f>C41+1</f>
        <v>39173</v>
      </c>
      <c r="C42" s="61">
        <v>39263</v>
      </c>
      <c r="D42" s="62">
        <f>+C42-B42+1</f>
        <v>91</v>
      </c>
      <c r="E42" s="62">
        <v>8.25</v>
      </c>
      <c r="F42" s="82">
        <f t="shared" si="3"/>
        <v>13270993.553765591</v>
      </c>
      <c r="G42" s="65">
        <f>+D42/365*E42/100*F42</f>
        <v>272964.34001341148</v>
      </c>
      <c r="H42" s="65">
        <f>C29/20</f>
        <v>601481.94000000018</v>
      </c>
      <c r="I42" s="66">
        <f>G43/20</f>
        <v>75715.954688950063</v>
      </c>
      <c r="J42" s="93">
        <f>+F42+G42-H42-I42</f>
        <v>12866759.999090053</v>
      </c>
    </row>
    <row r="43" spans="1:12" x14ac:dyDescent="0.2">
      <c r="A43" s="60"/>
      <c r="B43" s="61"/>
      <c r="C43" s="61"/>
      <c r="D43" s="62"/>
      <c r="E43" s="329" t="s">
        <v>100</v>
      </c>
      <c r="F43" s="330"/>
      <c r="G43" s="71">
        <f>SUM(G36:G42)</f>
        <v>1514319.0937790014</v>
      </c>
      <c r="H43" s="65"/>
      <c r="I43" s="66"/>
      <c r="J43" s="95"/>
    </row>
    <row r="44" spans="1:12" x14ac:dyDescent="0.2">
      <c r="A44" s="60" t="s">
        <v>55</v>
      </c>
      <c r="B44" s="61">
        <v>39264</v>
      </c>
      <c r="C44" s="61">
        <v>39355</v>
      </c>
      <c r="D44" s="62">
        <f t="shared" si="2"/>
        <v>92</v>
      </c>
      <c r="E44" s="62">
        <v>8.25</v>
      </c>
      <c r="F44" s="82">
        <f>F$36+G$43-SUM(H$40:H43)-SUM(I$40:I43)</f>
        <v>12866759.999090055</v>
      </c>
      <c r="G44" s="65">
        <f>+D44/365*E44/100*F44</f>
        <v>267558.10518655757</v>
      </c>
      <c r="H44" s="65">
        <f>F$36/20</f>
        <v>601481.94000000018</v>
      </c>
      <c r="I44" s="67">
        <f>G$43/20</f>
        <v>75715.954688950063</v>
      </c>
      <c r="J44" s="87"/>
    </row>
    <row r="45" spans="1:12" x14ac:dyDescent="0.2">
      <c r="A45" s="74" t="s">
        <v>56</v>
      </c>
      <c r="B45" s="61">
        <f t="shared" si="5"/>
        <v>39356</v>
      </c>
      <c r="C45" s="61">
        <v>39447</v>
      </c>
      <c r="D45" s="62">
        <f t="shared" si="2"/>
        <v>92</v>
      </c>
      <c r="E45" s="62">
        <v>8.25</v>
      </c>
      <c r="F45" s="82">
        <f>F$36+G$43-SUM(H$40:H44)-SUM(I$40:I44)</f>
        <v>12189562.104401102</v>
      </c>
      <c r="G45" s="65">
        <f t="shared" si="4"/>
        <v>253476.09965042293</v>
      </c>
      <c r="H45" s="65">
        <f>F$36/20</f>
        <v>601481.94000000018</v>
      </c>
      <c r="I45" s="67">
        <f>G$43/20</f>
        <v>75715.954688950063</v>
      </c>
      <c r="J45" s="87"/>
    </row>
    <row r="46" spans="1:12" x14ac:dyDescent="0.2">
      <c r="A46" s="74" t="s">
        <v>78</v>
      </c>
      <c r="B46" s="61">
        <f t="shared" si="5"/>
        <v>39448</v>
      </c>
      <c r="C46" s="61">
        <v>39538</v>
      </c>
      <c r="D46" s="62">
        <f t="shared" ref="D46:D58" si="6">+C46-B46+1</f>
        <v>91</v>
      </c>
      <c r="E46" s="62">
        <v>7.76</v>
      </c>
      <c r="F46" s="82">
        <f>F$36+G$43-SUM(H$40:H45)-SUM(I$40:I45)</f>
        <v>11512364.209712153</v>
      </c>
      <c r="G46" s="65">
        <f t="shared" si="4"/>
        <v>222727.97562548859</v>
      </c>
      <c r="H46" s="65">
        <f t="shared" ref="H46:H58" si="7">F$36/20</f>
        <v>601481.94000000018</v>
      </c>
      <c r="I46" s="66">
        <f t="shared" ref="I46:I58" si="8">G$43/20</f>
        <v>75715.954688950063</v>
      </c>
      <c r="J46" s="28"/>
    </row>
    <row r="47" spans="1:12" x14ac:dyDescent="0.2">
      <c r="A47" s="74" t="s">
        <v>79</v>
      </c>
      <c r="B47" s="61">
        <f t="shared" si="5"/>
        <v>39539</v>
      </c>
      <c r="C47" s="61">
        <v>39629</v>
      </c>
      <c r="D47" s="62">
        <f t="shared" si="6"/>
        <v>91</v>
      </c>
      <c r="E47" s="62">
        <v>6.77</v>
      </c>
      <c r="F47" s="82">
        <f>F$36+G$43-SUM(H$40:H46)-SUM(I$40:I46)</f>
        <v>10835166.315023204</v>
      </c>
      <c r="G47" s="65">
        <f t="shared" si="4"/>
        <v>182882.76470400949</v>
      </c>
      <c r="H47" s="65">
        <f t="shared" si="7"/>
        <v>601481.94000000018</v>
      </c>
      <c r="I47" s="66">
        <f t="shared" si="8"/>
        <v>75715.954688950063</v>
      </c>
      <c r="J47" s="28"/>
    </row>
    <row r="48" spans="1:12" x14ac:dyDescent="0.2">
      <c r="A48" s="74" t="s">
        <v>80</v>
      </c>
      <c r="B48" s="61">
        <f t="shared" si="5"/>
        <v>39630</v>
      </c>
      <c r="C48" s="61">
        <v>39721</v>
      </c>
      <c r="D48" s="62">
        <f t="shared" si="6"/>
        <v>92</v>
      </c>
      <c r="E48" s="62">
        <v>5.3</v>
      </c>
      <c r="F48" s="82">
        <f>F$36+G$43-SUM(H$40:H47)-SUM(I$40:I47)</f>
        <v>10157968.420334253</v>
      </c>
      <c r="G48" s="65">
        <f t="shared" si="4"/>
        <v>135699.32607547898</v>
      </c>
      <c r="H48" s="65">
        <f t="shared" si="7"/>
        <v>601481.94000000018</v>
      </c>
      <c r="I48" s="66">
        <f t="shared" si="8"/>
        <v>75715.954688950063</v>
      </c>
      <c r="J48" s="28"/>
    </row>
    <row r="49" spans="1:10" x14ac:dyDescent="0.2">
      <c r="A49" s="74" t="s">
        <v>73</v>
      </c>
      <c r="B49" s="61">
        <f t="shared" si="5"/>
        <v>39722</v>
      </c>
      <c r="C49" s="61">
        <v>39813</v>
      </c>
      <c r="D49" s="62">
        <f t="shared" si="6"/>
        <v>92</v>
      </c>
      <c r="E49" s="62">
        <v>5</v>
      </c>
      <c r="F49" s="82">
        <f>F$36+G$43-SUM(H$40:H48)-SUM(I$40:I48)</f>
        <v>9480770.5256453007</v>
      </c>
      <c r="G49" s="65">
        <f t="shared" si="4"/>
        <v>119483.6833368997</v>
      </c>
      <c r="H49" s="65">
        <f t="shared" si="7"/>
        <v>601481.94000000018</v>
      </c>
      <c r="I49" s="66">
        <f t="shared" si="8"/>
        <v>75715.954688950063</v>
      </c>
      <c r="J49" s="28"/>
    </row>
    <row r="50" spans="1:10" x14ac:dyDescent="0.2">
      <c r="A50" s="74" t="s">
        <v>81</v>
      </c>
      <c r="B50" s="61">
        <f t="shared" si="5"/>
        <v>39814</v>
      </c>
      <c r="C50" s="61">
        <v>39903</v>
      </c>
      <c r="D50" s="62">
        <f t="shared" si="6"/>
        <v>90</v>
      </c>
      <c r="E50" s="62">
        <v>4.5199999999999996</v>
      </c>
      <c r="F50" s="82">
        <f>F$36+G$43-SUM(H$40:H49)-SUM(I$40:I49)</f>
        <v>8803572.6309563518</v>
      </c>
      <c r="G50" s="65">
        <f t="shared" si="4"/>
        <v>98117.62592528887</v>
      </c>
      <c r="H50" s="65">
        <f t="shared" si="7"/>
        <v>601481.94000000018</v>
      </c>
      <c r="I50" s="66">
        <f t="shared" si="8"/>
        <v>75715.954688950063</v>
      </c>
      <c r="J50" s="28"/>
    </row>
    <row r="51" spans="1:10" x14ac:dyDescent="0.2">
      <c r="A51" s="74" t="s">
        <v>82</v>
      </c>
      <c r="B51" s="61">
        <f t="shared" si="5"/>
        <v>39904</v>
      </c>
      <c r="C51" s="61">
        <v>39994</v>
      </c>
      <c r="D51" s="62">
        <f t="shared" si="6"/>
        <v>91</v>
      </c>
      <c r="E51" s="62">
        <v>3.37</v>
      </c>
      <c r="F51" s="82">
        <f>F$36+G$43-SUM(H$40:H50)-SUM(I$40:I50)</f>
        <v>8126374.7362674018</v>
      </c>
      <c r="G51" s="65">
        <f t="shared" si="4"/>
        <v>68277.132612907502</v>
      </c>
      <c r="H51" s="65">
        <f t="shared" si="7"/>
        <v>601481.94000000018</v>
      </c>
      <c r="I51" s="66">
        <f t="shared" si="8"/>
        <v>75715.954688950063</v>
      </c>
      <c r="J51" s="28"/>
    </row>
    <row r="52" spans="1:10" x14ac:dyDescent="0.2">
      <c r="A52" s="74" t="s">
        <v>84</v>
      </c>
      <c r="B52" s="61">
        <f t="shared" si="5"/>
        <v>39995</v>
      </c>
      <c r="C52" s="61">
        <v>40086</v>
      </c>
      <c r="D52" s="62">
        <f t="shared" si="6"/>
        <v>92</v>
      </c>
      <c r="E52" s="62">
        <v>3.25</v>
      </c>
      <c r="F52" s="82">
        <f>F$36+G$43-SUM(H$40:H51)-SUM(I$40:I51)</f>
        <v>7449176.8415784501</v>
      </c>
      <c r="G52" s="65">
        <f t="shared" si="4"/>
        <v>61022.023989916626</v>
      </c>
      <c r="H52" s="65">
        <f t="shared" si="7"/>
        <v>601481.94000000018</v>
      </c>
      <c r="I52" s="66">
        <f t="shared" si="8"/>
        <v>75715.954688950063</v>
      </c>
      <c r="J52" s="28"/>
    </row>
    <row r="53" spans="1:10" x14ac:dyDescent="0.2">
      <c r="A53" s="74" t="s">
        <v>74</v>
      </c>
      <c r="B53" s="61">
        <f t="shared" si="5"/>
        <v>40087</v>
      </c>
      <c r="C53" s="61">
        <v>40178</v>
      </c>
      <c r="D53" s="62">
        <f t="shared" si="6"/>
        <v>92</v>
      </c>
      <c r="E53" s="62">
        <v>3.25</v>
      </c>
      <c r="F53" s="82">
        <f>F$36+G$43-SUM(H$40:H52)-SUM(I$40:I52)</f>
        <v>6771978.9468895001</v>
      </c>
      <c r="G53" s="65">
        <f t="shared" si="4"/>
        <v>55474.567263560566</v>
      </c>
      <c r="H53" s="65">
        <f t="shared" si="7"/>
        <v>601481.94000000018</v>
      </c>
      <c r="I53" s="66">
        <f t="shared" si="8"/>
        <v>75715.954688950063</v>
      </c>
      <c r="J53" s="28"/>
    </row>
    <row r="54" spans="1:10" x14ac:dyDescent="0.2">
      <c r="A54" s="74" t="s">
        <v>85</v>
      </c>
      <c r="B54" s="61">
        <f t="shared" si="5"/>
        <v>40179</v>
      </c>
      <c r="C54" s="61">
        <v>40268</v>
      </c>
      <c r="D54" s="62">
        <f t="shared" si="6"/>
        <v>90</v>
      </c>
      <c r="E54" s="62">
        <v>3.25</v>
      </c>
      <c r="F54" s="82">
        <f>F$36+G$43-SUM(H$40:H53)-SUM(I$40:I53)</f>
        <v>6094781.0522005493</v>
      </c>
      <c r="G54" s="65">
        <f t="shared" si="4"/>
        <v>48841.738569004396</v>
      </c>
      <c r="H54" s="65">
        <f t="shared" si="7"/>
        <v>601481.94000000018</v>
      </c>
      <c r="I54" s="66">
        <f t="shared" si="8"/>
        <v>75715.954688950063</v>
      </c>
      <c r="J54" s="28"/>
    </row>
    <row r="55" spans="1:10" x14ac:dyDescent="0.2">
      <c r="A55" s="74" t="s">
        <v>86</v>
      </c>
      <c r="B55" s="61">
        <f t="shared" si="5"/>
        <v>40269</v>
      </c>
      <c r="C55" s="61">
        <v>40359</v>
      </c>
      <c r="D55" s="62">
        <f t="shared" si="6"/>
        <v>91</v>
      </c>
      <c r="E55" s="62">
        <v>3.25</v>
      </c>
      <c r="F55" s="82">
        <f>F$36+G$43-SUM(H$40:H54)-SUM(I$40:I54)</f>
        <v>5417583.1575115994</v>
      </c>
      <c r="G55" s="65">
        <f t="shared" si="4"/>
        <v>43897.266269426182</v>
      </c>
      <c r="H55" s="65">
        <f t="shared" si="7"/>
        <v>601481.94000000018</v>
      </c>
      <c r="I55" s="66">
        <f t="shared" si="8"/>
        <v>75715.954688950063</v>
      </c>
      <c r="J55" s="28"/>
    </row>
    <row r="56" spans="1:10" x14ac:dyDescent="0.2">
      <c r="A56" s="74" t="s">
        <v>87</v>
      </c>
      <c r="B56" s="61">
        <f t="shared" si="5"/>
        <v>40360</v>
      </c>
      <c r="C56" s="61">
        <v>40451</v>
      </c>
      <c r="D56" s="62">
        <f t="shared" si="6"/>
        <v>92</v>
      </c>
      <c r="E56" s="62">
        <v>3.25</v>
      </c>
      <c r="F56" s="82">
        <f>F$36+G$43-SUM(H$40:H55)-SUM(I$40:I55)</f>
        <v>4740385.2628226485</v>
      </c>
      <c r="G56" s="65">
        <f t="shared" si="4"/>
        <v>38832.197084492385</v>
      </c>
      <c r="H56" s="65">
        <f t="shared" si="7"/>
        <v>601481.94000000018</v>
      </c>
      <c r="I56" s="66">
        <f t="shared" si="8"/>
        <v>75715.954688950063</v>
      </c>
      <c r="J56" s="28"/>
    </row>
    <row r="57" spans="1:10" x14ac:dyDescent="0.2">
      <c r="A57" s="74" t="s">
        <v>75</v>
      </c>
      <c r="B57" s="61">
        <f t="shared" si="5"/>
        <v>40452</v>
      </c>
      <c r="C57" s="61">
        <v>40543</v>
      </c>
      <c r="D57" s="62">
        <f t="shared" si="6"/>
        <v>92</v>
      </c>
      <c r="E57" s="62">
        <v>3.25</v>
      </c>
      <c r="F57" s="82">
        <f>F$36+G$43-SUM(H$40:H56)-SUM(I$40:I56)</f>
        <v>4063187.3681336991</v>
      </c>
      <c r="G57" s="65">
        <f t="shared" si="4"/>
        <v>33284.740358136332</v>
      </c>
      <c r="H57" s="65">
        <f t="shared" si="7"/>
        <v>601481.94000000018</v>
      </c>
      <c r="I57" s="66">
        <f t="shared" si="8"/>
        <v>75715.954688950063</v>
      </c>
      <c r="J57" s="28"/>
    </row>
    <row r="58" spans="1:10" x14ac:dyDescent="0.2">
      <c r="A58" s="75" t="s">
        <v>88</v>
      </c>
      <c r="B58" s="76">
        <f t="shared" si="5"/>
        <v>40544</v>
      </c>
      <c r="C58" s="76">
        <v>40633</v>
      </c>
      <c r="D58" s="77">
        <f t="shared" si="6"/>
        <v>90</v>
      </c>
      <c r="E58" s="62">
        <v>3.25</v>
      </c>
      <c r="F58" s="84">
        <f>F$36+G$43-SUM(H$40:H57)-SUM(I$40:I57)</f>
        <v>3385989.4734447496</v>
      </c>
      <c r="G58" s="65">
        <f t="shared" si="4"/>
        <v>27134.299205002444</v>
      </c>
      <c r="H58" s="65">
        <f t="shared" si="7"/>
        <v>601481.94000000018</v>
      </c>
      <c r="I58" s="66">
        <f t="shared" si="8"/>
        <v>75715.954688950063</v>
      </c>
      <c r="J58" s="28"/>
    </row>
    <row r="59" spans="1:10" x14ac:dyDescent="0.2">
      <c r="A59" s="75" t="s">
        <v>89</v>
      </c>
      <c r="B59" s="76">
        <f>C58+1</f>
        <v>40634</v>
      </c>
      <c r="C59" s="76">
        <v>40724</v>
      </c>
      <c r="D59" s="77">
        <f>+C59-B59+1</f>
        <v>91</v>
      </c>
      <c r="E59" s="62">
        <v>3.25</v>
      </c>
      <c r="F59" s="84">
        <f>F$36+G$43-SUM(H$40:H58)-SUM(I$40:I58)</f>
        <v>2708791.5787558001</v>
      </c>
      <c r="G59" s="65">
        <f>+D59/365*E59/100*F59</f>
        <v>21948.633134713094</v>
      </c>
      <c r="H59" s="65">
        <f>F$36/20</f>
        <v>601481.94000000018</v>
      </c>
      <c r="I59" s="66">
        <f>G$43/20</f>
        <v>75715.954688950063</v>
      </c>
      <c r="J59" s="28"/>
    </row>
    <row r="60" spans="1:10" x14ac:dyDescent="0.2">
      <c r="A60" s="75" t="s">
        <v>90</v>
      </c>
      <c r="B60" s="76">
        <f>C59+1</f>
        <v>40725</v>
      </c>
      <c r="C60" s="76">
        <v>40816</v>
      </c>
      <c r="D60" s="77">
        <f>+C60-B60+1</f>
        <v>92</v>
      </c>
      <c r="E60" s="62">
        <v>3.25</v>
      </c>
      <c r="F60" s="84">
        <f>F$36+G$43-SUM(H$40:H59)-SUM(I$40:I59)</f>
        <v>2031593.6840668507</v>
      </c>
      <c r="G60" s="65">
        <f>+D60/365*E60/100*F60</f>
        <v>16642.370179068177</v>
      </c>
      <c r="H60" s="65">
        <f>F$36/20</f>
        <v>601481.94000000018</v>
      </c>
      <c r="I60" s="66">
        <f>G$43/20</f>
        <v>75715.954688950063</v>
      </c>
      <c r="J60" s="28"/>
    </row>
    <row r="61" spans="1:10" x14ac:dyDescent="0.2">
      <c r="A61" s="75" t="s">
        <v>76</v>
      </c>
      <c r="B61" s="76">
        <f>C60+1</f>
        <v>40817</v>
      </c>
      <c r="C61" s="76">
        <v>40908</v>
      </c>
      <c r="D61" s="77">
        <f>+C61-B61+1</f>
        <v>92</v>
      </c>
      <c r="E61" s="62">
        <v>3.25</v>
      </c>
      <c r="F61" s="84">
        <f>F$36+G$43-SUM(H$40:H60)-SUM(I$40:I60)</f>
        <v>1354395.7893779012</v>
      </c>
      <c r="G61" s="65">
        <f>+D61/365*E61/100*F61</f>
        <v>11094.913452712124</v>
      </c>
      <c r="H61" s="65">
        <f>F$36/20</f>
        <v>601481.94000000018</v>
      </c>
      <c r="I61" s="66">
        <f>G$43/20</f>
        <v>75715.954688950063</v>
      </c>
      <c r="J61" s="28"/>
    </row>
    <row r="62" spans="1:10" x14ac:dyDescent="0.2">
      <c r="A62" s="75" t="s">
        <v>83</v>
      </c>
      <c r="B62" s="76">
        <f>C61+1</f>
        <v>40909</v>
      </c>
      <c r="C62" s="76">
        <v>40999</v>
      </c>
      <c r="D62" s="77">
        <f>+C62-B62+1</f>
        <v>91</v>
      </c>
      <c r="E62" s="62">
        <v>3.25</v>
      </c>
      <c r="F62" s="84">
        <f>F$36+G$43-SUM(H$40:H61)-SUM(I$40:I61)</f>
        <v>677197.89468895178</v>
      </c>
      <c r="G62" s="65">
        <f>+D62/365*E62/100*F62</f>
        <v>5487.1582836782873</v>
      </c>
      <c r="H62" s="65">
        <f>F$36/20</f>
        <v>601481.94000000018</v>
      </c>
      <c r="I62" s="66">
        <f>G$43/20</f>
        <v>75715.954688950063</v>
      </c>
      <c r="J62" s="28"/>
    </row>
    <row r="63" spans="1:10" x14ac:dyDescent="0.2">
      <c r="A63" s="75"/>
      <c r="B63" s="76"/>
      <c r="C63" s="76"/>
      <c r="D63" s="77"/>
      <c r="E63" s="62"/>
      <c r="F63" s="84"/>
      <c r="G63" s="65"/>
      <c r="H63" s="149">
        <f>SUM(H42:H62)</f>
        <v>12029638.800000001</v>
      </c>
      <c r="I63" s="256">
        <f>SUM(I42:I62)</f>
        <v>1514319.0937790009</v>
      </c>
      <c r="J63" s="28"/>
    </row>
    <row r="64" spans="1:10" x14ac:dyDescent="0.2">
      <c r="G64" s="47"/>
      <c r="H64" s="46"/>
    </row>
    <row r="65" spans="1:11" x14ac:dyDescent="0.2">
      <c r="A65" s="326" t="s">
        <v>96</v>
      </c>
      <c r="B65" s="327"/>
      <c r="C65" s="327"/>
      <c r="D65" s="327"/>
      <c r="E65" s="327"/>
      <c r="F65" s="327"/>
      <c r="G65" s="327"/>
      <c r="H65" s="327"/>
      <c r="I65" s="327"/>
      <c r="J65" s="328"/>
      <c r="K65" s="29"/>
    </row>
    <row r="66" spans="1:11" x14ac:dyDescent="0.2">
      <c r="A66" s="275" t="s">
        <v>7</v>
      </c>
      <c r="B66" s="275" t="s">
        <v>8</v>
      </c>
      <c r="C66" s="275" t="s">
        <v>9</v>
      </c>
      <c r="D66" s="275" t="s">
        <v>10</v>
      </c>
      <c r="E66" s="275" t="s">
        <v>11</v>
      </c>
      <c r="F66" s="275" t="s">
        <v>12</v>
      </c>
      <c r="G66" s="275" t="s">
        <v>13</v>
      </c>
      <c r="H66" s="275"/>
      <c r="I66" s="275"/>
      <c r="J66" s="275" t="s">
        <v>14</v>
      </c>
      <c r="K66" s="30"/>
    </row>
    <row r="67" spans="1:11" ht="51" x14ac:dyDescent="0.2">
      <c r="A67" s="25" t="s">
        <v>15</v>
      </c>
      <c r="B67" s="25" t="s">
        <v>16</v>
      </c>
      <c r="C67" s="25" t="s">
        <v>17</v>
      </c>
      <c r="D67" s="25" t="s">
        <v>18</v>
      </c>
      <c r="E67" s="25" t="s">
        <v>19</v>
      </c>
      <c r="F67" s="25" t="s">
        <v>20</v>
      </c>
      <c r="G67" s="5" t="s">
        <v>98</v>
      </c>
      <c r="H67" s="5" t="s">
        <v>31</v>
      </c>
      <c r="I67" s="5" t="s">
        <v>99</v>
      </c>
      <c r="J67" s="25" t="s">
        <v>21</v>
      </c>
      <c r="K67" s="31"/>
    </row>
    <row r="68" spans="1:11" x14ac:dyDescent="0.2">
      <c r="A68" s="53" t="s">
        <v>63</v>
      </c>
      <c r="B68" s="88">
        <v>37026</v>
      </c>
      <c r="C68" s="88">
        <v>37072</v>
      </c>
      <c r="D68" s="55">
        <f t="shared" ref="D68:D88" si="9">+C68-B68+1</f>
        <v>47</v>
      </c>
      <c r="E68" s="96">
        <v>9.02</v>
      </c>
      <c r="F68" s="97">
        <f>E6</f>
        <v>482879.15</v>
      </c>
      <c r="G68" s="98">
        <f t="shared" ref="G68:G75" si="10">+D68/365*E68/100*F68</f>
        <v>5608.5421055068491</v>
      </c>
      <c r="H68" s="98"/>
      <c r="I68" s="99"/>
      <c r="J68" s="106">
        <f>+F68+G68</f>
        <v>488487.6921055069</v>
      </c>
    </row>
    <row r="69" spans="1:11" x14ac:dyDescent="0.2">
      <c r="A69" s="60" t="s">
        <v>64</v>
      </c>
      <c r="B69" s="89">
        <f t="shared" ref="B69:B89" si="11">C68+1</f>
        <v>37073</v>
      </c>
      <c r="C69" s="89">
        <v>37164</v>
      </c>
      <c r="D69" s="62">
        <f t="shared" si="9"/>
        <v>92</v>
      </c>
      <c r="E69" s="90">
        <v>7.79</v>
      </c>
      <c r="F69" s="100">
        <f>J68</f>
        <v>488487.6921055069</v>
      </c>
      <c r="G69" s="101">
        <f t="shared" si="10"/>
        <v>9591.4892925527311</v>
      </c>
      <c r="H69" s="101"/>
      <c r="I69" s="102"/>
      <c r="J69" s="93">
        <f t="shared" ref="J69:J90" si="12">+F69+G69</f>
        <v>498079.18139805965</v>
      </c>
    </row>
    <row r="70" spans="1:11" x14ac:dyDescent="0.2">
      <c r="A70" s="60" t="s">
        <v>65</v>
      </c>
      <c r="B70" s="89">
        <f t="shared" si="11"/>
        <v>37165</v>
      </c>
      <c r="C70" s="89">
        <v>37256</v>
      </c>
      <c r="D70" s="62">
        <f t="shared" si="9"/>
        <v>92</v>
      </c>
      <c r="E70" s="90">
        <v>6.8</v>
      </c>
      <c r="F70" s="100">
        <f t="shared" ref="F70:F89" si="13">J69</f>
        <v>498079.18139805965</v>
      </c>
      <c r="G70" s="101">
        <f t="shared" si="10"/>
        <v>8536.9407091130452</v>
      </c>
      <c r="H70" s="101"/>
      <c r="I70" s="102"/>
      <c r="J70" s="93">
        <f t="shared" si="12"/>
        <v>506616.12210717268</v>
      </c>
    </row>
    <row r="71" spans="1:11" x14ac:dyDescent="0.2">
      <c r="A71" s="60" t="s">
        <v>66</v>
      </c>
      <c r="B71" s="89">
        <f t="shared" si="11"/>
        <v>37257</v>
      </c>
      <c r="C71" s="89">
        <v>37346</v>
      </c>
      <c r="D71" s="62">
        <f t="shared" si="9"/>
        <v>90</v>
      </c>
      <c r="E71" s="90">
        <v>5.64</v>
      </c>
      <c r="F71" s="100">
        <f t="shared" si="13"/>
        <v>506616.12210717268</v>
      </c>
      <c r="G71" s="101">
        <f t="shared" si="10"/>
        <v>7045.4340707287902</v>
      </c>
      <c r="H71" s="101"/>
      <c r="I71" s="102"/>
      <c r="J71" s="93">
        <f t="shared" si="12"/>
        <v>513661.55617790145</v>
      </c>
    </row>
    <row r="72" spans="1:11" x14ac:dyDescent="0.2">
      <c r="A72" s="60" t="s">
        <v>67</v>
      </c>
      <c r="B72" s="89">
        <f t="shared" si="11"/>
        <v>37347</v>
      </c>
      <c r="C72" s="89">
        <v>37437</v>
      </c>
      <c r="D72" s="62">
        <f t="shared" si="9"/>
        <v>91</v>
      </c>
      <c r="E72" s="90">
        <v>4.78</v>
      </c>
      <c r="F72" s="100">
        <f t="shared" si="13"/>
        <v>513661.55617790145</v>
      </c>
      <c r="G72" s="101">
        <f t="shared" si="10"/>
        <v>6121.4384577058509</v>
      </c>
      <c r="H72" s="101"/>
      <c r="I72" s="102"/>
      <c r="J72" s="93">
        <f t="shared" si="12"/>
        <v>519782.99463560729</v>
      </c>
    </row>
    <row r="73" spans="1:11" x14ac:dyDescent="0.2">
      <c r="A73" s="60" t="s">
        <v>46</v>
      </c>
      <c r="B73" s="89">
        <f t="shared" si="11"/>
        <v>37438</v>
      </c>
      <c r="C73" s="89">
        <v>37529</v>
      </c>
      <c r="D73" s="62">
        <f t="shared" si="9"/>
        <v>92</v>
      </c>
      <c r="E73" s="90">
        <v>4.75</v>
      </c>
      <c r="F73" s="100">
        <f t="shared" si="13"/>
        <v>519782.99463560729</v>
      </c>
      <c r="G73" s="101">
        <f t="shared" si="10"/>
        <v>6223.1553056372713</v>
      </c>
      <c r="H73" s="101"/>
      <c r="I73" s="102"/>
      <c r="J73" s="93">
        <f t="shared" si="12"/>
        <v>526006.14994124451</v>
      </c>
    </row>
    <row r="74" spans="1:11" x14ac:dyDescent="0.2">
      <c r="A74" s="60" t="s">
        <v>39</v>
      </c>
      <c r="B74" s="89">
        <f t="shared" si="11"/>
        <v>37530</v>
      </c>
      <c r="C74" s="89">
        <v>37621</v>
      </c>
      <c r="D74" s="62">
        <f t="shared" si="9"/>
        <v>92</v>
      </c>
      <c r="E74" s="90">
        <v>4.75</v>
      </c>
      <c r="F74" s="100">
        <f t="shared" si="13"/>
        <v>526006.14994124451</v>
      </c>
      <c r="G74" s="101">
        <f t="shared" si="10"/>
        <v>6297.6626718992839</v>
      </c>
      <c r="H74" s="101"/>
      <c r="I74" s="102"/>
      <c r="J74" s="93">
        <f t="shared" si="12"/>
        <v>532303.81261314382</v>
      </c>
    </row>
    <row r="75" spans="1:11" x14ac:dyDescent="0.2">
      <c r="A75" s="60" t="s">
        <v>47</v>
      </c>
      <c r="B75" s="89">
        <f t="shared" si="11"/>
        <v>37622</v>
      </c>
      <c r="C75" s="89">
        <v>37711</v>
      </c>
      <c r="D75" s="62">
        <f t="shared" si="9"/>
        <v>90</v>
      </c>
      <c r="E75" s="90">
        <v>4.62</v>
      </c>
      <c r="F75" s="100">
        <f t="shared" si="13"/>
        <v>532303.81261314382</v>
      </c>
      <c r="G75" s="101">
        <f t="shared" si="10"/>
        <v>6063.8883639601418</v>
      </c>
      <c r="H75" s="101"/>
      <c r="I75" s="102"/>
      <c r="J75" s="93">
        <f t="shared" si="12"/>
        <v>538367.70097710402</v>
      </c>
    </row>
    <row r="76" spans="1:11" x14ac:dyDescent="0.2">
      <c r="A76" s="60" t="s">
        <v>40</v>
      </c>
      <c r="B76" s="89">
        <f t="shared" si="11"/>
        <v>37712</v>
      </c>
      <c r="C76" s="61">
        <v>37802</v>
      </c>
      <c r="D76" s="62">
        <f t="shared" si="9"/>
        <v>91</v>
      </c>
      <c r="E76" s="63">
        <v>4.25</v>
      </c>
      <c r="F76" s="100">
        <f t="shared" si="13"/>
        <v>538367.70097710402</v>
      </c>
      <c r="G76" s="101">
        <f>+D76/365*E76/100*F76</f>
        <v>5704.485160353287</v>
      </c>
      <c r="H76" s="101"/>
      <c r="I76" s="102"/>
      <c r="J76" s="93">
        <f t="shared" si="12"/>
        <v>544072.18613745726</v>
      </c>
    </row>
    <row r="77" spans="1:11" x14ac:dyDescent="0.2">
      <c r="A77" s="60" t="s">
        <v>41</v>
      </c>
      <c r="B77" s="89">
        <f t="shared" si="11"/>
        <v>37803</v>
      </c>
      <c r="C77" s="61">
        <v>37894</v>
      </c>
      <c r="D77" s="62">
        <f t="shared" si="9"/>
        <v>92</v>
      </c>
      <c r="E77" s="63">
        <v>4.25</v>
      </c>
      <c r="F77" s="100">
        <f t="shared" si="13"/>
        <v>544072.18613745726</v>
      </c>
      <c r="G77" s="101">
        <f>+D77/365*E77/100*F77</f>
        <v>5828.28013095194</v>
      </c>
      <c r="H77" s="101"/>
      <c r="I77" s="102"/>
      <c r="J77" s="93">
        <f t="shared" si="12"/>
        <v>549900.46626840916</v>
      </c>
    </row>
    <row r="78" spans="1:11" x14ac:dyDescent="0.2">
      <c r="A78" s="60" t="s">
        <v>48</v>
      </c>
      <c r="B78" s="89">
        <f t="shared" si="11"/>
        <v>37895</v>
      </c>
      <c r="C78" s="61">
        <v>37986</v>
      </c>
      <c r="D78" s="62">
        <f t="shared" si="9"/>
        <v>92</v>
      </c>
      <c r="E78" s="63">
        <v>4.07</v>
      </c>
      <c r="F78" s="100">
        <f t="shared" ref="F78:F86" si="14">J77</f>
        <v>549900.46626840916</v>
      </c>
      <c r="G78" s="101">
        <f>+D78/365*E78/100*F78</f>
        <v>5641.2254956039214</v>
      </c>
      <c r="H78" s="101"/>
      <c r="I78" s="102"/>
      <c r="J78" s="93">
        <f>+F78+G78</f>
        <v>555541.69176401303</v>
      </c>
    </row>
    <row r="79" spans="1:11" x14ac:dyDescent="0.2">
      <c r="A79" s="60" t="s">
        <v>45</v>
      </c>
      <c r="B79" s="89">
        <f t="shared" si="11"/>
        <v>37987</v>
      </c>
      <c r="C79" s="61">
        <v>38077</v>
      </c>
      <c r="D79" s="62">
        <f t="shared" si="9"/>
        <v>91</v>
      </c>
      <c r="E79" s="63">
        <v>4</v>
      </c>
      <c r="F79" s="100">
        <f t="shared" si="14"/>
        <v>555541.69176401303</v>
      </c>
      <c r="G79" s="101">
        <f>+D79/366*E79/100*F79</f>
        <v>5525.0594481448288</v>
      </c>
      <c r="H79" s="101"/>
      <c r="I79" s="102"/>
      <c r="J79" s="93">
        <f>+F79+G79</f>
        <v>561066.75121215789</v>
      </c>
    </row>
    <row r="80" spans="1:11" x14ac:dyDescent="0.2">
      <c r="A80" s="60" t="s">
        <v>42</v>
      </c>
      <c r="B80" s="89">
        <f t="shared" si="11"/>
        <v>38078</v>
      </c>
      <c r="C80" s="61">
        <v>38168</v>
      </c>
      <c r="D80" s="62">
        <f>+C80-B80+1</f>
        <v>91</v>
      </c>
      <c r="E80" s="63">
        <v>4</v>
      </c>
      <c r="F80" s="100">
        <f t="shared" si="14"/>
        <v>561066.75121215789</v>
      </c>
      <c r="G80" s="101">
        <f>+D80/366*E80/100*F80</f>
        <v>5580.0081268094391</v>
      </c>
      <c r="H80" s="101"/>
      <c r="I80" s="102"/>
      <c r="J80" s="93">
        <f>+F80+G80</f>
        <v>566646.75933896739</v>
      </c>
    </row>
    <row r="81" spans="1:10" x14ac:dyDescent="0.2">
      <c r="A81" s="60" t="s">
        <v>43</v>
      </c>
      <c r="B81" s="89">
        <f t="shared" si="11"/>
        <v>38169</v>
      </c>
      <c r="C81" s="61">
        <v>38260</v>
      </c>
      <c r="D81" s="62">
        <f t="shared" si="9"/>
        <v>92</v>
      </c>
      <c r="E81" s="63">
        <v>4</v>
      </c>
      <c r="F81" s="100">
        <f t="shared" si="14"/>
        <v>566646.75933896739</v>
      </c>
      <c r="G81" s="101">
        <f>+D81/366*E81/100*F81</f>
        <v>5697.4318971786888</v>
      </c>
      <c r="H81" s="101"/>
      <c r="I81" s="102"/>
      <c r="J81" s="93">
        <f>+F81+G81</f>
        <v>572344.19123614603</v>
      </c>
    </row>
    <row r="82" spans="1:10" x14ac:dyDescent="0.2">
      <c r="A82" s="60" t="s">
        <v>26</v>
      </c>
      <c r="B82" s="89">
        <f t="shared" si="11"/>
        <v>38261</v>
      </c>
      <c r="C82" s="61">
        <v>38352</v>
      </c>
      <c r="D82" s="62">
        <f t="shared" si="9"/>
        <v>92</v>
      </c>
      <c r="E82" s="63">
        <v>4.22</v>
      </c>
      <c r="F82" s="100">
        <f t="shared" si="14"/>
        <v>572344.19123614603</v>
      </c>
      <c r="G82" s="101">
        <f>+D82/366*E82/100*F82</f>
        <v>6071.2270165442987</v>
      </c>
      <c r="H82" s="101"/>
      <c r="I82" s="102"/>
      <c r="J82" s="93">
        <f t="shared" si="12"/>
        <v>578415.41825269035</v>
      </c>
    </row>
    <row r="83" spans="1:10" x14ac:dyDescent="0.2">
      <c r="A83" s="60" t="s">
        <v>27</v>
      </c>
      <c r="B83" s="89">
        <f t="shared" si="11"/>
        <v>38353</v>
      </c>
      <c r="C83" s="61">
        <v>38442</v>
      </c>
      <c r="D83" s="62">
        <f t="shared" si="9"/>
        <v>90</v>
      </c>
      <c r="E83" s="63">
        <v>4.75</v>
      </c>
      <c r="F83" s="100">
        <f t="shared" si="14"/>
        <v>578415.41825269035</v>
      </c>
      <c r="G83" s="101">
        <f t="shared" ref="G83:G89" si="15">+D83/365*E83/100*F83</f>
        <v>6774.5915425486337</v>
      </c>
      <c r="H83" s="101"/>
      <c r="I83" s="102"/>
      <c r="J83" s="93">
        <f t="shared" si="12"/>
        <v>585190.00979523896</v>
      </c>
    </row>
    <row r="84" spans="1:10" x14ac:dyDescent="0.2">
      <c r="A84" s="60" t="s">
        <v>28</v>
      </c>
      <c r="B84" s="89">
        <f t="shared" si="11"/>
        <v>38443</v>
      </c>
      <c r="C84" s="61">
        <v>38533</v>
      </c>
      <c r="D84" s="62">
        <f t="shared" si="9"/>
        <v>91</v>
      </c>
      <c r="E84" s="63">
        <v>5.3</v>
      </c>
      <c r="F84" s="100">
        <f t="shared" si="14"/>
        <v>585190.00979523896</v>
      </c>
      <c r="G84" s="101">
        <f t="shared" si="15"/>
        <v>7732.5244308011979</v>
      </c>
      <c r="H84" s="101"/>
      <c r="I84" s="102"/>
      <c r="J84" s="93">
        <f t="shared" si="12"/>
        <v>592922.53422604012</v>
      </c>
    </row>
    <row r="85" spans="1:10" x14ac:dyDescent="0.2">
      <c r="A85" s="60" t="s">
        <v>29</v>
      </c>
      <c r="B85" s="89">
        <f t="shared" si="11"/>
        <v>38534</v>
      </c>
      <c r="C85" s="61">
        <v>38625</v>
      </c>
      <c r="D85" s="62">
        <f t="shared" si="9"/>
        <v>92</v>
      </c>
      <c r="E85" s="63">
        <v>5.77</v>
      </c>
      <c r="F85" s="100">
        <f t="shared" si="14"/>
        <v>592922.53422604012</v>
      </c>
      <c r="G85" s="101">
        <f t="shared" si="15"/>
        <v>8623.2054265356473</v>
      </c>
      <c r="H85" s="101"/>
      <c r="I85" s="102"/>
      <c r="J85" s="93">
        <f t="shared" si="12"/>
        <v>601545.73965257581</v>
      </c>
    </row>
    <row r="86" spans="1:10" x14ac:dyDescent="0.2">
      <c r="A86" s="60" t="s">
        <v>30</v>
      </c>
      <c r="B86" s="89">
        <f t="shared" si="11"/>
        <v>38626</v>
      </c>
      <c r="C86" s="61">
        <v>38717</v>
      </c>
      <c r="D86" s="62">
        <f t="shared" si="9"/>
        <v>92</v>
      </c>
      <c r="E86" s="63">
        <v>6.23</v>
      </c>
      <c r="F86" s="100">
        <f t="shared" si="14"/>
        <v>601545.73965257581</v>
      </c>
      <c r="G86" s="101">
        <f t="shared" si="15"/>
        <v>9446.080990116996</v>
      </c>
      <c r="H86" s="101"/>
      <c r="I86" s="102"/>
      <c r="J86" s="93">
        <f t="shared" si="12"/>
        <v>610991.82064269285</v>
      </c>
    </row>
    <row r="87" spans="1:10" x14ac:dyDescent="0.2">
      <c r="A87" s="60" t="s">
        <v>49</v>
      </c>
      <c r="B87" s="89">
        <f t="shared" si="11"/>
        <v>38718</v>
      </c>
      <c r="C87" s="61">
        <v>38807</v>
      </c>
      <c r="D87" s="62">
        <f>+C87-B87+1</f>
        <v>90</v>
      </c>
      <c r="E87" s="63">
        <v>6.78</v>
      </c>
      <c r="F87" s="100">
        <f t="shared" si="13"/>
        <v>610991.82064269285</v>
      </c>
      <c r="G87" s="101">
        <f t="shared" si="15"/>
        <v>10214.44408099099</v>
      </c>
      <c r="H87" s="101"/>
      <c r="I87" s="102"/>
      <c r="J87" s="93">
        <f t="shared" si="12"/>
        <v>621206.26472368382</v>
      </c>
    </row>
    <row r="88" spans="1:10" x14ac:dyDescent="0.2">
      <c r="A88" s="60" t="s">
        <v>50</v>
      </c>
      <c r="B88" s="89">
        <f t="shared" si="11"/>
        <v>38808</v>
      </c>
      <c r="C88" s="61">
        <v>38898</v>
      </c>
      <c r="D88" s="62">
        <f t="shared" si="9"/>
        <v>91</v>
      </c>
      <c r="E88" s="63">
        <v>7.3</v>
      </c>
      <c r="F88" s="100">
        <f t="shared" si="13"/>
        <v>621206.26472368382</v>
      </c>
      <c r="G88" s="101">
        <f t="shared" si="15"/>
        <v>11305.954017971046</v>
      </c>
      <c r="H88" s="101"/>
      <c r="I88" s="102"/>
      <c r="J88" s="93">
        <f t="shared" si="12"/>
        <v>632512.21874165488</v>
      </c>
    </row>
    <row r="89" spans="1:10" x14ac:dyDescent="0.2">
      <c r="A89" s="60" t="s">
        <v>51</v>
      </c>
      <c r="B89" s="89">
        <f t="shared" si="11"/>
        <v>38899</v>
      </c>
      <c r="C89" s="61">
        <v>38990</v>
      </c>
      <c r="D89" s="62">
        <f>+C89-B89+1</f>
        <v>92</v>
      </c>
      <c r="E89" s="63">
        <v>7.74</v>
      </c>
      <c r="F89" s="100">
        <f t="shared" si="13"/>
        <v>632512.21874165488</v>
      </c>
      <c r="G89" s="101">
        <f t="shared" si="15"/>
        <v>12339.706869083773</v>
      </c>
      <c r="H89" s="70"/>
      <c r="I89" s="91"/>
      <c r="J89" s="93">
        <f t="shared" si="12"/>
        <v>644851.92561073869</v>
      </c>
    </row>
    <row r="90" spans="1:10" x14ac:dyDescent="0.2">
      <c r="A90" s="60" t="s">
        <v>52</v>
      </c>
      <c r="B90" s="89">
        <f>C89+1</f>
        <v>38991</v>
      </c>
      <c r="C90" s="61">
        <v>39082</v>
      </c>
      <c r="D90" s="62">
        <f>+C90-B90+1</f>
        <v>92</v>
      </c>
      <c r="E90" s="63">
        <v>8.17</v>
      </c>
      <c r="F90" s="100">
        <f>J89</f>
        <v>644851.92561073869</v>
      </c>
      <c r="G90" s="101">
        <f>+D90/365*E90/100*F90</f>
        <v>13279.356201809744</v>
      </c>
      <c r="H90" s="65"/>
      <c r="I90" s="66"/>
      <c r="J90" s="93">
        <f t="shared" si="12"/>
        <v>658131.2818125484</v>
      </c>
    </row>
    <row r="91" spans="1:10" x14ac:dyDescent="0.2">
      <c r="A91" s="60" t="s">
        <v>53</v>
      </c>
      <c r="B91" s="89">
        <f>C90+1</f>
        <v>39083</v>
      </c>
      <c r="C91" s="61">
        <v>39172</v>
      </c>
      <c r="D91" s="62">
        <f>+C91-B91+1</f>
        <v>90</v>
      </c>
      <c r="E91" s="63">
        <v>8.25</v>
      </c>
      <c r="F91" s="100">
        <f>J90</f>
        <v>658131.2818125484</v>
      </c>
      <c r="G91" s="101">
        <f>+D91/365*E91/100*F91</f>
        <v>13388.013061529238</v>
      </c>
      <c r="H91" s="65"/>
      <c r="I91" s="66"/>
      <c r="J91" s="93">
        <f>+F91+G91</f>
        <v>671519.29487407766</v>
      </c>
    </row>
    <row r="92" spans="1:10" x14ac:dyDescent="0.2">
      <c r="A92" s="60" t="s">
        <v>54</v>
      </c>
      <c r="B92" s="61">
        <f>C91+1</f>
        <v>39173</v>
      </c>
      <c r="C92" s="61">
        <v>39263</v>
      </c>
      <c r="D92" s="62">
        <f>+C92-B92+1</f>
        <v>91</v>
      </c>
      <c r="E92" s="63">
        <v>8.25</v>
      </c>
      <c r="F92" s="100">
        <f>J91</f>
        <v>671519.29487407766</v>
      </c>
      <c r="G92" s="101">
        <f>+D92/365*E92/100*F92</f>
        <v>13812.140017170243</v>
      </c>
      <c r="H92" s="65">
        <f>E6/20</f>
        <v>24143.9575</v>
      </c>
      <c r="I92" s="66">
        <f>G93/20</f>
        <v>10122.614244562395</v>
      </c>
      <c r="J92" s="93">
        <f>F92+G92-H92-I92</f>
        <v>651064.86314668553</v>
      </c>
    </row>
    <row r="93" spans="1:10" ht="15" customHeight="1" x14ac:dyDescent="0.2">
      <c r="A93" s="68"/>
      <c r="B93" s="69"/>
      <c r="C93" s="69"/>
      <c r="D93" s="182"/>
      <c r="E93" s="329" t="s">
        <v>100</v>
      </c>
      <c r="F93" s="330"/>
      <c r="G93" s="71">
        <f>SUM(G68:G92)</f>
        <v>202452.28489124792</v>
      </c>
      <c r="H93" s="94"/>
      <c r="I93" s="183"/>
      <c r="J93" s="95"/>
    </row>
    <row r="94" spans="1:10" x14ac:dyDescent="0.2">
      <c r="A94" s="60" t="s">
        <v>55</v>
      </c>
      <c r="B94" s="61">
        <f>C92+1</f>
        <v>39264</v>
      </c>
      <c r="C94" s="61">
        <v>39355</v>
      </c>
      <c r="D94" s="62">
        <f>+C94-B94+1</f>
        <v>92</v>
      </c>
      <c r="E94" s="62">
        <v>8.25</v>
      </c>
      <c r="F94" s="82">
        <f>F$68+G$93-SUM(H$90:H93)-SUM(I$90:I93)</f>
        <v>651064.86314668553</v>
      </c>
      <c r="G94" s="65">
        <f>+D94/365*E94/100*F94</f>
        <v>13538.581674748886</v>
      </c>
      <c r="H94" s="65">
        <f t="shared" ref="H94:H108" si="16">F$68/20</f>
        <v>24143.9575</v>
      </c>
      <c r="I94" s="67">
        <f t="shared" ref="I94:I108" si="17">G$93/20</f>
        <v>10122.614244562395</v>
      </c>
      <c r="J94" s="87"/>
    </row>
    <row r="95" spans="1:10" x14ac:dyDescent="0.2">
      <c r="A95" s="74" t="s">
        <v>56</v>
      </c>
      <c r="B95" s="61">
        <f>C94+1</f>
        <v>39356</v>
      </c>
      <c r="C95" s="61">
        <v>39447</v>
      </c>
      <c r="D95" s="62">
        <f>+C95-B95+1</f>
        <v>92</v>
      </c>
      <c r="E95" s="62">
        <v>8.25</v>
      </c>
      <c r="F95" s="82">
        <f>F$68+G$93-SUM(H$90:H94)-SUM(I$90:I94)</f>
        <v>616798.29140212305</v>
      </c>
      <c r="G95" s="65">
        <f>+D95/365*E95/100*F95</f>
        <v>12826.024744498944</v>
      </c>
      <c r="H95" s="65">
        <f t="shared" si="16"/>
        <v>24143.9575</v>
      </c>
      <c r="I95" s="67">
        <f t="shared" si="17"/>
        <v>10122.614244562395</v>
      </c>
      <c r="J95" s="87"/>
    </row>
    <row r="96" spans="1:10" x14ac:dyDescent="0.2">
      <c r="A96" s="74" t="s">
        <v>78</v>
      </c>
      <c r="B96" s="61">
        <f t="shared" ref="B96:B108" si="18">C95+1</f>
        <v>39448</v>
      </c>
      <c r="C96" s="61">
        <v>39538</v>
      </c>
      <c r="D96" s="62">
        <f t="shared" ref="D96:D108" si="19">+C96-B96+1</f>
        <v>91</v>
      </c>
      <c r="E96" s="62">
        <v>7.76</v>
      </c>
      <c r="F96" s="82">
        <f>F$68+G$93-SUM(H$90:H95)-SUM(I$90:I95)</f>
        <v>582531.71965756069</v>
      </c>
      <c r="G96" s="65">
        <f>+D96/366*E96/100*F96</f>
        <v>11239.360632606094</v>
      </c>
      <c r="H96" s="65">
        <f t="shared" si="16"/>
        <v>24143.9575</v>
      </c>
      <c r="I96" s="66">
        <f t="shared" si="17"/>
        <v>10122.614244562395</v>
      </c>
      <c r="J96" s="28"/>
    </row>
    <row r="97" spans="1:10" x14ac:dyDescent="0.2">
      <c r="A97" s="74" t="s">
        <v>79</v>
      </c>
      <c r="B97" s="61">
        <f t="shared" si="18"/>
        <v>39539</v>
      </c>
      <c r="C97" s="61">
        <v>39629</v>
      </c>
      <c r="D97" s="62">
        <f t="shared" si="19"/>
        <v>91</v>
      </c>
      <c r="E97" s="62">
        <v>6.77</v>
      </c>
      <c r="F97" s="82">
        <f>F$68+G$93-SUM(H$90:H96)-SUM(I$90:I96)</f>
        <v>548265.14791299833</v>
      </c>
      <c r="G97" s="65">
        <f>+D97/366*E97/100*F97</f>
        <v>9228.6805922065796</v>
      </c>
      <c r="H97" s="65">
        <f t="shared" si="16"/>
        <v>24143.9575</v>
      </c>
      <c r="I97" s="66">
        <f t="shared" si="17"/>
        <v>10122.614244562395</v>
      </c>
      <c r="J97" s="28"/>
    </row>
    <row r="98" spans="1:10" x14ac:dyDescent="0.2">
      <c r="A98" s="74" t="s">
        <v>80</v>
      </c>
      <c r="B98" s="61">
        <f t="shared" si="18"/>
        <v>39630</v>
      </c>
      <c r="C98" s="61">
        <v>39721</v>
      </c>
      <c r="D98" s="62">
        <f t="shared" si="19"/>
        <v>92</v>
      </c>
      <c r="E98" s="62">
        <v>5.3</v>
      </c>
      <c r="F98" s="82">
        <f>F$68+G$93-SUM(H$90:H97)-SUM(I$90:I97)</f>
        <v>513998.57616843592</v>
      </c>
      <c r="G98" s="65">
        <f>+D98/366*E98/100*F98</f>
        <v>6847.6968781346823</v>
      </c>
      <c r="H98" s="65">
        <f t="shared" si="16"/>
        <v>24143.9575</v>
      </c>
      <c r="I98" s="66">
        <f t="shared" si="17"/>
        <v>10122.614244562395</v>
      </c>
      <c r="J98" s="28"/>
    </row>
    <row r="99" spans="1:10" x14ac:dyDescent="0.2">
      <c r="A99" s="74" t="s">
        <v>73</v>
      </c>
      <c r="B99" s="61">
        <f t="shared" si="18"/>
        <v>39722</v>
      </c>
      <c r="C99" s="61">
        <v>39813</v>
      </c>
      <c r="D99" s="62">
        <f t="shared" si="19"/>
        <v>92</v>
      </c>
      <c r="E99" s="62">
        <v>5</v>
      </c>
      <c r="F99" s="82">
        <f>F$68+G$93-SUM(H$90:H98)-SUM(I$90:I98)</f>
        <v>479732.0044238735</v>
      </c>
      <c r="G99" s="65">
        <f>+D99/366*E99/100*F99</f>
        <v>6029.4186348355688</v>
      </c>
      <c r="H99" s="65">
        <f t="shared" si="16"/>
        <v>24143.9575</v>
      </c>
      <c r="I99" s="66">
        <f t="shared" si="17"/>
        <v>10122.614244562395</v>
      </c>
      <c r="J99" s="28"/>
    </row>
    <row r="100" spans="1:10" x14ac:dyDescent="0.2">
      <c r="A100" s="74" t="s">
        <v>81</v>
      </c>
      <c r="B100" s="61">
        <f t="shared" si="18"/>
        <v>39814</v>
      </c>
      <c r="C100" s="61">
        <v>39903</v>
      </c>
      <c r="D100" s="62">
        <f t="shared" si="19"/>
        <v>90</v>
      </c>
      <c r="E100" s="62">
        <v>4.5199999999999996</v>
      </c>
      <c r="F100" s="82">
        <f>F$68+G$93-SUM(H$90:H99)-SUM(I$90:I99)</f>
        <v>445465.43267931108</v>
      </c>
      <c r="G100" s="65">
        <f t="shared" ref="G100:G108" si="20">+D100/365*E100/100*F100</f>
        <v>4964.8037812039383</v>
      </c>
      <c r="H100" s="65">
        <f t="shared" si="16"/>
        <v>24143.9575</v>
      </c>
      <c r="I100" s="66">
        <f t="shared" si="17"/>
        <v>10122.614244562395</v>
      </c>
      <c r="J100" s="28"/>
    </row>
    <row r="101" spans="1:10" x14ac:dyDescent="0.2">
      <c r="A101" s="74" t="s">
        <v>82</v>
      </c>
      <c r="B101" s="61">
        <f t="shared" si="18"/>
        <v>39904</v>
      </c>
      <c r="C101" s="61">
        <v>39994</v>
      </c>
      <c r="D101" s="62">
        <f t="shared" si="19"/>
        <v>91</v>
      </c>
      <c r="E101" s="62">
        <v>3.37</v>
      </c>
      <c r="F101" s="82">
        <f>F$68+G$93-SUM(H$90:H100)-SUM(I$90:I100)</f>
        <v>411198.86093474872</v>
      </c>
      <c r="G101" s="65">
        <f t="shared" si="20"/>
        <v>3454.8590324071065</v>
      </c>
      <c r="H101" s="65">
        <f t="shared" si="16"/>
        <v>24143.9575</v>
      </c>
      <c r="I101" s="66">
        <f t="shared" si="17"/>
        <v>10122.614244562395</v>
      </c>
      <c r="J101" s="28"/>
    </row>
    <row r="102" spans="1:10" x14ac:dyDescent="0.2">
      <c r="A102" s="74" t="s">
        <v>84</v>
      </c>
      <c r="B102" s="61">
        <f t="shared" si="18"/>
        <v>39995</v>
      </c>
      <c r="C102" s="61">
        <v>40086</v>
      </c>
      <c r="D102" s="62">
        <f t="shared" si="19"/>
        <v>92</v>
      </c>
      <c r="E102" s="62">
        <v>3.25</v>
      </c>
      <c r="F102" s="82">
        <f>F$68+G$93-SUM(H$90:H101)-SUM(I$90:I101)</f>
        <v>376932.28919018636</v>
      </c>
      <c r="G102" s="65">
        <f t="shared" si="20"/>
        <v>3087.7466977497461</v>
      </c>
      <c r="H102" s="65">
        <f t="shared" si="16"/>
        <v>24143.9575</v>
      </c>
      <c r="I102" s="66">
        <f t="shared" si="17"/>
        <v>10122.614244562395</v>
      </c>
      <c r="J102" s="28"/>
    </row>
    <row r="103" spans="1:10" x14ac:dyDescent="0.2">
      <c r="A103" s="74" t="s">
        <v>74</v>
      </c>
      <c r="B103" s="61">
        <f t="shared" si="18"/>
        <v>40087</v>
      </c>
      <c r="C103" s="61">
        <v>40178</v>
      </c>
      <c r="D103" s="62">
        <f t="shared" si="19"/>
        <v>92</v>
      </c>
      <c r="E103" s="62">
        <v>3.25</v>
      </c>
      <c r="F103" s="82">
        <f>F$68+G$93-SUM(H$90:H102)-SUM(I$90:I102)</f>
        <v>342665.71744562394</v>
      </c>
      <c r="G103" s="65">
        <f t="shared" si="20"/>
        <v>2807.0424524997688</v>
      </c>
      <c r="H103" s="65">
        <f t="shared" si="16"/>
        <v>24143.9575</v>
      </c>
      <c r="I103" s="66">
        <f t="shared" si="17"/>
        <v>10122.614244562395</v>
      </c>
      <c r="J103" s="28"/>
    </row>
    <row r="104" spans="1:10" x14ac:dyDescent="0.2">
      <c r="A104" s="74" t="s">
        <v>85</v>
      </c>
      <c r="B104" s="61">
        <f t="shared" si="18"/>
        <v>40179</v>
      </c>
      <c r="C104" s="61">
        <v>40268</v>
      </c>
      <c r="D104" s="62">
        <f t="shared" si="19"/>
        <v>90</v>
      </c>
      <c r="E104" s="62">
        <v>3.25</v>
      </c>
      <c r="F104" s="82">
        <f>F$68+G$93-SUM(H$90:H103)-SUM(I$90:I103)</f>
        <v>308399.14570106153</v>
      </c>
      <c r="G104" s="65">
        <f t="shared" si="20"/>
        <v>2471.4178114400133</v>
      </c>
      <c r="H104" s="65">
        <f t="shared" si="16"/>
        <v>24143.9575</v>
      </c>
      <c r="I104" s="66">
        <f t="shared" si="17"/>
        <v>10122.614244562395</v>
      </c>
      <c r="J104" s="28"/>
    </row>
    <row r="105" spans="1:10" x14ac:dyDescent="0.2">
      <c r="A105" s="74" t="s">
        <v>86</v>
      </c>
      <c r="B105" s="61">
        <f t="shared" si="18"/>
        <v>40269</v>
      </c>
      <c r="C105" s="61">
        <v>40359</v>
      </c>
      <c r="D105" s="62">
        <f t="shared" si="19"/>
        <v>91</v>
      </c>
      <c r="E105" s="62">
        <v>3.25</v>
      </c>
      <c r="F105" s="82">
        <f>F$68+G$93-SUM(H$90:H104)-SUM(I$90:I104)</f>
        <v>274132.57395649911</v>
      </c>
      <c r="G105" s="65">
        <f t="shared" si="20"/>
        <v>2221.2248971954687</v>
      </c>
      <c r="H105" s="65">
        <f t="shared" si="16"/>
        <v>24143.9575</v>
      </c>
      <c r="I105" s="66">
        <f t="shared" si="17"/>
        <v>10122.614244562395</v>
      </c>
      <c r="J105" s="28"/>
    </row>
    <row r="106" spans="1:10" x14ac:dyDescent="0.2">
      <c r="A106" s="74" t="s">
        <v>87</v>
      </c>
      <c r="B106" s="61">
        <f t="shared" si="18"/>
        <v>40360</v>
      </c>
      <c r="C106" s="61">
        <v>40451</v>
      </c>
      <c r="D106" s="62">
        <f t="shared" si="19"/>
        <v>92</v>
      </c>
      <c r="E106" s="62">
        <v>3.25</v>
      </c>
      <c r="F106" s="82">
        <f>F$68+G$93-SUM(H$90:H105)-SUM(I$90:I105)</f>
        <v>239866.00221193672</v>
      </c>
      <c r="G106" s="65">
        <f t="shared" si="20"/>
        <v>1964.929716749838</v>
      </c>
      <c r="H106" s="65">
        <f t="shared" si="16"/>
        <v>24143.9575</v>
      </c>
      <c r="I106" s="66">
        <f t="shared" si="17"/>
        <v>10122.614244562395</v>
      </c>
      <c r="J106" s="28"/>
    </row>
    <row r="107" spans="1:10" x14ac:dyDescent="0.2">
      <c r="A107" s="74" t="s">
        <v>75</v>
      </c>
      <c r="B107" s="61">
        <f t="shared" si="18"/>
        <v>40452</v>
      </c>
      <c r="C107" s="61">
        <v>40543</v>
      </c>
      <c r="D107" s="62">
        <f t="shared" si="19"/>
        <v>92</v>
      </c>
      <c r="E107" s="62">
        <v>3.25</v>
      </c>
      <c r="F107" s="82">
        <f>F$68+G$93-SUM(H$90:H106)-SUM(I$90:I106)</f>
        <v>205599.4304673743</v>
      </c>
      <c r="G107" s="65">
        <f t="shared" si="20"/>
        <v>1684.225471499861</v>
      </c>
      <c r="H107" s="65">
        <f t="shared" si="16"/>
        <v>24143.9575</v>
      </c>
      <c r="I107" s="66">
        <f t="shared" si="17"/>
        <v>10122.614244562395</v>
      </c>
      <c r="J107" s="28"/>
    </row>
    <row r="108" spans="1:10" x14ac:dyDescent="0.2">
      <c r="A108" s="75" t="s">
        <v>88</v>
      </c>
      <c r="B108" s="76">
        <f t="shared" si="18"/>
        <v>40544</v>
      </c>
      <c r="C108" s="76">
        <v>40633</v>
      </c>
      <c r="D108" s="77">
        <f t="shared" si="19"/>
        <v>90</v>
      </c>
      <c r="E108" s="62">
        <v>3.25</v>
      </c>
      <c r="F108" s="84">
        <f>F$68+G$93-SUM(H$90:H107)-SUM(I$90:I107)</f>
        <v>171332.85872281188</v>
      </c>
      <c r="G108" s="78">
        <f t="shared" si="20"/>
        <v>1373.0098952444514</v>
      </c>
      <c r="H108" s="65">
        <f t="shared" si="16"/>
        <v>24143.9575</v>
      </c>
      <c r="I108" s="66">
        <f t="shared" si="17"/>
        <v>10122.614244562395</v>
      </c>
      <c r="J108" s="28"/>
    </row>
    <row r="109" spans="1:10" x14ac:dyDescent="0.2">
      <c r="A109" s="74" t="s">
        <v>89</v>
      </c>
      <c r="B109" s="61">
        <f>C108+1</f>
        <v>40634</v>
      </c>
      <c r="C109" s="61">
        <v>40724</v>
      </c>
      <c r="D109" s="62">
        <f>+C109-B109+1</f>
        <v>91</v>
      </c>
      <c r="E109" s="62">
        <v>3.25</v>
      </c>
      <c r="F109" s="82">
        <f>F$68+G$93-SUM(H$90:H108)-SUM(I$90:I108)</f>
        <v>137066.28697824947</v>
      </c>
      <c r="G109" s="65">
        <f>+D109/365*E109/100*F109</f>
        <v>1110.6124485977336</v>
      </c>
      <c r="H109" s="65">
        <f>F$68/20</f>
        <v>24143.9575</v>
      </c>
      <c r="I109" s="66">
        <f>G$93/20</f>
        <v>10122.614244562395</v>
      </c>
      <c r="J109" s="28"/>
    </row>
    <row r="110" spans="1:10" x14ac:dyDescent="0.2">
      <c r="A110" s="74" t="s">
        <v>90</v>
      </c>
      <c r="B110" s="61">
        <f>C109+1</f>
        <v>40725</v>
      </c>
      <c r="C110" s="61">
        <v>40816</v>
      </c>
      <c r="D110" s="62">
        <f>+C110-B110+1</f>
        <v>92</v>
      </c>
      <c r="E110" s="62">
        <v>3.25</v>
      </c>
      <c r="F110" s="82">
        <f>F$68+G$93-SUM(H$90:H109)-SUM(I$90:I109)</f>
        <v>102799.71523368705</v>
      </c>
      <c r="G110" s="65">
        <f>+D110/365*E110/100*F110</f>
        <v>842.11273574992958</v>
      </c>
      <c r="H110" s="65">
        <f>F$68/20</f>
        <v>24143.9575</v>
      </c>
      <c r="I110" s="66">
        <f>G$93/20</f>
        <v>10122.614244562395</v>
      </c>
      <c r="J110" s="28"/>
    </row>
    <row r="111" spans="1:10" x14ac:dyDescent="0.2">
      <c r="A111" s="74" t="s">
        <v>76</v>
      </c>
      <c r="B111" s="61">
        <f>C110+1</f>
        <v>40817</v>
      </c>
      <c r="C111" s="61">
        <v>40908</v>
      </c>
      <c r="D111" s="62">
        <f>+C111-B111+1</f>
        <v>92</v>
      </c>
      <c r="E111" s="62">
        <v>3.25</v>
      </c>
      <c r="F111" s="82">
        <f>F$68+G$93-SUM(H$90:H110)-SUM(I$90:I110)</f>
        <v>68533.143489124632</v>
      </c>
      <c r="G111" s="65">
        <f>+D111/365*E111/100*F111</f>
        <v>561.40849049995256</v>
      </c>
      <c r="H111" s="65">
        <f>F$68/20</f>
        <v>24143.9575</v>
      </c>
      <c r="I111" s="66">
        <f>G$93/20</f>
        <v>10122.614244562395</v>
      </c>
      <c r="J111" s="28"/>
    </row>
    <row r="112" spans="1:10" x14ac:dyDescent="0.2">
      <c r="A112" s="74" t="s">
        <v>83</v>
      </c>
      <c r="B112" s="61">
        <f>C111+1</f>
        <v>40909</v>
      </c>
      <c r="C112" s="61">
        <v>40999</v>
      </c>
      <c r="D112" s="62">
        <f>+C112-B112+1</f>
        <v>91</v>
      </c>
      <c r="E112" s="62">
        <v>3.25</v>
      </c>
      <c r="F112" s="82">
        <f>F$68+G$93-SUM(H$90:H111)-SUM(I$90:I111)</f>
        <v>34266.571744562214</v>
      </c>
      <c r="G112" s="65">
        <f>+D112/365*E112/100*F112</f>
        <v>277.65311214943216</v>
      </c>
      <c r="H112" s="65">
        <f>F$68/20</f>
        <v>24143.9575</v>
      </c>
      <c r="I112" s="66">
        <f>G$93/20</f>
        <v>10122.614244562395</v>
      </c>
      <c r="J112" s="28"/>
    </row>
    <row r="113" spans="1:10" x14ac:dyDescent="0.2">
      <c r="G113" s="46"/>
      <c r="H113" s="46"/>
      <c r="I113" s="46"/>
    </row>
    <row r="114" spans="1:10" x14ac:dyDescent="0.2">
      <c r="A114" s="326" t="s">
        <v>95</v>
      </c>
      <c r="B114" s="327"/>
      <c r="C114" s="327"/>
      <c r="D114" s="327"/>
      <c r="E114" s="327"/>
      <c r="F114" s="327"/>
      <c r="G114" s="327"/>
      <c r="H114" s="327"/>
      <c r="I114" s="327"/>
      <c r="J114" s="328"/>
    </row>
    <row r="115" spans="1:10" x14ac:dyDescent="0.2">
      <c r="A115" s="275" t="s">
        <v>7</v>
      </c>
      <c r="B115" s="275" t="s">
        <v>8</v>
      </c>
      <c r="C115" s="275" t="s">
        <v>9</v>
      </c>
      <c r="D115" s="275" t="s">
        <v>10</v>
      </c>
      <c r="E115" s="275" t="s">
        <v>11</v>
      </c>
      <c r="F115" s="275" t="s">
        <v>12</v>
      </c>
      <c r="G115" s="275" t="s">
        <v>13</v>
      </c>
      <c r="H115" s="275"/>
      <c r="I115" s="275"/>
      <c r="J115" s="275" t="s">
        <v>14</v>
      </c>
    </row>
    <row r="116" spans="1:10" ht="51" x14ac:dyDescent="0.2">
      <c r="A116" s="25" t="s">
        <v>15</v>
      </c>
      <c r="B116" s="25" t="s">
        <v>16</v>
      </c>
      <c r="C116" s="25" t="s">
        <v>17</v>
      </c>
      <c r="D116" s="25" t="s">
        <v>18</v>
      </c>
      <c r="E116" s="25" t="s">
        <v>19</v>
      </c>
      <c r="F116" s="25" t="s">
        <v>20</v>
      </c>
      <c r="G116" s="5" t="s">
        <v>98</v>
      </c>
      <c r="H116" s="5" t="s">
        <v>31</v>
      </c>
      <c r="I116" s="5" t="s">
        <v>99</v>
      </c>
      <c r="J116" s="25" t="s">
        <v>21</v>
      </c>
    </row>
    <row r="117" spans="1:10" x14ac:dyDescent="0.2">
      <c r="A117" s="53" t="s">
        <v>63</v>
      </c>
      <c r="B117" s="88">
        <f>B4</f>
        <v>36945</v>
      </c>
      <c r="C117" s="88">
        <v>37072</v>
      </c>
      <c r="D117" s="55">
        <f t="shared" ref="D117:D128" si="21">+C117-B117+1</f>
        <v>128</v>
      </c>
      <c r="E117" s="96">
        <v>9.02</v>
      </c>
      <c r="F117" s="97">
        <f>E4</f>
        <v>0</v>
      </c>
      <c r="G117" s="98">
        <f t="shared" ref="G117:G124" si="22">+D117/365*E117/100*F117</f>
        <v>0</v>
      </c>
      <c r="H117" s="98"/>
      <c r="I117" s="99"/>
      <c r="J117" s="106">
        <f>+F117+G117</f>
        <v>0</v>
      </c>
    </row>
    <row r="118" spans="1:10" x14ac:dyDescent="0.2">
      <c r="A118" s="60" t="s">
        <v>64</v>
      </c>
      <c r="B118" s="89">
        <f t="shared" ref="B118:B138" si="23">C117+1</f>
        <v>37073</v>
      </c>
      <c r="C118" s="89">
        <v>37164</v>
      </c>
      <c r="D118" s="62">
        <f t="shared" si="21"/>
        <v>92</v>
      </c>
      <c r="E118" s="90">
        <v>7.79</v>
      </c>
      <c r="F118" s="100">
        <f>J117</f>
        <v>0</v>
      </c>
      <c r="G118" s="101">
        <f t="shared" si="22"/>
        <v>0</v>
      </c>
      <c r="H118" s="101"/>
      <c r="I118" s="102"/>
      <c r="J118" s="93">
        <f t="shared" ref="J118:J140" si="24">+F118+G118</f>
        <v>0</v>
      </c>
    </row>
    <row r="119" spans="1:10" x14ac:dyDescent="0.2">
      <c r="A119" s="60" t="s">
        <v>65</v>
      </c>
      <c r="B119" s="89">
        <f t="shared" si="23"/>
        <v>37165</v>
      </c>
      <c r="C119" s="89">
        <v>37256</v>
      </c>
      <c r="D119" s="62">
        <f t="shared" si="21"/>
        <v>92</v>
      </c>
      <c r="E119" s="90">
        <v>6.8</v>
      </c>
      <c r="F119" s="100">
        <f t="shared" ref="F119:F138" si="25">J118</f>
        <v>0</v>
      </c>
      <c r="G119" s="101">
        <f t="shared" si="22"/>
        <v>0</v>
      </c>
      <c r="H119" s="101"/>
      <c r="I119" s="102"/>
      <c r="J119" s="93">
        <f t="shared" si="24"/>
        <v>0</v>
      </c>
    </row>
    <row r="120" spans="1:10" x14ac:dyDescent="0.2">
      <c r="A120" s="60" t="s">
        <v>66</v>
      </c>
      <c r="B120" s="89">
        <f t="shared" si="23"/>
        <v>37257</v>
      </c>
      <c r="C120" s="89">
        <v>37346</v>
      </c>
      <c r="D120" s="62">
        <f t="shared" si="21"/>
        <v>90</v>
      </c>
      <c r="E120" s="90">
        <v>5.64</v>
      </c>
      <c r="F120" s="100">
        <f t="shared" si="25"/>
        <v>0</v>
      </c>
      <c r="G120" s="101">
        <f t="shared" si="22"/>
        <v>0</v>
      </c>
      <c r="H120" s="101"/>
      <c r="I120" s="102"/>
      <c r="J120" s="93">
        <f t="shared" si="24"/>
        <v>0</v>
      </c>
    </row>
    <row r="121" spans="1:10" x14ac:dyDescent="0.2">
      <c r="A121" s="60" t="s">
        <v>67</v>
      </c>
      <c r="B121" s="89">
        <f t="shared" si="23"/>
        <v>37347</v>
      </c>
      <c r="C121" s="89">
        <v>37437</v>
      </c>
      <c r="D121" s="62">
        <f t="shared" si="21"/>
        <v>91</v>
      </c>
      <c r="E121" s="90">
        <v>4.78</v>
      </c>
      <c r="F121" s="100">
        <f t="shared" si="25"/>
        <v>0</v>
      </c>
      <c r="G121" s="101">
        <f t="shared" si="22"/>
        <v>0</v>
      </c>
      <c r="H121" s="101"/>
      <c r="I121" s="102"/>
      <c r="J121" s="93">
        <f t="shared" si="24"/>
        <v>0</v>
      </c>
    </row>
    <row r="122" spans="1:10" x14ac:dyDescent="0.2">
      <c r="A122" s="60" t="s">
        <v>46</v>
      </c>
      <c r="B122" s="89">
        <f t="shared" si="23"/>
        <v>37438</v>
      </c>
      <c r="C122" s="89">
        <v>37529</v>
      </c>
      <c r="D122" s="62">
        <f t="shared" si="21"/>
        <v>92</v>
      </c>
      <c r="E122" s="90">
        <v>4.75</v>
      </c>
      <c r="F122" s="100">
        <f t="shared" si="25"/>
        <v>0</v>
      </c>
      <c r="G122" s="101">
        <f t="shared" si="22"/>
        <v>0</v>
      </c>
      <c r="H122" s="101"/>
      <c r="I122" s="102"/>
      <c r="J122" s="93">
        <f t="shared" si="24"/>
        <v>0</v>
      </c>
    </row>
    <row r="123" spans="1:10" x14ac:dyDescent="0.2">
      <c r="A123" s="60" t="s">
        <v>39</v>
      </c>
      <c r="B123" s="89">
        <f t="shared" si="23"/>
        <v>37530</v>
      </c>
      <c r="C123" s="89">
        <v>37621</v>
      </c>
      <c r="D123" s="62">
        <f t="shared" si="21"/>
        <v>92</v>
      </c>
      <c r="E123" s="90">
        <v>4.75</v>
      </c>
      <c r="F123" s="100">
        <f t="shared" si="25"/>
        <v>0</v>
      </c>
      <c r="G123" s="101">
        <f t="shared" si="22"/>
        <v>0</v>
      </c>
      <c r="H123" s="101"/>
      <c r="I123" s="102"/>
      <c r="J123" s="93">
        <f t="shared" si="24"/>
        <v>0</v>
      </c>
    </row>
    <row r="124" spans="1:10" x14ac:dyDescent="0.2">
      <c r="A124" s="60" t="s">
        <v>47</v>
      </c>
      <c r="B124" s="89">
        <f t="shared" si="23"/>
        <v>37622</v>
      </c>
      <c r="C124" s="89">
        <v>37711</v>
      </c>
      <c r="D124" s="62">
        <f t="shared" si="21"/>
        <v>90</v>
      </c>
      <c r="E124" s="90">
        <v>4.62</v>
      </c>
      <c r="F124" s="100">
        <f t="shared" si="25"/>
        <v>0</v>
      </c>
      <c r="G124" s="101">
        <f t="shared" si="22"/>
        <v>0</v>
      </c>
      <c r="H124" s="101"/>
      <c r="I124" s="102"/>
      <c r="J124" s="93">
        <f t="shared" si="24"/>
        <v>0</v>
      </c>
    </row>
    <row r="125" spans="1:10" x14ac:dyDescent="0.2">
      <c r="A125" s="60" t="s">
        <v>40</v>
      </c>
      <c r="B125" s="89">
        <f t="shared" si="23"/>
        <v>37712</v>
      </c>
      <c r="C125" s="61">
        <v>37802</v>
      </c>
      <c r="D125" s="62">
        <f t="shared" si="21"/>
        <v>91</v>
      </c>
      <c r="E125" s="63">
        <v>4.25</v>
      </c>
      <c r="F125" s="100">
        <f t="shared" si="25"/>
        <v>0</v>
      </c>
      <c r="G125" s="101">
        <f>+D125/365*E125/100*F125</f>
        <v>0</v>
      </c>
      <c r="H125" s="101"/>
      <c r="I125" s="102"/>
      <c r="J125" s="93">
        <f t="shared" si="24"/>
        <v>0</v>
      </c>
    </row>
    <row r="126" spans="1:10" x14ac:dyDescent="0.2">
      <c r="A126" s="60" t="s">
        <v>41</v>
      </c>
      <c r="B126" s="89">
        <f t="shared" si="23"/>
        <v>37803</v>
      </c>
      <c r="C126" s="61">
        <v>37894</v>
      </c>
      <c r="D126" s="62">
        <f t="shared" si="21"/>
        <v>92</v>
      </c>
      <c r="E126" s="63">
        <v>4.25</v>
      </c>
      <c r="F126" s="100">
        <f t="shared" si="25"/>
        <v>0</v>
      </c>
      <c r="G126" s="101">
        <f>+D126/365*E126/100*F126</f>
        <v>0</v>
      </c>
      <c r="H126" s="101"/>
      <c r="I126" s="102"/>
      <c r="J126" s="93">
        <f t="shared" si="24"/>
        <v>0</v>
      </c>
    </row>
    <row r="127" spans="1:10" x14ac:dyDescent="0.2">
      <c r="A127" s="60" t="s">
        <v>48</v>
      </c>
      <c r="B127" s="89">
        <f t="shared" si="23"/>
        <v>37895</v>
      </c>
      <c r="C127" s="61">
        <v>37986</v>
      </c>
      <c r="D127" s="62">
        <f t="shared" si="21"/>
        <v>92</v>
      </c>
      <c r="E127" s="63">
        <v>4.07</v>
      </c>
      <c r="F127" s="100">
        <f t="shared" si="25"/>
        <v>0</v>
      </c>
      <c r="G127" s="101">
        <f>+D127/365*E127/100*F127</f>
        <v>0</v>
      </c>
      <c r="H127" s="101"/>
      <c r="I127" s="102"/>
      <c r="J127" s="93">
        <f t="shared" si="24"/>
        <v>0</v>
      </c>
    </row>
    <row r="128" spans="1:10" x14ac:dyDescent="0.2">
      <c r="A128" s="60" t="s">
        <v>45</v>
      </c>
      <c r="B128" s="89">
        <f t="shared" si="23"/>
        <v>37987</v>
      </c>
      <c r="C128" s="61">
        <v>38077</v>
      </c>
      <c r="D128" s="62">
        <f t="shared" si="21"/>
        <v>91</v>
      </c>
      <c r="E128" s="63">
        <v>4</v>
      </c>
      <c r="F128" s="100">
        <f t="shared" si="25"/>
        <v>0</v>
      </c>
      <c r="G128" s="101">
        <f>+D128/366*E128/100*F128</f>
        <v>0</v>
      </c>
      <c r="H128" s="101"/>
      <c r="I128" s="102"/>
      <c r="J128" s="93">
        <f t="shared" si="24"/>
        <v>0</v>
      </c>
    </row>
    <row r="129" spans="1:10" x14ac:dyDescent="0.2">
      <c r="A129" s="60" t="s">
        <v>42</v>
      </c>
      <c r="B129" s="89">
        <f t="shared" si="23"/>
        <v>38078</v>
      </c>
      <c r="C129" s="61">
        <v>38168</v>
      </c>
      <c r="D129" s="62">
        <f>+C129-B129+1</f>
        <v>91</v>
      </c>
      <c r="E129" s="63">
        <v>4</v>
      </c>
      <c r="F129" s="100">
        <f t="shared" si="25"/>
        <v>0</v>
      </c>
      <c r="G129" s="101">
        <f>+D129/366*E129/100*F129</f>
        <v>0</v>
      </c>
      <c r="H129" s="101"/>
      <c r="I129" s="102"/>
      <c r="J129" s="93">
        <f t="shared" si="24"/>
        <v>0</v>
      </c>
    </row>
    <row r="130" spans="1:10" x14ac:dyDescent="0.2">
      <c r="A130" s="60" t="s">
        <v>43</v>
      </c>
      <c r="B130" s="89">
        <f t="shared" si="23"/>
        <v>38169</v>
      </c>
      <c r="C130" s="61">
        <v>38260</v>
      </c>
      <c r="D130" s="62">
        <f t="shared" ref="D130:D135" si="26">+C130-B130+1</f>
        <v>92</v>
      </c>
      <c r="E130" s="63">
        <v>4</v>
      </c>
      <c r="F130" s="100">
        <f t="shared" si="25"/>
        <v>0</v>
      </c>
      <c r="G130" s="101">
        <f>+D130/366*E130/100*F130</f>
        <v>0</v>
      </c>
      <c r="H130" s="101"/>
      <c r="I130" s="102"/>
      <c r="J130" s="93">
        <f t="shared" si="24"/>
        <v>0</v>
      </c>
    </row>
    <row r="131" spans="1:10" x14ac:dyDescent="0.2">
      <c r="A131" s="60" t="s">
        <v>26</v>
      </c>
      <c r="B131" s="89">
        <f t="shared" si="23"/>
        <v>38261</v>
      </c>
      <c r="C131" s="61">
        <v>38352</v>
      </c>
      <c r="D131" s="62">
        <f t="shared" si="26"/>
        <v>92</v>
      </c>
      <c r="E131" s="63">
        <v>4.22</v>
      </c>
      <c r="F131" s="100">
        <f t="shared" si="25"/>
        <v>0</v>
      </c>
      <c r="G131" s="101">
        <f>+D131/366*E131/100*F131</f>
        <v>0</v>
      </c>
      <c r="H131" s="101"/>
      <c r="I131" s="102"/>
      <c r="J131" s="93">
        <f t="shared" si="24"/>
        <v>0</v>
      </c>
    </row>
    <row r="132" spans="1:10" x14ac:dyDescent="0.2">
      <c r="A132" s="60" t="s">
        <v>27</v>
      </c>
      <c r="B132" s="89">
        <f t="shared" si="23"/>
        <v>38353</v>
      </c>
      <c r="C132" s="61">
        <v>38442</v>
      </c>
      <c r="D132" s="62">
        <f t="shared" si="26"/>
        <v>90</v>
      </c>
      <c r="E132" s="63">
        <v>4.75</v>
      </c>
      <c r="F132" s="100">
        <f t="shared" si="25"/>
        <v>0</v>
      </c>
      <c r="G132" s="101">
        <f t="shared" ref="G132:G138" si="27">+D132/365*E132/100*F132</f>
        <v>0</v>
      </c>
      <c r="H132" s="101"/>
      <c r="I132" s="102"/>
      <c r="J132" s="93">
        <f t="shared" si="24"/>
        <v>0</v>
      </c>
    </row>
    <row r="133" spans="1:10" x14ac:dyDescent="0.2">
      <c r="A133" s="60" t="s">
        <v>28</v>
      </c>
      <c r="B133" s="89">
        <f t="shared" si="23"/>
        <v>38443</v>
      </c>
      <c r="C133" s="61">
        <v>38533</v>
      </c>
      <c r="D133" s="62">
        <f t="shared" si="26"/>
        <v>91</v>
      </c>
      <c r="E133" s="63">
        <v>5.3</v>
      </c>
      <c r="F133" s="100">
        <f t="shared" si="25"/>
        <v>0</v>
      </c>
      <c r="G133" s="101">
        <f t="shared" si="27"/>
        <v>0</v>
      </c>
      <c r="H133" s="101"/>
      <c r="I133" s="102"/>
      <c r="J133" s="93">
        <f t="shared" si="24"/>
        <v>0</v>
      </c>
    </row>
    <row r="134" spans="1:10" x14ac:dyDescent="0.2">
      <c r="A134" s="60" t="s">
        <v>29</v>
      </c>
      <c r="B134" s="89">
        <f t="shared" si="23"/>
        <v>38534</v>
      </c>
      <c r="C134" s="61">
        <v>38625</v>
      </c>
      <c r="D134" s="62">
        <f t="shared" si="26"/>
        <v>92</v>
      </c>
      <c r="E134" s="63">
        <v>5.77</v>
      </c>
      <c r="F134" s="100">
        <f t="shared" si="25"/>
        <v>0</v>
      </c>
      <c r="G134" s="101">
        <f t="shared" si="27"/>
        <v>0</v>
      </c>
      <c r="H134" s="101"/>
      <c r="I134" s="102"/>
      <c r="J134" s="93">
        <f t="shared" si="24"/>
        <v>0</v>
      </c>
    </row>
    <row r="135" spans="1:10" x14ac:dyDescent="0.2">
      <c r="A135" s="60" t="s">
        <v>30</v>
      </c>
      <c r="B135" s="89">
        <f t="shared" si="23"/>
        <v>38626</v>
      </c>
      <c r="C135" s="61">
        <v>38717</v>
      </c>
      <c r="D135" s="62">
        <f t="shared" si="26"/>
        <v>92</v>
      </c>
      <c r="E135" s="63">
        <v>6.23</v>
      </c>
      <c r="F135" s="100">
        <f t="shared" si="25"/>
        <v>0</v>
      </c>
      <c r="G135" s="101">
        <f t="shared" si="27"/>
        <v>0</v>
      </c>
      <c r="H135" s="101"/>
      <c r="I135" s="102"/>
      <c r="J135" s="93">
        <f t="shared" si="24"/>
        <v>0</v>
      </c>
    </row>
    <row r="136" spans="1:10" x14ac:dyDescent="0.2">
      <c r="A136" s="60" t="s">
        <v>49</v>
      </c>
      <c r="B136" s="89">
        <f t="shared" si="23"/>
        <v>38718</v>
      </c>
      <c r="C136" s="61">
        <v>38807</v>
      </c>
      <c r="D136" s="62">
        <f>+C136-B136+1</f>
        <v>90</v>
      </c>
      <c r="E136" s="63">
        <v>6.78</v>
      </c>
      <c r="F136" s="100">
        <f t="shared" si="25"/>
        <v>0</v>
      </c>
      <c r="G136" s="101">
        <f t="shared" si="27"/>
        <v>0</v>
      </c>
      <c r="H136" s="101"/>
      <c r="I136" s="102"/>
      <c r="J136" s="93">
        <f t="shared" si="24"/>
        <v>0</v>
      </c>
    </row>
    <row r="137" spans="1:10" x14ac:dyDescent="0.2">
      <c r="A137" s="60" t="s">
        <v>50</v>
      </c>
      <c r="B137" s="89">
        <f t="shared" si="23"/>
        <v>38808</v>
      </c>
      <c r="C137" s="61">
        <v>38898</v>
      </c>
      <c r="D137" s="62">
        <f>+C137-B137+1</f>
        <v>91</v>
      </c>
      <c r="E137" s="63">
        <v>7.3</v>
      </c>
      <c r="F137" s="100">
        <f t="shared" si="25"/>
        <v>0</v>
      </c>
      <c r="G137" s="101">
        <f t="shared" si="27"/>
        <v>0</v>
      </c>
      <c r="H137" s="101"/>
      <c r="I137" s="102"/>
      <c r="J137" s="93">
        <f t="shared" si="24"/>
        <v>0</v>
      </c>
    </row>
    <row r="138" spans="1:10" x14ac:dyDescent="0.2">
      <c r="A138" s="60" t="s">
        <v>51</v>
      </c>
      <c r="B138" s="89">
        <f t="shared" si="23"/>
        <v>38899</v>
      </c>
      <c r="C138" s="61">
        <v>38990</v>
      </c>
      <c r="D138" s="62">
        <f>+C138-B138+1</f>
        <v>92</v>
      </c>
      <c r="E138" s="63">
        <v>7.74</v>
      </c>
      <c r="F138" s="100">
        <f t="shared" si="25"/>
        <v>0</v>
      </c>
      <c r="G138" s="101">
        <f t="shared" si="27"/>
        <v>0</v>
      </c>
      <c r="H138" s="70"/>
      <c r="I138" s="91"/>
      <c r="J138" s="93">
        <f t="shared" si="24"/>
        <v>0</v>
      </c>
    </row>
    <row r="139" spans="1:10" x14ac:dyDescent="0.2">
      <c r="A139" s="60" t="s">
        <v>52</v>
      </c>
      <c r="B139" s="89">
        <f>C138+1</f>
        <v>38991</v>
      </c>
      <c r="C139" s="61">
        <v>39082</v>
      </c>
      <c r="D139" s="62">
        <f>+C139-B139+1</f>
        <v>92</v>
      </c>
      <c r="E139" s="63">
        <v>8.17</v>
      </c>
      <c r="F139" s="100">
        <f>J138</f>
        <v>0</v>
      </c>
      <c r="G139" s="101">
        <f>+D139/365*E139/100*F139</f>
        <v>0</v>
      </c>
      <c r="H139" s="65"/>
      <c r="I139" s="66"/>
      <c r="J139" s="93">
        <f t="shared" si="24"/>
        <v>0</v>
      </c>
    </row>
    <row r="140" spans="1:10" x14ac:dyDescent="0.2">
      <c r="A140" s="60" t="s">
        <v>53</v>
      </c>
      <c r="B140" s="89">
        <f>C139+1</f>
        <v>39083</v>
      </c>
      <c r="C140" s="61">
        <v>39172</v>
      </c>
      <c r="D140" s="62">
        <f>+C140-B140+1</f>
        <v>90</v>
      </c>
      <c r="E140" s="63">
        <v>8.25</v>
      </c>
      <c r="F140" s="100">
        <f>J139</f>
        <v>0</v>
      </c>
      <c r="G140" s="101">
        <f>+D140/365*E140/100*F140</f>
        <v>0</v>
      </c>
      <c r="H140" s="65">
        <f>F$117/20*5</f>
        <v>0</v>
      </c>
      <c r="I140" s="66">
        <f>G$141/20*5</f>
        <v>0</v>
      </c>
      <c r="J140" s="93">
        <f t="shared" si="24"/>
        <v>0</v>
      </c>
    </row>
    <row r="141" spans="1:10" x14ac:dyDescent="0.2">
      <c r="A141" s="68"/>
      <c r="B141" s="69"/>
      <c r="C141" s="69"/>
      <c r="D141" s="182"/>
      <c r="E141" s="329" t="s">
        <v>100</v>
      </c>
      <c r="F141" s="330"/>
      <c r="G141" s="71">
        <f>SUM(G117:G140)</f>
        <v>0</v>
      </c>
      <c r="H141" s="94"/>
      <c r="I141" s="183"/>
      <c r="J141" s="95"/>
    </row>
    <row r="142" spans="1:10" x14ac:dyDescent="0.2">
      <c r="A142" s="60" t="s">
        <v>54</v>
      </c>
      <c r="B142" s="61">
        <f>C140+1</f>
        <v>39173</v>
      </c>
      <c r="C142" s="61">
        <v>39263</v>
      </c>
      <c r="D142" s="62">
        <f>+C142-B142+1</f>
        <v>91</v>
      </c>
      <c r="E142" s="62">
        <v>8.25</v>
      </c>
      <c r="F142" s="82">
        <f>F$117+G$141-SUM(H$139:H141)-SUM(I$139:I141)</f>
        <v>0</v>
      </c>
      <c r="G142" s="65">
        <f>+D142/365*E142/100*F142</f>
        <v>0</v>
      </c>
      <c r="H142" s="65">
        <f t="shared" ref="H142:H156" si="28">F$117/20</f>
        <v>0</v>
      </c>
      <c r="I142" s="67">
        <f t="shared" ref="I142:I156" si="29">G$141/20</f>
        <v>0</v>
      </c>
      <c r="J142" s="87"/>
    </row>
    <row r="143" spans="1:10" x14ac:dyDescent="0.2">
      <c r="A143" s="60" t="s">
        <v>55</v>
      </c>
      <c r="B143" s="61">
        <f>C142+1</f>
        <v>39264</v>
      </c>
      <c r="C143" s="61">
        <v>39355</v>
      </c>
      <c r="D143" s="62">
        <f>+C143-B143+1</f>
        <v>92</v>
      </c>
      <c r="E143" s="62">
        <v>8.25</v>
      </c>
      <c r="F143" s="82">
        <f>F$117+G$141-SUM(H$139:H142)-SUM(I$139:I142)</f>
        <v>0</v>
      </c>
      <c r="G143" s="65">
        <f>+D143/365*E143/100*F143</f>
        <v>0</v>
      </c>
      <c r="H143" s="65">
        <f t="shared" si="28"/>
        <v>0</v>
      </c>
      <c r="I143" s="67">
        <f t="shared" si="29"/>
        <v>0</v>
      </c>
      <c r="J143" s="87"/>
    </row>
    <row r="144" spans="1:10" x14ac:dyDescent="0.2">
      <c r="A144" s="74" t="s">
        <v>56</v>
      </c>
      <c r="B144" s="61">
        <f>C143+1</f>
        <v>39356</v>
      </c>
      <c r="C144" s="61">
        <v>39447</v>
      </c>
      <c r="D144" s="62">
        <f>+C144-B144+1</f>
        <v>92</v>
      </c>
      <c r="E144" s="62">
        <v>8.25</v>
      </c>
      <c r="F144" s="82">
        <f>F$117+G$141-SUM(H$139:H143)-SUM(I$139:I143)</f>
        <v>0</v>
      </c>
      <c r="G144" s="65">
        <f>+D144/365*E144/100*F144</f>
        <v>0</v>
      </c>
      <c r="H144" s="65">
        <f t="shared" si="28"/>
        <v>0</v>
      </c>
      <c r="I144" s="67">
        <f t="shared" si="29"/>
        <v>0</v>
      </c>
      <c r="J144" s="87"/>
    </row>
    <row r="145" spans="1:9" x14ac:dyDescent="0.2">
      <c r="A145" s="74" t="s">
        <v>78</v>
      </c>
      <c r="B145" s="61">
        <f t="shared" ref="B145:B157" si="30">C144+1</f>
        <v>39448</v>
      </c>
      <c r="C145" s="61">
        <v>39538</v>
      </c>
      <c r="D145" s="62">
        <f t="shared" ref="D145:D157" si="31">+C145-B145+1</f>
        <v>91</v>
      </c>
      <c r="E145" s="62">
        <v>8.1300000000000008</v>
      </c>
      <c r="F145" s="82">
        <f>F$117+G$141-SUM(H$139:H144)-SUM(I$139:I144)</f>
        <v>0</v>
      </c>
      <c r="G145" s="65">
        <f>+D145/366*E145/100*F145</f>
        <v>0</v>
      </c>
      <c r="H145" s="65">
        <f t="shared" si="28"/>
        <v>0</v>
      </c>
      <c r="I145" s="66">
        <f t="shared" si="29"/>
        <v>0</v>
      </c>
    </row>
    <row r="146" spans="1:9" x14ac:dyDescent="0.2">
      <c r="A146" s="74" t="s">
        <v>79</v>
      </c>
      <c r="B146" s="61">
        <f t="shared" si="30"/>
        <v>39539</v>
      </c>
      <c r="C146" s="61">
        <v>39629</v>
      </c>
      <c r="D146" s="62">
        <f t="shared" si="31"/>
        <v>91</v>
      </c>
      <c r="E146" s="62">
        <v>8.1300000000000008</v>
      </c>
      <c r="F146" s="82">
        <f>F$117+G$141-SUM(H$139:H145)-SUM(I$139:I145)</f>
        <v>0</v>
      </c>
      <c r="G146" s="65">
        <f>+D146/366*E146/100*F146</f>
        <v>0</v>
      </c>
      <c r="H146" s="65">
        <f t="shared" si="28"/>
        <v>0</v>
      </c>
      <c r="I146" s="66">
        <f t="shared" si="29"/>
        <v>0</v>
      </c>
    </row>
    <row r="147" spans="1:9" x14ac:dyDescent="0.2">
      <c r="A147" s="74" t="s">
        <v>80</v>
      </c>
      <c r="B147" s="61">
        <f t="shared" si="30"/>
        <v>39630</v>
      </c>
      <c r="C147" s="61">
        <v>39721</v>
      </c>
      <c r="D147" s="62">
        <f t="shared" si="31"/>
        <v>92</v>
      </c>
      <c r="E147" s="62">
        <v>8.1300000000000008</v>
      </c>
      <c r="F147" s="82">
        <f>F$117+G$141-SUM(H$139:H146)-SUM(I$139:I146)</f>
        <v>0</v>
      </c>
      <c r="G147" s="65">
        <f>+D147/366*E147/100*F147</f>
        <v>0</v>
      </c>
      <c r="H147" s="65">
        <f t="shared" si="28"/>
        <v>0</v>
      </c>
      <c r="I147" s="66">
        <f t="shared" si="29"/>
        <v>0</v>
      </c>
    </row>
    <row r="148" spans="1:9" x14ac:dyDescent="0.2">
      <c r="A148" s="74" t="s">
        <v>73</v>
      </c>
      <c r="B148" s="61">
        <f t="shared" si="30"/>
        <v>39722</v>
      </c>
      <c r="C148" s="61">
        <v>39813</v>
      </c>
      <c r="D148" s="62">
        <f t="shared" si="31"/>
        <v>92</v>
      </c>
      <c r="E148" s="62">
        <v>8.1300000000000008</v>
      </c>
      <c r="F148" s="82">
        <f>F$117+G$141-SUM(H$139:H147)-SUM(I$139:I147)</f>
        <v>0</v>
      </c>
      <c r="G148" s="65">
        <f>+D148/366*E148/100*F148</f>
        <v>0</v>
      </c>
      <c r="H148" s="65">
        <f t="shared" si="28"/>
        <v>0</v>
      </c>
      <c r="I148" s="66">
        <f t="shared" si="29"/>
        <v>0</v>
      </c>
    </row>
    <row r="149" spans="1:9" ht="13.5" customHeight="1" x14ac:dyDescent="0.2">
      <c r="A149" s="74" t="s">
        <v>81</v>
      </c>
      <c r="B149" s="61">
        <f t="shared" si="30"/>
        <v>39814</v>
      </c>
      <c r="C149" s="61">
        <v>39903</v>
      </c>
      <c r="D149" s="62">
        <f t="shared" si="31"/>
        <v>90</v>
      </c>
      <c r="E149" s="62">
        <v>8.1300000000000008</v>
      </c>
      <c r="F149" s="82">
        <f>F$117+G$141-SUM(H$139:H148)-SUM(I$139:I148)</f>
        <v>0</v>
      </c>
      <c r="G149" s="65">
        <f t="shared" ref="G149:G157" si="32">+D149/365*E149/100*F149</f>
        <v>0</v>
      </c>
      <c r="H149" s="65">
        <f t="shared" si="28"/>
        <v>0</v>
      </c>
      <c r="I149" s="66">
        <f t="shared" si="29"/>
        <v>0</v>
      </c>
    </row>
    <row r="150" spans="1:9" x14ac:dyDescent="0.2">
      <c r="A150" s="74" t="s">
        <v>82</v>
      </c>
      <c r="B150" s="61">
        <f t="shared" si="30"/>
        <v>39904</v>
      </c>
      <c r="C150" s="61">
        <v>39994</v>
      </c>
      <c r="D150" s="62">
        <f t="shared" si="31"/>
        <v>91</v>
      </c>
      <c r="E150" s="62">
        <v>8.1300000000000008</v>
      </c>
      <c r="F150" s="82">
        <f>F$117+G$141-SUM(H$139:H149)-SUM(I$139:I149)</f>
        <v>0</v>
      </c>
      <c r="G150" s="65">
        <f t="shared" si="32"/>
        <v>0</v>
      </c>
      <c r="H150" s="65">
        <f t="shared" si="28"/>
        <v>0</v>
      </c>
      <c r="I150" s="66">
        <f t="shared" si="29"/>
        <v>0</v>
      </c>
    </row>
    <row r="151" spans="1:9" x14ac:dyDescent="0.2">
      <c r="A151" s="74" t="s">
        <v>84</v>
      </c>
      <c r="B151" s="61">
        <f t="shared" si="30"/>
        <v>39995</v>
      </c>
      <c r="C151" s="61">
        <v>40086</v>
      </c>
      <c r="D151" s="62">
        <f t="shared" si="31"/>
        <v>92</v>
      </c>
      <c r="E151" s="62">
        <v>8.1300000000000008</v>
      </c>
      <c r="F151" s="82">
        <f>F$117+G$141-SUM(H$139:H150)-SUM(I$139:I150)</f>
        <v>0</v>
      </c>
      <c r="G151" s="65">
        <f t="shared" si="32"/>
        <v>0</v>
      </c>
      <c r="H151" s="65">
        <f t="shared" si="28"/>
        <v>0</v>
      </c>
      <c r="I151" s="66">
        <f t="shared" si="29"/>
        <v>0</v>
      </c>
    </row>
    <row r="152" spans="1:9" x14ac:dyDescent="0.2">
      <c r="A152" s="74" t="s">
        <v>74</v>
      </c>
      <c r="B152" s="61">
        <f t="shared" si="30"/>
        <v>40087</v>
      </c>
      <c r="C152" s="61">
        <v>40178</v>
      </c>
      <c r="D152" s="62">
        <f t="shared" si="31"/>
        <v>92</v>
      </c>
      <c r="E152" s="62">
        <v>8.1300000000000008</v>
      </c>
      <c r="F152" s="82">
        <f>F$117+G$141-SUM(H$139:H151)-SUM(I$139:I151)</f>
        <v>0</v>
      </c>
      <c r="G152" s="65">
        <f t="shared" si="32"/>
        <v>0</v>
      </c>
      <c r="H152" s="65">
        <f t="shared" si="28"/>
        <v>0</v>
      </c>
      <c r="I152" s="66">
        <f t="shared" si="29"/>
        <v>0</v>
      </c>
    </row>
    <row r="153" spans="1:9" x14ac:dyDescent="0.2">
      <c r="A153" s="74" t="s">
        <v>85</v>
      </c>
      <c r="B153" s="61">
        <f t="shared" si="30"/>
        <v>40179</v>
      </c>
      <c r="C153" s="61">
        <v>40268</v>
      </c>
      <c r="D153" s="62">
        <f t="shared" si="31"/>
        <v>90</v>
      </c>
      <c r="E153" s="62">
        <v>8.1300000000000008</v>
      </c>
      <c r="F153" s="82">
        <f>F$117+G$141-SUM(H$139:H152)-SUM(I$139:I152)</f>
        <v>0</v>
      </c>
      <c r="G153" s="65">
        <f t="shared" si="32"/>
        <v>0</v>
      </c>
      <c r="H153" s="65">
        <f t="shared" si="28"/>
        <v>0</v>
      </c>
      <c r="I153" s="66">
        <f t="shared" si="29"/>
        <v>0</v>
      </c>
    </row>
    <row r="154" spans="1:9" x14ac:dyDescent="0.2">
      <c r="A154" s="74" t="s">
        <v>86</v>
      </c>
      <c r="B154" s="61">
        <f t="shared" si="30"/>
        <v>40269</v>
      </c>
      <c r="C154" s="61">
        <v>40359</v>
      </c>
      <c r="D154" s="62">
        <f t="shared" si="31"/>
        <v>91</v>
      </c>
      <c r="E154" s="62">
        <v>8.1300000000000008</v>
      </c>
      <c r="F154" s="82">
        <f>F$117+G$141-SUM(H$139:H153)-SUM(I$139:I153)</f>
        <v>0</v>
      </c>
      <c r="G154" s="65">
        <f t="shared" si="32"/>
        <v>0</v>
      </c>
      <c r="H154" s="65">
        <f t="shared" si="28"/>
        <v>0</v>
      </c>
      <c r="I154" s="66">
        <f t="shared" si="29"/>
        <v>0</v>
      </c>
    </row>
    <row r="155" spans="1:9" x14ac:dyDescent="0.2">
      <c r="A155" s="74" t="s">
        <v>87</v>
      </c>
      <c r="B155" s="61">
        <f t="shared" si="30"/>
        <v>40360</v>
      </c>
      <c r="C155" s="61">
        <v>40451</v>
      </c>
      <c r="D155" s="62">
        <f t="shared" si="31"/>
        <v>92</v>
      </c>
      <c r="E155" s="62">
        <v>8.1300000000000008</v>
      </c>
      <c r="F155" s="82">
        <f>F$117+G$141-SUM(H$139:H154)-SUM(I$139:I154)</f>
        <v>0</v>
      </c>
      <c r="G155" s="65">
        <f t="shared" si="32"/>
        <v>0</v>
      </c>
      <c r="H155" s="65">
        <f t="shared" si="28"/>
        <v>0</v>
      </c>
      <c r="I155" s="66">
        <f t="shared" si="29"/>
        <v>0</v>
      </c>
    </row>
    <row r="156" spans="1:9" x14ac:dyDescent="0.2">
      <c r="A156" s="74" t="s">
        <v>75</v>
      </c>
      <c r="B156" s="61">
        <f t="shared" si="30"/>
        <v>40452</v>
      </c>
      <c r="C156" s="61">
        <v>40543</v>
      </c>
      <c r="D156" s="62">
        <f t="shared" si="31"/>
        <v>92</v>
      </c>
      <c r="E156" s="62">
        <v>8.1300000000000008</v>
      </c>
      <c r="F156" s="82">
        <f>F$117+G$141-SUM(H$139:H155)-SUM(I$139:I155)</f>
        <v>0</v>
      </c>
      <c r="G156" s="65">
        <f t="shared" si="32"/>
        <v>0</v>
      </c>
      <c r="H156" s="65">
        <f t="shared" si="28"/>
        <v>0</v>
      </c>
      <c r="I156" s="66">
        <f t="shared" si="29"/>
        <v>0</v>
      </c>
    </row>
    <row r="157" spans="1:9" x14ac:dyDescent="0.2">
      <c r="A157" s="75" t="s">
        <v>88</v>
      </c>
      <c r="B157" s="76">
        <f t="shared" si="30"/>
        <v>40544</v>
      </c>
      <c r="C157" s="76">
        <v>40633</v>
      </c>
      <c r="D157" s="77">
        <f t="shared" si="31"/>
        <v>90</v>
      </c>
      <c r="E157" s="77">
        <v>8.1300000000000008</v>
      </c>
      <c r="F157" s="83">
        <f>F$117+G$141-SUM(H$139:H156)-SUM(I$139:I156)</f>
        <v>0</v>
      </c>
      <c r="G157" s="78">
        <f t="shared" si="32"/>
        <v>0</v>
      </c>
      <c r="H157" s="78">
        <v>0</v>
      </c>
      <c r="I157" s="79">
        <v>0</v>
      </c>
    </row>
  </sheetData>
  <customSheetViews>
    <customSheetView guid="{6086CA2F-D319-4FB4-8773-987A9787386E}" scale="75" showRuler="0">
      <selection sqref="A1:IV65536"/>
      <rowBreaks count="3" manualBreakCount="3">
        <brk id="31" max="16383" man="1"/>
        <brk id="59" max="16383" man="1"/>
        <brk id="104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7">
    <mergeCell ref="A114:J114"/>
    <mergeCell ref="E141:F141"/>
    <mergeCell ref="A31:B31"/>
    <mergeCell ref="A33:J33"/>
    <mergeCell ref="A65:J65"/>
    <mergeCell ref="E93:F93"/>
    <mergeCell ref="E43:F4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&amp;C&amp;A&amp;RAttachment 4
WP- Schedule 22
(Based on Aug. 26, 2013 Offer of Settlement)
Page &amp;P of &amp;N</oddHeader>
  </headerFooter>
  <rowBreaks count="3" manualBreakCount="3">
    <brk id="31" max="16383" man="1"/>
    <brk id="64" max="16383" man="1"/>
    <brk id="1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/>
  <dimension ref="A1:Y125"/>
  <sheetViews>
    <sheetView view="pageLayout" topLeftCell="A4" zoomScale="80" zoomScaleNormal="85" zoomScalePageLayoutView="80" workbookViewId="0">
      <selection activeCell="M7" sqref="M7"/>
    </sheetView>
  </sheetViews>
  <sheetFormatPr defaultRowHeight="12.75" x14ac:dyDescent="0.2"/>
  <cols>
    <col min="1" max="1" width="12.5703125" style="21" customWidth="1"/>
    <col min="2" max="2" width="14.5703125" style="21" customWidth="1"/>
    <col min="3" max="5" width="16.7109375" style="21" customWidth="1"/>
    <col min="6" max="6" width="16.85546875" style="21" customWidth="1"/>
    <col min="7" max="7" width="15.5703125" style="21" customWidth="1"/>
    <col min="8" max="11" width="16.85546875" style="21" customWidth="1"/>
    <col min="12" max="12" width="9.140625" style="21"/>
    <col min="13" max="13" width="15.28515625" style="21" bestFit="1" customWidth="1"/>
    <col min="14" max="14" width="12.85546875" style="21" bestFit="1" customWidth="1"/>
    <col min="15" max="15" width="28.7109375" style="21" bestFit="1" customWidth="1"/>
    <col min="16" max="17" width="15.28515625" style="21" bestFit="1" customWidth="1"/>
    <col min="18" max="18" width="14.28515625" style="21" bestFit="1" customWidth="1"/>
    <col min="19" max="19" width="15.28515625" style="21" bestFit="1" customWidth="1"/>
    <col min="20" max="20" width="9.140625" style="21"/>
    <col min="21" max="21" width="19" style="21" bestFit="1" customWidth="1"/>
    <col min="22" max="22" width="14.28515625" style="21" bestFit="1" customWidth="1"/>
    <col min="23" max="23" width="13.5703125" style="21" bestFit="1" customWidth="1"/>
    <col min="24" max="24" width="15.28515625" style="21" bestFit="1" customWidth="1"/>
    <col min="25" max="16384" width="9.140625" style="21"/>
  </cols>
  <sheetData>
    <row r="1" spans="1:24" ht="15" x14ac:dyDescent="0.25">
      <c r="A1" s="1"/>
      <c r="B1" s="1"/>
      <c r="C1" s="229" t="s">
        <v>69</v>
      </c>
      <c r="D1" s="229"/>
      <c r="E1" s="229"/>
      <c r="F1" s="229"/>
      <c r="G1" s="1"/>
      <c r="H1" s="229" t="s">
        <v>71</v>
      </c>
      <c r="I1" s="229"/>
      <c r="J1" s="229"/>
      <c r="K1" s="22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8.25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G2" s="1"/>
      <c r="H2" s="3" t="s">
        <v>5</v>
      </c>
      <c r="I2" s="3" t="s">
        <v>1</v>
      </c>
      <c r="J2" s="3" t="s">
        <v>59</v>
      </c>
      <c r="K2" s="4" t="s">
        <v>0</v>
      </c>
      <c r="L2" s="1"/>
      <c r="M2" s="35"/>
      <c r="N2" s="35"/>
      <c r="O2" s="35"/>
      <c r="P2" s="232" t="s">
        <v>172</v>
      </c>
      <c r="Q2" s="232"/>
      <c r="R2" s="232"/>
      <c r="S2" s="232"/>
      <c r="T2" s="232"/>
      <c r="U2" s="232"/>
      <c r="V2" s="232"/>
      <c r="W2" s="1"/>
      <c r="X2" s="1"/>
    </row>
    <row r="3" spans="1:24" x14ac:dyDescent="0.2">
      <c r="A3" s="32">
        <v>1</v>
      </c>
      <c r="B3" s="10">
        <v>37468</v>
      </c>
      <c r="C3" s="230">
        <v>1302355.06</v>
      </c>
      <c r="D3" s="230">
        <v>273592.33</v>
      </c>
      <c r="E3" s="230">
        <v>0</v>
      </c>
      <c r="F3" s="231">
        <f>SUM(C3:E3)</f>
        <v>1575947.3900000001</v>
      </c>
      <c r="G3" s="1"/>
      <c r="H3" s="220">
        <f>ROUND(C3*0.4175,2)</f>
        <v>543733.24</v>
      </c>
      <c r="I3" s="220">
        <f t="shared" ref="I3:J30" si="0">ROUND(D3*0.4175,2)</f>
        <v>114224.8</v>
      </c>
      <c r="J3" s="220">
        <f t="shared" si="0"/>
        <v>0</v>
      </c>
      <c r="K3" s="231">
        <f t="shared" ref="K3:K30" si="1">SUM(H3:J3)</f>
        <v>657958.04</v>
      </c>
      <c r="L3" s="1"/>
      <c r="M3" s="35"/>
      <c r="N3" s="35"/>
      <c r="O3" s="35"/>
      <c r="P3" s="35"/>
      <c r="Q3" s="35"/>
      <c r="R3" s="35"/>
      <c r="S3" s="35"/>
      <c r="T3" s="35"/>
      <c r="U3" s="35"/>
      <c r="V3" s="35"/>
      <c r="W3" s="1"/>
      <c r="X3" s="1"/>
    </row>
    <row r="4" spans="1:24" x14ac:dyDescent="0.2">
      <c r="A4" s="32">
        <f>+A3+1</f>
        <v>2</v>
      </c>
      <c r="B4" s="10">
        <v>37468</v>
      </c>
      <c r="C4" s="230">
        <v>1596486.08</v>
      </c>
      <c r="D4" s="230">
        <v>335381.92</v>
      </c>
      <c r="E4" s="230">
        <v>0</v>
      </c>
      <c r="F4" s="231">
        <f>SUM(C4:E4)</f>
        <v>1931868</v>
      </c>
      <c r="G4" s="1"/>
      <c r="H4" s="220">
        <f t="shared" ref="H4:H31" si="2">ROUND(C4*0.4175,2)</f>
        <v>666532.93999999994</v>
      </c>
      <c r="I4" s="220">
        <f t="shared" si="0"/>
        <v>140021.95000000001</v>
      </c>
      <c r="J4" s="220">
        <f t="shared" si="0"/>
        <v>0</v>
      </c>
      <c r="K4" s="231">
        <f t="shared" si="1"/>
        <v>806554.8899999999</v>
      </c>
      <c r="L4" s="1"/>
      <c r="M4" s="35"/>
      <c r="N4" s="35"/>
      <c r="O4" s="35"/>
      <c r="P4" s="35"/>
      <c r="Q4" s="35">
        <v>11</v>
      </c>
      <c r="R4" s="35">
        <v>9</v>
      </c>
      <c r="S4" s="35"/>
      <c r="T4" s="35"/>
      <c r="U4" s="35"/>
      <c r="V4" s="35"/>
      <c r="W4" s="1"/>
      <c r="X4" s="1"/>
    </row>
    <row r="5" spans="1:24" x14ac:dyDescent="0.2">
      <c r="A5" s="32">
        <f t="shared" ref="A5:A24" si="3">+A4+1</f>
        <v>3</v>
      </c>
      <c r="B5" s="10">
        <v>37498</v>
      </c>
      <c r="C5" s="230">
        <v>1848614.24</v>
      </c>
      <c r="D5" s="230">
        <v>388347.73</v>
      </c>
      <c r="E5" s="230">
        <v>0</v>
      </c>
      <c r="F5" s="231">
        <f>SUM(C5:E5)</f>
        <v>2236961.9699999997</v>
      </c>
      <c r="G5" s="1"/>
      <c r="H5" s="220">
        <f t="shared" si="2"/>
        <v>771796.45</v>
      </c>
      <c r="I5" s="220">
        <f t="shared" si="0"/>
        <v>162135.18</v>
      </c>
      <c r="J5" s="220">
        <f t="shared" si="0"/>
        <v>0</v>
      </c>
      <c r="K5" s="231">
        <f t="shared" si="1"/>
        <v>933931.62999999989</v>
      </c>
      <c r="L5" s="1"/>
      <c r="M5" s="35"/>
      <c r="N5" s="35"/>
      <c r="O5" s="35"/>
      <c r="P5" s="35" t="s">
        <v>173</v>
      </c>
      <c r="Q5" s="318">
        <v>13718.2</v>
      </c>
      <c r="R5" s="318">
        <v>12251.27</v>
      </c>
      <c r="S5" s="35"/>
      <c r="T5" s="35"/>
      <c r="U5" s="318">
        <v>261161.66</v>
      </c>
      <c r="V5" s="233">
        <v>-13202.39</v>
      </c>
      <c r="W5" s="1"/>
      <c r="X5" s="1"/>
    </row>
    <row r="6" spans="1:24" x14ac:dyDescent="0.2">
      <c r="A6" s="32">
        <f t="shared" si="3"/>
        <v>4</v>
      </c>
      <c r="B6" s="10">
        <v>37537</v>
      </c>
      <c r="C6" s="230">
        <v>1770701.71</v>
      </c>
      <c r="D6" s="230">
        <v>371980.28</v>
      </c>
      <c r="E6" s="230">
        <v>0</v>
      </c>
      <c r="F6" s="231">
        <f t="shared" ref="F6:F30" si="4">SUM(C6:E6)</f>
        <v>2142681.9900000002</v>
      </c>
      <c r="G6" s="1"/>
      <c r="H6" s="220">
        <f t="shared" si="2"/>
        <v>739267.96</v>
      </c>
      <c r="I6" s="220">
        <f t="shared" si="0"/>
        <v>155301.76999999999</v>
      </c>
      <c r="J6" s="220">
        <f t="shared" si="0"/>
        <v>0</v>
      </c>
      <c r="K6" s="231">
        <f t="shared" si="1"/>
        <v>894569.73</v>
      </c>
      <c r="L6" s="1"/>
      <c r="M6" s="35"/>
      <c r="N6" s="35"/>
      <c r="O6" s="35"/>
      <c r="P6" s="35" t="s">
        <v>141</v>
      </c>
      <c r="Q6" s="318">
        <v>126226.65</v>
      </c>
      <c r="R6" s="318">
        <v>112728.82</v>
      </c>
      <c r="S6" s="35"/>
      <c r="T6" s="35"/>
      <c r="U6" s="318">
        <v>2403052.5699999998</v>
      </c>
      <c r="V6" s="233">
        <v>-121480.43</v>
      </c>
      <c r="W6" s="1"/>
      <c r="X6" s="1"/>
    </row>
    <row r="7" spans="1:24" x14ac:dyDescent="0.2">
      <c r="A7" s="32">
        <f t="shared" si="3"/>
        <v>5</v>
      </c>
      <c r="B7" s="10">
        <v>37619</v>
      </c>
      <c r="C7" s="230">
        <v>0</v>
      </c>
      <c r="D7" s="230">
        <v>874487.74</v>
      </c>
      <c r="E7" s="230">
        <v>0</v>
      </c>
      <c r="F7" s="231">
        <f t="shared" si="4"/>
        <v>874487.74</v>
      </c>
      <c r="G7" s="1"/>
      <c r="H7" s="220">
        <f t="shared" si="2"/>
        <v>0</v>
      </c>
      <c r="I7" s="220">
        <f t="shared" si="0"/>
        <v>365098.63</v>
      </c>
      <c r="J7" s="220">
        <f t="shared" si="0"/>
        <v>0</v>
      </c>
      <c r="K7" s="231">
        <f t="shared" si="1"/>
        <v>365098.63</v>
      </c>
      <c r="L7" s="1"/>
      <c r="M7" s="35"/>
      <c r="N7" s="35"/>
      <c r="O7" s="35"/>
      <c r="P7" s="35" t="s">
        <v>174</v>
      </c>
      <c r="Q7" s="318">
        <v>51825.46</v>
      </c>
      <c r="R7" s="318">
        <v>46283.6</v>
      </c>
      <c r="S7" s="35"/>
      <c r="T7" s="35"/>
      <c r="U7" s="318">
        <v>986632.33</v>
      </c>
      <c r="V7" s="233">
        <v>-47876.78</v>
      </c>
      <c r="W7" s="1"/>
      <c r="X7" s="1"/>
    </row>
    <row r="8" spans="1:24" x14ac:dyDescent="0.2">
      <c r="A8" s="32">
        <f t="shared" si="3"/>
        <v>6</v>
      </c>
      <c r="B8" s="10">
        <v>37673</v>
      </c>
      <c r="C8" s="230">
        <v>-4456459.05</v>
      </c>
      <c r="D8" s="230">
        <v>-936190.94</v>
      </c>
      <c r="E8" s="230">
        <v>0</v>
      </c>
      <c r="F8" s="231">
        <f t="shared" si="4"/>
        <v>-5392649.9900000002</v>
      </c>
      <c r="G8" s="1"/>
      <c r="H8" s="220">
        <f t="shared" si="2"/>
        <v>-1860571.65</v>
      </c>
      <c r="I8" s="220">
        <f t="shared" si="0"/>
        <v>-390859.72</v>
      </c>
      <c r="J8" s="220">
        <f t="shared" si="0"/>
        <v>0</v>
      </c>
      <c r="K8" s="231">
        <f t="shared" si="1"/>
        <v>-2251431.37</v>
      </c>
      <c r="L8" s="1"/>
      <c r="M8" s="35"/>
      <c r="N8" s="35"/>
      <c r="O8" s="35"/>
      <c r="P8" s="35" t="s">
        <v>175</v>
      </c>
      <c r="Q8" s="318">
        <v>28834.34</v>
      </c>
      <c r="R8" s="318">
        <v>25750.99</v>
      </c>
      <c r="S8" s="35"/>
      <c r="T8" s="35"/>
      <c r="U8" s="233">
        <v>548936.64</v>
      </c>
      <c r="V8" s="233">
        <v>-27750.15</v>
      </c>
      <c r="W8" s="1"/>
      <c r="X8" s="1"/>
    </row>
    <row r="9" spans="1:24" x14ac:dyDescent="0.2">
      <c r="A9" s="32">
        <f t="shared" si="3"/>
        <v>7</v>
      </c>
      <c r="B9" s="10">
        <v>37768</v>
      </c>
      <c r="C9" s="230">
        <v>-172067.84</v>
      </c>
      <c r="D9" s="230">
        <v>-36147.17</v>
      </c>
      <c r="E9" s="230">
        <v>0</v>
      </c>
      <c r="F9" s="231">
        <f t="shared" si="4"/>
        <v>-208215.01</v>
      </c>
      <c r="G9" s="1"/>
      <c r="H9" s="220">
        <f t="shared" si="2"/>
        <v>-71838.320000000007</v>
      </c>
      <c r="I9" s="220">
        <f t="shared" si="0"/>
        <v>-15091.44</v>
      </c>
      <c r="J9" s="220">
        <f t="shared" si="0"/>
        <v>0</v>
      </c>
      <c r="K9" s="231">
        <f t="shared" si="1"/>
        <v>-86929.760000000009</v>
      </c>
      <c r="L9" s="1"/>
      <c r="M9" s="35"/>
      <c r="N9" s="35"/>
      <c r="O9" s="35"/>
      <c r="P9" s="35" t="s">
        <v>176</v>
      </c>
      <c r="Q9" s="318">
        <v>86503.02</v>
      </c>
      <c r="R9" s="318">
        <v>77252.97</v>
      </c>
      <c r="S9" s="35"/>
      <c r="T9" s="35"/>
      <c r="U9" s="233">
        <v>1646809.96</v>
      </c>
      <c r="V9" s="233">
        <v>-83250.44</v>
      </c>
      <c r="W9" s="1"/>
      <c r="X9" s="1"/>
    </row>
    <row r="10" spans="1:24" x14ac:dyDescent="0.2">
      <c r="A10" s="32">
        <f t="shared" si="3"/>
        <v>8</v>
      </c>
      <c r="B10" s="10">
        <v>37824</v>
      </c>
      <c r="C10" s="230">
        <v>-12261.84</v>
      </c>
      <c r="D10" s="230">
        <v>-2575.91</v>
      </c>
      <c r="E10" s="230">
        <v>0</v>
      </c>
      <c r="F10" s="231">
        <f t="shared" si="4"/>
        <v>-14837.75</v>
      </c>
      <c r="G10" s="1"/>
      <c r="H10" s="220">
        <f t="shared" si="2"/>
        <v>-5119.32</v>
      </c>
      <c r="I10" s="220">
        <f t="shared" si="0"/>
        <v>-1075.44</v>
      </c>
      <c r="J10" s="220">
        <f t="shared" si="0"/>
        <v>0</v>
      </c>
      <c r="K10" s="231">
        <f t="shared" si="1"/>
        <v>-6194.76</v>
      </c>
      <c r="L10" s="1"/>
      <c r="M10" s="35"/>
      <c r="N10" s="35"/>
      <c r="O10" s="35"/>
      <c r="P10" s="35" t="s">
        <v>177</v>
      </c>
      <c r="Q10" s="318">
        <v>261623.84</v>
      </c>
      <c r="R10" s="318">
        <v>233647.55</v>
      </c>
      <c r="S10" s="35"/>
      <c r="T10" s="35"/>
      <c r="U10" s="233">
        <v>4980690.16</v>
      </c>
      <c r="V10" s="233">
        <v>-251786.57</v>
      </c>
      <c r="W10" s="1"/>
      <c r="X10" s="1"/>
    </row>
    <row r="11" spans="1:24" x14ac:dyDescent="0.2">
      <c r="A11" s="32">
        <f t="shared" si="3"/>
        <v>9</v>
      </c>
      <c r="B11" s="10">
        <v>37867</v>
      </c>
      <c r="C11" s="230">
        <v>727734.95</v>
      </c>
      <c r="D11" s="230">
        <v>124568.05</v>
      </c>
      <c r="E11" s="230">
        <v>0</v>
      </c>
      <c r="F11" s="231">
        <f t="shared" si="4"/>
        <v>852303</v>
      </c>
      <c r="G11" s="1"/>
      <c r="H11" s="220">
        <f t="shared" si="2"/>
        <v>303829.34000000003</v>
      </c>
      <c r="I11" s="220">
        <f t="shared" si="0"/>
        <v>52007.16</v>
      </c>
      <c r="J11" s="220">
        <f t="shared" si="0"/>
        <v>0</v>
      </c>
      <c r="K11" s="231">
        <f t="shared" si="1"/>
        <v>355836.5</v>
      </c>
      <c r="L11" s="1"/>
      <c r="M11" s="35"/>
      <c r="N11" s="35"/>
      <c r="O11" s="35"/>
      <c r="P11" s="35"/>
      <c r="Q11" s="318"/>
      <c r="R11" s="318"/>
      <c r="S11" s="35"/>
      <c r="T11" s="35"/>
      <c r="U11" s="35"/>
      <c r="V11" s="35"/>
      <c r="W11" s="1"/>
      <c r="X11" s="1"/>
    </row>
    <row r="12" spans="1:24" x14ac:dyDescent="0.2">
      <c r="A12" s="32">
        <f t="shared" si="3"/>
        <v>10</v>
      </c>
      <c r="B12" s="10">
        <v>38343</v>
      </c>
      <c r="C12" s="230">
        <v>1652235.14</v>
      </c>
      <c r="D12" s="230">
        <v>282816.84999999998</v>
      </c>
      <c r="E12" s="230">
        <v>0</v>
      </c>
      <c r="F12" s="231">
        <f t="shared" si="4"/>
        <v>1935051.9899999998</v>
      </c>
      <c r="G12" s="1"/>
      <c r="H12" s="220">
        <f t="shared" si="2"/>
        <v>689808.17</v>
      </c>
      <c r="I12" s="220">
        <f t="shared" si="0"/>
        <v>118076.03</v>
      </c>
      <c r="J12" s="220">
        <f t="shared" si="0"/>
        <v>0</v>
      </c>
      <c r="K12" s="231">
        <f t="shared" si="1"/>
        <v>807884.20000000007</v>
      </c>
      <c r="L12" s="1"/>
      <c r="M12" s="35"/>
      <c r="N12" s="35"/>
      <c r="O12" s="35"/>
      <c r="P12" s="35"/>
      <c r="Q12" s="318">
        <f>SUM(Q5:Q10)*Q4</f>
        <v>6256046.6100000003</v>
      </c>
      <c r="R12" s="318">
        <f>SUM(R5:R10)*R4</f>
        <v>4571236.8</v>
      </c>
      <c r="S12" s="158">
        <f>SUM(Q12:R12)</f>
        <v>10827283.41</v>
      </c>
      <c r="T12" s="158"/>
      <c r="U12" s="158">
        <f>SUM(U5:U10)</f>
        <v>10827283.32</v>
      </c>
      <c r="V12" s="158">
        <f>SUM(V5:V10)</f>
        <v>-545346.76</v>
      </c>
      <c r="W12" s="1"/>
      <c r="X12" s="1"/>
    </row>
    <row r="13" spans="1:24" x14ac:dyDescent="0.2">
      <c r="A13" s="32">
        <f t="shared" si="3"/>
        <v>11</v>
      </c>
      <c r="B13" s="10">
        <v>38413</v>
      </c>
      <c r="C13" s="230">
        <v>4528198.18</v>
      </c>
      <c r="D13" s="230">
        <v>1233116.82</v>
      </c>
      <c r="E13" s="230">
        <v>0</v>
      </c>
      <c r="F13" s="231">
        <f t="shared" si="4"/>
        <v>5761315</v>
      </c>
      <c r="G13" s="1"/>
      <c r="H13" s="220">
        <f t="shared" si="2"/>
        <v>1890522.74</v>
      </c>
      <c r="I13" s="220">
        <f t="shared" si="0"/>
        <v>514826.27</v>
      </c>
      <c r="J13" s="220">
        <f t="shared" si="0"/>
        <v>0</v>
      </c>
      <c r="K13" s="231">
        <f t="shared" si="1"/>
        <v>2405349.0099999998</v>
      </c>
      <c r="L13" s="1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1"/>
      <c r="X13" s="1"/>
    </row>
    <row r="14" spans="1:24" x14ac:dyDescent="0.2">
      <c r="A14" s="32">
        <f t="shared" si="3"/>
        <v>12</v>
      </c>
      <c r="B14" s="10">
        <v>38435</v>
      </c>
      <c r="C14" s="230">
        <v>303137.69</v>
      </c>
      <c r="D14" s="230">
        <v>82550.31</v>
      </c>
      <c r="E14" s="230">
        <v>0</v>
      </c>
      <c r="F14" s="231">
        <f t="shared" si="4"/>
        <v>385688</v>
      </c>
      <c r="G14" s="1"/>
      <c r="H14" s="220">
        <f t="shared" si="2"/>
        <v>126559.99</v>
      </c>
      <c r="I14" s="220">
        <f t="shared" si="0"/>
        <v>34464.75</v>
      </c>
      <c r="J14" s="220">
        <f t="shared" si="0"/>
        <v>0</v>
      </c>
      <c r="K14" s="231">
        <f t="shared" si="1"/>
        <v>161024.74</v>
      </c>
      <c r="L14" s="1"/>
      <c r="M14" s="35"/>
      <c r="N14" s="35"/>
      <c r="O14" s="35"/>
      <c r="P14" s="35">
        <v>1</v>
      </c>
      <c r="Q14" s="318">
        <f>Q12/Q4</f>
        <v>568731.51</v>
      </c>
      <c r="R14" s="35"/>
      <c r="S14" s="35"/>
      <c r="T14" s="35"/>
      <c r="U14" s="35"/>
      <c r="V14" s="35"/>
      <c r="W14" s="1"/>
      <c r="X14" s="1"/>
    </row>
    <row r="15" spans="1:24" x14ac:dyDescent="0.2">
      <c r="A15" s="32">
        <f t="shared" si="3"/>
        <v>13</v>
      </c>
      <c r="B15" s="10">
        <v>38447</v>
      </c>
      <c r="C15" s="230">
        <v>303137.69</v>
      </c>
      <c r="D15" s="230">
        <v>82550.31</v>
      </c>
      <c r="E15" s="230">
        <v>0</v>
      </c>
      <c r="F15" s="231">
        <f t="shared" si="4"/>
        <v>385688</v>
      </c>
      <c r="G15" s="1"/>
      <c r="H15" s="220">
        <f t="shared" si="2"/>
        <v>126559.99</v>
      </c>
      <c r="I15" s="220">
        <f t="shared" si="0"/>
        <v>34464.75</v>
      </c>
      <c r="J15" s="220">
        <f t="shared" si="0"/>
        <v>0</v>
      </c>
      <c r="K15" s="231">
        <f t="shared" si="1"/>
        <v>161024.74</v>
      </c>
      <c r="L15" s="1"/>
      <c r="M15" s="35"/>
      <c r="N15" s="35"/>
      <c r="O15" s="35"/>
      <c r="P15" s="35">
        <v>2</v>
      </c>
      <c r="Q15" s="318">
        <f>Q14</f>
        <v>568731.51</v>
      </c>
      <c r="R15" s="35"/>
      <c r="S15" s="35"/>
      <c r="T15" s="35"/>
      <c r="U15" s="35"/>
      <c r="V15" s="158"/>
      <c r="W15" s="1"/>
      <c r="X15" s="1"/>
    </row>
    <row r="16" spans="1:24" x14ac:dyDescent="0.2">
      <c r="A16" s="32">
        <f t="shared" si="3"/>
        <v>14</v>
      </c>
      <c r="B16" s="10">
        <v>38470</v>
      </c>
      <c r="C16" s="230">
        <v>1174675.83</v>
      </c>
      <c r="D16" s="230">
        <v>319887.18</v>
      </c>
      <c r="E16" s="230">
        <v>0</v>
      </c>
      <c r="F16" s="231">
        <f t="shared" si="4"/>
        <v>1494563.01</v>
      </c>
      <c r="G16" s="1"/>
      <c r="H16" s="220">
        <f t="shared" si="2"/>
        <v>490427.16</v>
      </c>
      <c r="I16" s="220">
        <f t="shared" si="0"/>
        <v>133552.9</v>
      </c>
      <c r="J16" s="220">
        <f t="shared" si="0"/>
        <v>0</v>
      </c>
      <c r="K16" s="231">
        <f t="shared" si="1"/>
        <v>623980.05999999994</v>
      </c>
      <c r="L16" s="1"/>
      <c r="M16" s="35"/>
      <c r="N16" s="35"/>
      <c r="O16" s="35"/>
      <c r="P16" s="35">
        <v>3</v>
      </c>
      <c r="Q16" s="318">
        <f t="shared" ref="Q16:Q24" si="5">Q15</f>
        <v>568731.51</v>
      </c>
      <c r="R16" s="35"/>
      <c r="S16" s="35"/>
      <c r="T16" s="35"/>
      <c r="U16" s="35"/>
      <c r="V16" s="35"/>
      <c r="W16" s="1"/>
      <c r="X16" s="1"/>
    </row>
    <row r="17" spans="1:24" x14ac:dyDescent="0.2">
      <c r="A17" s="32">
        <f t="shared" si="3"/>
        <v>15</v>
      </c>
      <c r="B17" s="10">
        <v>38485</v>
      </c>
      <c r="C17" s="230">
        <v>1174675.83</v>
      </c>
      <c r="D17" s="230">
        <v>319887.18</v>
      </c>
      <c r="E17" s="230">
        <v>0</v>
      </c>
      <c r="F17" s="231">
        <f t="shared" si="4"/>
        <v>1494563.01</v>
      </c>
      <c r="G17" s="1"/>
      <c r="H17" s="220">
        <f t="shared" si="2"/>
        <v>490427.16</v>
      </c>
      <c r="I17" s="220">
        <f t="shared" si="0"/>
        <v>133552.9</v>
      </c>
      <c r="J17" s="220">
        <f t="shared" si="0"/>
        <v>0</v>
      </c>
      <c r="K17" s="231">
        <f t="shared" si="1"/>
        <v>623980.05999999994</v>
      </c>
      <c r="L17" s="1"/>
      <c r="M17" s="35"/>
      <c r="N17" s="35"/>
      <c r="O17" s="35"/>
      <c r="P17" s="35">
        <v>4</v>
      </c>
      <c r="Q17" s="318">
        <f t="shared" si="5"/>
        <v>568731.51</v>
      </c>
      <c r="R17" s="35"/>
      <c r="S17" s="35"/>
      <c r="T17" s="35"/>
      <c r="U17" s="35"/>
      <c r="V17" s="35"/>
      <c r="W17" s="1"/>
      <c r="X17" s="1"/>
    </row>
    <row r="18" spans="1:24" x14ac:dyDescent="0.2">
      <c r="A18" s="32">
        <f t="shared" si="3"/>
        <v>16</v>
      </c>
      <c r="B18" s="10">
        <v>38498</v>
      </c>
      <c r="C18" s="230">
        <v>576058.91</v>
      </c>
      <c r="D18" s="230">
        <v>156872.1</v>
      </c>
      <c r="E18" s="230">
        <v>0</v>
      </c>
      <c r="F18" s="231">
        <f t="shared" si="4"/>
        <v>732931.01</v>
      </c>
      <c r="G18" s="1"/>
      <c r="H18" s="220">
        <f t="shared" si="2"/>
        <v>240504.59</v>
      </c>
      <c r="I18" s="220">
        <f t="shared" si="0"/>
        <v>65494.1</v>
      </c>
      <c r="J18" s="220">
        <f t="shared" si="0"/>
        <v>0</v>
      </c>
      <c r="K18" s="231">
        <f t="shared" si="1"/>
        <v>305998.69</v>
      </c>
      <c r="L18" s="1"/>
      <c r="M18" s="35"/>
      <c r="N18" s="35"/>
      <c r="O18" s="35"/>
      <c r="P18" s="35">
        <v>5</v>
      </c>
      <c r="Q18" s="318">
        <f t="shared" si="5"/>
        <v>568731.51</v>
      </c>
      <c r="R18" s="35"/>
      <c r="S18" s="35"/>
      <c r="T18" s="35"/>
      <c r="U18" s="35"/>
      <c r="V18" s="35"/>
      <c r="W18" s="1"/>
      <c r="X18" s="1"/>
    </row>
    <row r="19" spans="1:24" x14ac:dyDescent="0.2">
      <c r="A19" s="32">
        <f t="shared" si="3"/>
        <v>17</v>
      </c>
      <c r="B19" s="10">
        <v>38504</v>
      </c>
      <c r="C19" s="230">
        <v>576058.91</v>
      </c>
      <c r="D19" s="230">
        <v>156872.1</v>
      </c>
      <c r="E19" s="230">
        <v>0</v>
      </c>
      <c r="F19" s="231">
        <f t="shared" si="4"/>
        <v>732931.01</v>
      </c>
      <c r="G19" s="1"/>
      <c r="H19" s="220">
        <f t="shared" si="2"/>
        <v>240504.59</v>
      </c>
      <c r="I19" s="220">
        <f t="shared" si="0"/>
        <v>65494.1</v>
      </c>
      <c r="J19" s="220">
        <f t="shared" si="0"/>
        <v>0</v>
      </c>
      <c r="K19" s="231">
        <f t="shared" si="1"/>
        <v>305998.69</v>
      </c>
      <c r="L19" s="1"/>
      <c r="M19" s="35"/>
      <c r="N19" s="35"/>
      <c r="O19" s="35"/>
      <c r="P19" s="35">
        <v>6</v>
      </c>
      <c r="Q19" s="318">
        <f t="shared" si="5"/>
        <v>568731.51</v>
      </c>
      <c r="R19" s="35"/>
      <c r="S19" s="35"/>
      <c r="T19" s="35"/>
      <c r="U19" s="35"/>
      <c r="V19" s="35"/>
      <c r="W19" s="1"/>
      <c r="X19" s="1"/>
    </row>
    <row r="20" spans="1:24" x14ac:dyDescent="0.2">
      <c r="A20" s="32">
        <f t="shared" si="3"/>
        <v>18</v>
      </c>
      <c r="B20" s="10">
        <v>38520</v>
      </c>
      <c r="C20" s="230">
        <v>-1750734.73</v>
      </c>
      <c r="D20" s="230">
        <v>-476759.27</v>
      </c>
      <c r="E20" s="230">
        <v>0</v>
      </c>
      <c r="F20" s="231">
        <f t="shared" si="4"/>
        <v>-2227494</v>
      </c>
      <c r="G20" s="1"/>
      <c r="H20" s="220">
        <f t="shared" si="2"/>
        <v>-730931.75</v>
      </c>
      <c r="I20" s="220">
        <f t="shared" si="0"/>
        <v>-199047</v>
      </c>
      <c r="J20" s="220">
        <f t="shared" si="0"/>
        <v>0</v>
      </c>
      <c r="K20" s="231">
        <f t="shared" si="1"/>
        <v>-929978.75</v>
      </c>
      <c r="L20" s="1"/>
      <c r="M20" s="35"/>
      <c r="N20" s="35"/>
      <c r="O20" s="35"/>
      <c r="P20" s="35">
        <v>7</v>
      </c>
      <c r="Q20" s="318">
        <f t="shared" si="5"/>
        <v>568731.51</v>
      </c>
      <c r="R20" s="35"/>
      <c r="S20" s="35"/>
      <c r="T20" s="35"/>
      <c r="U20" s="35"/>
      <c r="V20" s="35"/>
      <c r="W20" s="1"/>
      <c r="X20" s="1"/>
    </row>
    <row r="21" spans="1:24" x14ac:dyDescent="0.2">
      <c r="A21" s="32">
        <f t="shared" si="3"/>
        <v>19</v>
      </c>
      <c r="B21" s="10">
        <v>38539</v>
      </c>
      <c r="C21" s="230">
        <v>380732.19</v>
      </c>
      <c r="D21" s="230">
        <v>103680.82</v>
      </c>
      <c r="E21" s="230">
        <v>0</v>
      </c>
      <c r="F21" s="231">
        <f t="shared" si="4"/>
        <v>484413.01</v>
      </c>
      <c r="G21" s="1"/>
      <c r="H21" s="220">
        <f t="shared" si="2"/>
        <v>158955.69</v>
      </c>
      <c r="I21" s="220">
        <f t="shared" si="0"/>
        <v>43286.74</v>
      </c>
      <c r="J21" s="220">
        <f t="shared" si="0"/>
        <v>0</v>
      </c>
      <c r="K21" s="231">
        <f t="shared" si="1"/>
        <v>202242.43</v>
      </c>
      <c r="L21" s="1"/>
      <c r="M21" s="319"/>
      <c r="N21" s="319"/>
      <c r="O21" s="319"/>
      <c r="P21" s="35">
        <v>8</v>
      </c>
      <c r="Q21" s="318">
        <f t="shared" si="5"/>
        <v>568731.51</v>
      </c>
      <c r="R21" s="35"/>
      <c r="S21" s="35"/>
      <c r="T21" s="35"/>
      <c r="U21" s="35"/>
      <c r="V21" s="35"/>
      <c r="W21" s="1"/>
      <c r="X21" s="1"/>
    </row>
    <row r="22" spans="1:24" x14ac:dyDescent="0.2">
      <c r="A22" s="32">
        <f t="shared" si="3"/>
        <v>20</v>
      </c>
      <c r="B22" s="10">
        <v>38562</v>
      </c>
      <c r="C22" s="230">
        <v>0</v>
      </c>
      <c r="D22" s="230">
        <v>1139884.8999999999</v>
      </c>
      <c r="E22" s="230">
        <v>0</v>
      </c>
      <c r="F22" s="231">
        <f t="shared" si="4"/>
        <v>1139884.8999999999</v>
      </c>
      <c r="G22" s="1"/>
      <c r="H22" s="220">
        <f t="shared" si="2"/>
        <v>0</v>
      </c>
      <c r="I22" s="220">
        <f t="shared" si="0"/>
        <v>475901.95</v>
      </c>
      <c r="J22" s="220">
        <f t="shared" si="0"/>
        <v>0</v>
      </c>
      <c r="K22" s="231">
        <f t="shared" si="1"/>
        <v>475901.95</v>
      </c>
      <c r="L22" s="1"/>
      <c r="M22" s="319"/>
      <c r="N22" s="319"/>
      <c r="O22" s="319"/>
      <c r="P22" s="35">
        <v>9</v>
      </c>
      <c r="Q22" s="318">
        <f t="shared" si="5"/>
        <v>568731.51</v>
      </c>
      <c r="R22" s="35"/>
      <c r="S22" s="35"/>
      <c r="T22" s="35"/>
      <c r="U22" s="35"/>
      <c r="V22" s="35"/>
      <c r="W22" s="1"/>
      <c r="X22" s="1"/>
    </row>
    <row r="23" spans="1:24" x14ac:dyDescent="0.2">
      <c r="A23" s="32">
        <f t="shared" si="3"/>
        <v>21</v>
      </c>
      <c r="B23" s="10">
        <v>38565</v>
      </c>
      <c r="C23" s="230">
        <v>278059.08</v>
      </c>
      <c r="D23" s="230">
        <v>75720.92</v>
      </c>
      <c r="E23" s="230">
        <v>0</v>
      </c>
      <c r="F23" s="231">
        <f t="shared" si="4"/>
        <v>353780</v>
      </c>
      <c r="G23" s="1"/>
      <c r="H23" s="220">
        <f t="shared" si="2"/>
        <v>116089.67</v>
      </c>
      <c r="I23" s="220">
        <f t="shared" si="0"/>
        <v>31613.48</v>
      </c>
      <c r="J23" s="220">
        <f t="shared" si="0"/>
        <v>0</v>
      </c>
      <c r="K23" s="231">
        <f t="shared" si="1"/>
        <v>147703.15</v>
      </c>
      <c r="L23" s="1"/>
      <c r="M23" s="319"/>
      <c r="N23" s="319"/>
      <c r="O23" s="319"/>
      <c r="P23" s="35">
        <v>10</v>
      </c>
      <c r="Q23" s="318">
        <f t="shared" si="5"/>
        <v>568731.51</v>
      </c>
      <c r="R23" s="35"/>
      <c r="S23" s="35"/>
      <c r="T23" s="35"/>
      <c r="U23" s="35"/>
      <c r="V23" s="35"/>
      <c r="W23" s="1"/>
      <c r="X23" s="1"/>
    </row>
    <row r="24" spans="1:24" x14ac:dyDescent="0.2">
      <c r="A24" s="32">
        <f t="shared" si="3"/>
        <v>22</v>
      </c>
      <c r="B24" s="10">
        <v>38603</v>
      </c>
      <c r="C24" s="230">
        <v>280427.98</v>
      </c>
      <c r="D24" s="230">
        <v>76366.009999999995</v>
      </c>
      <c r="E24" s="230">
        <v>0</v>
      </c>
      <c r="F24" s="231">
        <f t="shared" si="4"/>
        <v>356793.99</v>
      </c>
      <c r="G24" s="1"/>
      <c r="H24" s="220">
        <f t="shared" si="2"/>
        <v>117078.68</v>
      </c>
      <c r="I24" s="220">
        <f t="shared" si="0"/>
        <v>31882.81</v>
      </c>
      <c r="J24" s="220">
        <f t="shared" si="0"/>
        <v>0</v>
      </c>
      <c r="K24" s="231">
        <f t="shared" si="1"/>
        <v>148961.49</v>
      </c>
      <c r="L24" s="1"/>
      <c r="M24" s="319"/>
      <c r="N24" s="319"/>
      <c r="O24" s="319"/>
      <c r="P24" s="35">
        <v>11</v>
      </c>
      <c r="Q24" s="318">
        <f t="shared" si="5"/>
        <v>568731.51</v>
      </c>
      <c r="R24" s="35"/>
      <c r="S24" s="35"/>
      <c r="T24" s="35"/>
      <c r="U24" s="35"/>
      <c r="V24" s="35"/>
      <c r="W24" s="1"/>
      <c r="X24" s="1"/>
    </row>
    <row r="25" spans="1:24" x14ac:dyDescent="0.2">
      <c r="A25" s="32">
        <v>23</v>
      </c>
      <c r="B25" s="10">
        <v>38630</v>
      </c>
      <c r="C25" s="230">
        <v>4835453.54</v>
      </c>
      <c r="D25" s="230">
        <v>1316788.46</v>
      </c>
      <c r="E25" s="230">
        <v>0</v>
      </c>
      <c r="F25" s="231">
        <f>SUM(C25:E25)</f>
        <v>6152242</v>
      </c>
      <c r="G25" s="1"/>
      <c r="H25" s="220">
        <f t="shared" si="2"/>
        <v>2018801.85</v>
      </c>
      <c r="I25" s="220">
        <f t="shared" si="0"/>
        <v>549759.18000000005</v>
      </c>
      <c r="J25" s="220">
        <f t="shared" si="0"/>
        <v>0</v>
      </c>
      <c r="K25" s="231">
        <f>SUM(H25:J25)</f>
        <v>2568561.0300000003</v>
      </c>
      <c r="L25" s="1"/>
      <c r="M25" s="319"/>
      <c r="N25" s="319"/>
      <c r="O25" s="319"/>
      <c r="P25" s="35">
        <v>12</v>
      </c>
      <c r="Q25" s="318">
        <f>R12/R4</f>
        <v>507915.19999999995</v>
      </c>
      <c r="R25" s="35"/>
      <c r="S25" s="35"/>
      <c r="T25" s="35"/>
      <c r="U25" s="35"/>
      <c r="V25" s="35"/>
      <c r="W25" s="1"/>
      <c r="X25" s="1"/>
    </row>
    <row r="26" spans="1:24" x14ac:dyDescent="0.2">
      <c r="A26" s="32">
        <v>24</v>
      </c>
      <c r="B26" s="10">
        <v>38657</v>
      </c>
      <c r="C26" s="230">
        <v>7924624.0599999996</v>
      </c>
      <c r="D26" s="230">
        <v>2158029.94</v>
      </c>
      <c r="E26" s="230">
        <v>0</v>
      </c>
      <c r="F26" s="231">
        <f>SUM(C26:E26)</f>
        <v>10082654</v>
      </c>
      <c r="G26" s="1"/>
      <c r="H26" s="220">
        <f t="shared" si="2"/>
        <v>3308530.55</v>
      </c>
      <c r="I26" s="220">
        <f t="shared" si="0"/>
        <v>900977.5</v>
      </c>
      <c r="J26" s="220">
        <f t="shared" si="0"/>
        <v>0</v>
      </c>
      <c r="K26" s="231">
        <f>SUM(H26:J26)</f>
        <v>4209508.05</v>
      </c>
      <c r="L26" s="1"/>
      <c r="M26" s="319"/>
      <c r="N26" s="319"/>
      <c r="O26" s="319"/>
      <c r="P26" s="35">
        <v>13</v>
      </c>
      <c r="Q26" s="318">
        <f t="shared" ref="Q26:Q33" si="6">Q25</f>
        <v>507915.19999999995</v>
      </c>
      <c r="R26" s="35"/>
      <c r="S26" s="35"/>
      <c r="T26" s="35"/>
      <c r="U26" s="35"/>
      <c r="V26" s="35"/>
      <c r="W26" s="1"/>
      <c r="X26" s="1"/>
    </row>
    <row r="27" spans="1:24" x14ac:dyDescent="0.2">
      <c r="A27" s="32">
        <v>25</v>
      </c>
      <c r="B27" s="10">
        <v>38695</v>
      </c>
      <c r="C27" s="230">
        <v>824059.5</v>
      </c>
      <c r="D27" s="230">
        <v>224407.5</v>
      </c>
      <c r="E27" s="230">
        <v>0</v>
      </c>
      <c r="F27" s="231">
        <f>SUM(C27:E27)</f>
        <v>1048467</v>
      </c>
      <c r="G27" s="1"/>
      <c r="H27" s="220">
        <f t="shared" si="2"/>
        <v>344044.84</v>
      </c>
      <c r="I27" s="220">
        <f t="shared" si="0"/>
        <v>93690.13</v>
      </c>
      <c r="J27" s="220">
        <f t="shared" si="0"/>
        <v>0</v>
      </c>
      <c r="K27" s="231">
        <f>SUM(H27:J27)</f>
        <v>437734.97000000003</v>
      </c>
      <c r="L27" s="1"/>
      <c r="M27" s="319"/>
      <c r="N27" s="319"/>
      <c r="O27" s="319"/>
      <c r="P27" s="35">
        <v>14</v>
      </c>
      <c r="Q27" s="318">
        <f t="shared" si="6"/>
        <v>507915.19999999995</v>
      </c>
      <c r="R27" s="35"/>
      <c r="S27" s="35"/>
      <c r="T27" s="35"/>
      <c r="U27" s="35"/>
      <c r="V27" s="35"/>
      <c r="W27" s="1"/>
      <c r="X27" s="1"/>
    </row>
    <row r="28" spans="1:24" x14ac:dyDescent="0.2">
      <c r="A28" s="32">
        <v>26</v>
      </c>
      <c r="B28" s="10">
        <v>38716</v>
      </c>
      <c r="C28" s="230">
        <v>278111.74</v>
      </c>
      <c r="D28" s="230">
        <v>75735.259999999995</v>
      </c>
      <c r="E28" s="230">
        <v>0</v>
      </c>
      <c r="F28" s="231">
        <f>SUM(C28:E28)</f>
        <v>353847</v>
      </c>
      <c r="G28" s="1"/>
      <c r="H28" s="220">
        <f t="shared" si="2"/>
        <v>116111.65</v>
      </c>
      <c r="I28" s="220">
        <f t="shared" si="0"/>
        <v>31619.47</v>
      </c>
      <c r="J28" s="220">
        <f t="shared" si="0"/>
        <v>0</v>
      </c>
      <c r="K28" s="231">
        <f>SUM(H28:J28)</f>
        <v>147731.12</v>
      </c>
      <c r="L28" s="1"/>
      <c r="M28" s="319"/>
      <c r="N28" s="319"/>
      <c r="O28" s="319"/>
      <c r="P28" s="35">
        <v>15</v>
      </c>
      <c r="Q28" s="318">
        <f t="shared" si="6"/>
        <v>507915.19999999995</v>
      </c>
      <c r="R28" s="35"/>
      <c r="S28" s="35"/>
      <c r="T28" s="35"/>
      <c r="U28" s="35"/>
      <c r="V28" s="35"/>
      <c r="W28" s="1"/>
      <c r="X28" s="1"/>
    </row>
    <row r="29" spans="1:24" x14ac:dyDescent="0.2">
      <c r="A29" s="32">
        <v>27</v>
      </c>
      <c r="B29" s="10">
        <v>38730</v>
      </c>
      <c r="C29" s="230">
        <v>1039721.52</v>
      </c>
      <c r="D29" s="230">
        <v>283136.48</v>
      </c>
      <c r="E29" s="230">
        <v>0</v>
      </c>
      <c r="F29" s="231">
        <f>SUM(C29:E29)</f>
        <v>1322858</v>
      </c>
      <c r="G29" s="1"/>
      <c r="H29" s="220">
        <f t="shared" si="2"/>
        <v>434083.73</v>
      </c>
      <c r="I29" s="220">
        <f t="shared" si="0"/>
        <v>118209.48</v>
      </c>
      <c r="J29" s="220">
        <f t="shared" si="0"/>
        <v>0</v>
      </c>
      <c r="K29" s="231">
        <f>SUM(H29:J29)</f>
        <v>552293.21</v>
      </c>
      <c r="L29" s="1"/>
      <c r="M29" s="35"/>
      <c r="N29" s="35"/>
      <c r="O29" s="35"/>
      <c r="P29" s="35">
        <v>16</v>
      </c>
      <c r="Q29" s="318">
        <f t="shared" si="6"/>
        <v>507915.19999999995</v>
      </c>
      <c r="R29" s="35"/>
      <c r="S29" s="35"/>
      <c r="T29" s="35"/>
      <c r="U29" s="35"/>
      <c r="V29" s="35"/>
      <c r="W29" s="1"/>
      <c r="X29" s="1"/>
    </row>
    <row r="30" spans="1:24" x14ac:dyDescent="0.2">
      <c r="A30" s="32">
        <v>28</v>
      </c>
      <c r="B30" s="13">
        <v>38775</v>
      </c>
      <c r="C30" s="234">
        <f>260886.49</f>
        <v>260886.49</v>
      </c>
      <c r="D30" s="234">
        <v>71044.479999999996</v>
      </c>
      <c r="E30" s="234">
        <v>382230</v>
      </c>
      <c r="F30" s="234">
        <f t="shared" si="4"/>
        <v>714160.97</v>
      </c>
      <c r="G30" s="1"/>
      <c r="H30" s="220">
        <f t="shared" si="2"/>
        <v>108920.11</v>
      </c>
      <c r="I30" s="220">
        <f t="shared" si="0"/>
        <v>29661.07</v>
      </c>
      <c r="J30" s="220">
        <f t="shared" si="0"/>
        <v>159581.03</v>
      </c>
      <c r="K30" s="231">
        <f t="shared" si="1"/>
        <v>298162.20999999996</v>
      </c>
      <c r="L30" s="1"/>
      <c r="M30" s="35"/>
      <c r="N30" s="158">
        <f>N32/0.4175</f>
        <v>0</v>
      </c>
      <c r="O30" s="35"/>
      <c r="P30" s="35">
        <v>17</v>
      </c>
      <c r="Q30" s="318">
        <f t="shared" si="6"/>
        <v>507915.19999999995</v>
      </c>
      <c r="R30" s="35"/>
      <c r="S30" s="35"/>
      <c r="T30" s="35"/>
      <c r="U30" s="35"/>
      <c r="V30" s="35"/>
      <c r="W30" s="1"/>
      <c r="X30" s="1"/>
    </row>
    <row r="31" spans="1:24" x14ac:dyDescent="0.2">
      <c r="A31" s="32">
        <v>29</v>
      </c>
      <c r="B31" s="17"/>
      <c r="C31" s="231"/>
      <c r="D31" s="231"/>
      <c r="E31" s="231"/>
      <c r="F31" s="231"/>
      <c r="G31" s="1"/>
      <c r="H31" s="220">
        <f t="shared" si="2"/>
        <v>0</v>
      </c>
      <c r="I31" s="220"/>
      <c r="J31" s="220"/>
      <c r="K31" s="231"/>
      <c r="L31" s="1"/>
      <c r="M31" s="35"/>
      <c r="N31" s="158"/>
      <c r="O31" s="35"/>
      <c r="P31" s="35">
        <v>18</v>
      </c>
      <c r="Q31" s="318">
        <f t="shared" si="6"/>
        <v>507915.19999999995</v>
      </c>
      <c r="R31" s="35"/>
      <c r="S31" s="35"/>
      <c r="T31" s="35"/>
      <c r="U31" s="35"/>
      <c r="V31" s="35"/>
      <c r="W31" s="1"/>
      <c r="X31" s="1"/>
    </row>
    <row r="32" spans="1:24" x14ac:dyDescent="0.2">
      <c r="A32" s="1"/>
      <c r="B32" s="274" t="s">
        <v>0</v>
      </c>
      <c r="C32" s="220">
        <f>SUM(C3:C30)</f>
        <v>27244622.859999992</v>
      </c>
      <c r="D32" s="220">
        <f>SUM(D3:D30)</f>
        <v>9076032.3800000008</v>
      </c>
      <c r="E32" s="220">
        <f>SUM(E3:E30)</f>
        <v>382230</v>
      </c>
      <c r="F32" s="220">
        <f>SUM(F3:F30)</f>
        <v>36702885.239999995</v>
      </c>
      <c r="G32" s="1"/>
      <c r="H32" s="235">
        <f>SUM(H3:H31)</f>
        <v>11374630.049999999</v>
      </c>
      <c r="I32" s="235">
        <f>SUM(I3:I30)</f>
        <v>3789243.5</v>
      </c>
      <c r="J32" s="235">
        <f>SUM(J3:J30)</f>
        <v>159581.03</v>
      </c>
      <c r="K32" s="235">
        <f>SUM(K3:K30)</f>
        <v>15323454.580000002</v>
      </c>
      <c r="L32" s="1"/>
      <c r="M32" s="158">
        <f>M34-H33</f>
        <v>11374630.049999997</v>
      </c>
      <c r="N32" s="158">
        <f>H32-M32</f>
        <v>0</v>
      </c>
      <c r="O32" s="158"/>
      <c r="P32" s="35">
        <v>19</v>
      </c>
      <c r="Q32" s="318">
        <f t="shared" si="6"/>
        <v>507915.19999999995</v>
      </c>
      <c r="R32" s="35"/>
      <c r="S32" s="35"/>
      <c r="T32" s="35"/>
      <c r="U32" s="35"/>
      <c r="V32" s="35"/>
      <c r="W32" s="1"/>
      <c r="X32" s="1"/>
    </row>
    <row r="33" spans="1:25" x14ac:dyDescent="0.2">
      <c r="A33" s="1" t="s">
        <v>151</v>
      </c>
      <c r="B33" s="236">
        <v>39862</v>
      </c>
      <c r="C33" s="220"/>
      <c r="D33" s="1"/>
      <c r="E33" s="1"/>
      <c r="F33" s="1"/>
      <c r="G33" s="1"/>
      <c r="H33" s="220">
        <f>V12-1999.88</f>
        <v>-547346.64</v>
      </c>
      <c r="I33" s="1"/>
      <c r="J33" s="215">
        <f>C112</f>
        <v>-8549.0299999999988</v>
      </c>
      <c r="K33" s="1"/>
      <c r="L33" s="1"/>
      <c r="M33" s="35"/>
      <c r="N33" s="158"/>
      <c r="O33" s="158"/>
      <c r="P33" s="35">
        <v>20</v>
      </c>
      <c r="Q33" s="318">
        <f t="shared" si="6"/>
        <v>507915.19999999995</v>
      </c>
      <c r="R33" s="35"/>
      <c r="S33" s="35"/>
      <c r="T33" s="35"/>
      <c r="U33" s="35"/>
      <c r="V33" s="35"/>
      <c r="W33" s="1"/>
      <c r="X33" s="1"/>
    </row>
    <row r="34" spans="1:25" x14ac:dyDescent="0.2">
      <c r="A34" s="1"/>
      <c r="B34" s="1"/>
      <c r="C34" s="220"/>
      <c r="D34" s="1"/>
      <c r="E34" s="1"/>
      <c r="F34" s="1"/>
      <c r="G34" s="1"/>
      <c r="H34" s="220">
        <f>H33+H32</f>
        <v>10827283.409999998</v>
      </c>
      <c r="I34" s="1"/>
      <c r="J34" s="220">
        <f>J33+J32</f>
        <v>151032</v>
      </c>
      <c r="K34" s="1"/>
      <c r="L34" s="1"/>
      <c r="M34" s="158">
        <f>Q34</f>
        <v>10827283.409999996</v>
      </c>
      <c r="N34" s="158"/>
      <c r="O34" s="158"/>
      <c r="P34" s="35"/>
      <c r="Q34" s="158">
        <f>SUM(Q14:Q33)</f>
        <v>10827283.409999996</v>
      </c>
      <c r="R34" s="35"/>
      <c r="S34" s="35"/>
      <c r="T34" s="35"/>
      <c r="U34" s="35"/>
      <c r="V34" s="35"/>
      <c r="W34" s="1"/>
      <c r="X34" s="1"/>
      <c r="Y34" s="232"/>
    </row>
    <row r="35" spans="1:25" x14ac:dyDescent="0.2">
      <c r="A35" s="333" t="s">
        <v>68</v>
      </c>
      <c r="B35" s="333"/>
      <c r="C35" s="16">
        <v>38805</v>
      </c>
      <c r="D35" s="1"/>
      <c r="E35" s="1"/>
      <c r="F35" s="1"/>
      <c r="G35" s="1"/>
      <c r="H35" s="220"/>
      <c r="I35" s="1"/>
      <c r="J35" s="220"/>
      <c r="K35" s="1"/>
      <c r="L35" s="1"/>
      <c r="M35" s="35"/>
      <c r="N35" s="158">
        <v>1999.8800000026799</v>
      </c>
      <c r="O35" s="35"/>
      <c r="P35" s="35"/>
      <c r="Q35" s="35"/>
      <c r="R35" s="35"/>
      <c r="S35" s="35"/>
      <c r="T35" s="35"/>
      <c r="U35" s="35"/>
      <c r="V35" s="35"/>
      <c r="W35" s="1"/>
      <c r="X35" s="1"/>
    </row>
    <row r="36" spans="1:25" x14ac:dyDescent="0.2">
      <c r="A36" s="288" t="s">
        <v>38</v>
      </c>
      <c r="B36" s="289"/>
      <c r="C36" s="289"/>
      <c r="D36" s="289"/>
      <c r="E36" s="289"/>
      <c r="F36" s="289"/>
      <c r="G36" s="289"/>
      <c r="H36" s="289"/>
      <c r="I36" s="289"/>
      <c r="J36" s="29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5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1"/>
      <c r="L38" s="1"/>
      <c r="M38" s="1"/>
      <c r="N38" s="1"/>
      <c r="O38" s="220"/>
      <c r="P38" s="1"/>
      <c r="Q38" s="1"/>
      <c r="R38" s="1"/>
      <c r="S38" s="1"/>
      <c r="T38" s="1"/>
      <c r="U38" s="1"/>
      <c r="V38" s="1"/>
      <c r="W38" s="1"/>
      <c r="X38" s="1"/>
    </row>
    <row r="39" spans="1:25" x14ac:dyDescent="0.2">
      <c r="A39" s="14" t="s">
        <v>49</v>
      </c>
      <c r="B39" s="134">
        <f>C35</f>
        <v>38805</v>
      </c>
      <c r="C39" s="135">
        <v>38807</v>
      </c>
      <c r="D39" s="136">
        <f t="shared" ref="D39:D60" si="7">+C39-B39+1</f>
        <v>3</v>
      </c>
      <c r="E39" s="137">
        <v>6.78</v>
      </c>
      <c r="F39" s="138">
        <f>H32</f>
        <v>11374630.049999999</v>
      </c>
      <c r="G39" s="237">
        <f t="shared" ref="G39:G47" si="8">+D39/365*E39/100*F39</f>
        <v>6338.6294579999985</v>
      </c>
      <c r="H39" s="237"/>
      <c r="I39" s="238"/>
      <c r="J39" s="144">
        <f>+F39+G39</f>
        <v>11380968.679458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5" x14ac:dyDescent="0.2">
      <c r="A40" s="6" t="s">
        <v>50</v>
      </c>
      <c r="B40" s="141">
        <f t="shared" ref="B40:B60" si="9">C39+1</f>
        <v>38808</v>
      </c>
      <c r="C40" s="122">
        <v>38898</v>
      </c>
      <c r="D40" s="123">
        <f t="shared" si="7"/>
        <v>91</v>
      </c>
      <c r="E40" s="142">
        <v>7.3</v>
      </c>
      <c r="F40" s="124">
        <f>J39</f>
        <v>11380968.679458</v>
      </c>
      <c r="G40" s="239">
        <f t="shared" si="8"/>
        <v>207133.6299661356</v>
      </c>
      <c r="H40" s="239"/>
      <c r="I40" s="240"/>
      <c r="J40" s="145">
        <f>+F40+G40</f>
        <v>11588102.309424136</v>
      </c>
      <c r="K40" s="1"/>
      <c r="L40" s="1"/>
      <c r="M40" s="1"/>
      <c r="N40" s="1"/>
      <c r="O40" s="1"/>
      <c r="P40" s="220"/>
      <c r="Q40" s="1"/>
      <c r="R40" s="1"/>
      <c r="S40" s="1"/>
      <c r="T40" s="1"/>
      <c r="U40" s="1"/>
      <c r="V40" s="1"/>
      <c r="W40" s="1"/>
      <c r="X40" s="1"/>
    </row>
    <row r="41" spans="1:25" x14ac:dyDescent="0.2">
      <c r="A41" s="6" t="s">
        <v>51</v>
      </c>
      <c r="B41" s="141">
        <f t="shared" si="9"/>
        <v>38899</v>
      </c>
      <c r="C41" s="122">
        <v>38990</v>
      </c>
      <c r="D41" s="123">
        <f t="shared" si="7"/>
        <v>92</v>
      </c>
      <c r="E41" s="123">
        <v>7.74</v>
      </c>
      <c r="F41" s="124">
        <f>J40</f>
        <v>11588102.309424136</v>
      </c>
      <c r="G41" s="239">
        <f>+D41/365*E41/100*F41</f>
        <v>226072.76417793808</v>
      </c>
      <c r="H41" s="239">
        <f>F$39/20*2</f>
        <v>1137463.0049999999</v>
      </c>
      <c r="I41" s="240">
        <f>G$42/20*2</f>
        <v>43954.502360207363</v>
      </c>
      <c r="J41" s="145">
        <f>+F41+G41-H41-I41</f>
        <v>10632757.566241866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5" x14ac:dyDescent="0.2">
      <c r="A42" s="6"/>
      <c r="B42" s="141"/>
      <c r="C42" s="122"/>
      <c r="D42" s="123"/>
      <c r="E42" s="331" t="s">
        <v>100</v>
      </c>
      <c r="F42" s="332"/>
      <c r="G42" s="241">
        <f>SUM(G39:G41)</f>
        <v>439545.02360207366</v>
      </c>
      <c r="H42" s="239"/>
      <c r="I42" s="240"/>
      <c r="J42" s="24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5" x14ac:dyDescent="0.2">
      <c r="A43" s="6" t="s">
        <v>52</v>
      </c>
      <c r="B43" s="141">
        <f>C41+1</f>
        <v>38991</v>
      </c>
      <c r="C43" s="122">
        <v>39082</v>
      </c>
      <c r="D43" s="123">
        <f t="shared" si="7"/>
        <v>92</v>
      </c>
      <c r="E43" s="123">
        <v>8.17</v>
      </c>
      <c r="F43" s="124">
        <f>F$39+G$42-SUM(H$41:H42)-SUM(I$41:I42)</f>
        <v>10632757.566241866</v>
      </c>
      <c r="G43" s="239">
        <f>+D43/365*E43/100*F43</f>
        <v>218959.06567369963</v>
      </c>
      <c r="H43" s="239">
        <f t="shared" ref="H43:H50" si="10">F$39/20</f>
        <v>568731.50249999994</v>
      </c>
      <c r="I43" s="243">
        <f>G$42/20</f>
        <v>21977.251180103682</v>
      </c>
      <c r="J43" s="24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5" x14ac:dyDescent="0.2">
      <c r="A44" s="6" t="s">
        <v>53</v>
      </c>
      <c r="B44" s="141">
        <f t="shared" si="9"/>
        <v>39083</v>
      </c>
      <c r="C44" s="122">
        <v>39172</v>
      </c>
      <c r="D44" s="123">
        <f t="shared" si="7"/>
        <v>90</v>
      </c>
      <c r="E44" s="123">
        <v>8.25</v>
      </c>
      <c r="F44" s="124">
        <f>F$39+G$42-SUM(H$41:H43)-SUM(I$41:I43)</f>
        <v>10042048.812561762</v>
      </c>
      <c r="G44" s="239">
        <f t="shared" si="8"/>
        <v>204280.03406375638</v>
      </c>
      <c r="H44" s="239">
        <f t="shared" si="10"/>
        <v>568731.50249999994</v>
      </c>
      <c r="I44" s="243">
        <f>G$42/20</f>
        <v>21977.251180103682</v>
      </c>
      <c r="J44" s="24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5" x14ac:dyDescent="0.2">
      <c r="A45" s="6" t="s">
        <v>54</v>
      </c>
      <c r="B45" s="141">
        <f t="shared" si="9"/>
        <v>39173</v>
      </c>
      <c r="C45" s="122">
        <v>39263</v>
      </c>
      <c r="D45" s="123">
        <f t="shared" si="7"/>
        <v>91</v>
      </c>
      <c r="E45" s="123">
        <v>8.25</v>
      </c>
      <c r="F45" s="124">
        <f>F$39+G$42-SUM(H$41:H44)-SUM(I$41:I44)</f>
        <v>9451340.0588816591</v>
      </c>
      <c r="G45" s="239">
        <f t="shared" si="8"/>
        <v>194399.82326590153</v>
      </c>
      <c r="H45" s="239">
        <f t="shared" si="10"/>
        <v>568731.50249999994</v>
      </c>
      <c r="I45" s="243">
        <f>G$42/20</f>
        <v>21977.251180103682</v>
      </c>
      <c r="J45" s="244"/>
      <c r="K45" s="1"/>
      <c r="L45" s="1"/>
      <c r="M45" s="1"/>
      <c r="N45" s="1"/>
      <c r="O45" s="1"/>
      <c r="P45" s="245"/>
      <c r="Q45" s="1"/>
      <c r="R45" s="1"/>
      <c r="S45" s="1"/>
      <c r="T45" s="1"/>
      <c r="U45" s="1"/>
      <c r="V45" s="1"/>
      <c r="W45" s="1"/>
      <c r="X45" s="1"/>
    </row>
    <row r="46" spans="1:25" x14ac:dyDescent="0.2">
      <c r="A46" s="6" t="s">
        <v>55</v>
      </c>
      <c r="B46" s="141">
        <f t="shared" si="9"/>
        <v>39264</v>
      </c>
      <c r="C46" s="122">
        <v>39355</v>
      </c>
      <c r="D46" s="123">
        <f t="shared" si="7"/>
        <v>92</v>
      </c>
      <c r="E46" s="123">
        <v>8.25</v>
      </c>
      <c r="F46" s="124">
        <f>F$39+G$42-SUM(H$41:H45)-SUM(I$41:I45)</f>
        <v>8860631.3052015547</v>
      </c>
      <c r="G46" s="239">
        <f t="shared" si="8"/>
        <v>184252.57974378028</v>
      </c>
      <c r="H46" s="239">
        <f t="shared" si="10"/>
        <v>568731.50249999994</v>
      </c>
      <c r="I46" s="243">
        <f>G$42/20</f>
        <v>21977.251180103682</v>
      </c>
      <c r="J46" s="244"/>
      <c r="K46" s="1"/>
      <c r="L46" s="1"/>
      <c r="M46" s="1"/>
      <c r="N46" s="1"/>
      <c r="O46" s="1"/>
      <c r="P46" s="245"/>
      <c r="Q46" s="1"/>
      <c r="R46" s="1"/>
      <c r="S46" s="1"/>
      <c r="T46" s="1"/>
      <c r="U46" s="1"/>
      <c r="V46" s="1"/>
      <c r="W46" s="1"/>
      <c r="X46" s="1"/>
    </row>
    <row r="47" spans="1:25" x14ac:dyDescent="0.2">
      <c r="A47" s="181" t="s">
        <v>56</v>
      </c>
      <c r="B47" s="141">
        <f t="shared" si="9"/>
        <v>39356</v>
      </c>
      <c r="C47" s="122">
        <v>39447</v>
      </c>
      <c r="D47" s="123">
        <f t="shared" si="7"/>
        <v>92</v>
      </c>
      <c r="E47" s="123">
        <v>8.25</v>
      </c>
      <c r="F47" s="124">
        <f>F$39+G$42-SUM(H$41:H46)-SUM(I$41:I46)</f>
        <v>8269922.5515214503</v>
      </c>
      <c r="G47" s="239">
        <f t="shared" si="8"/>
        <v>171969.07442752825</v>
      </c>
      <c r="H47" s="239">
        <f t="shared" si="10"/>
        <v>568731.50249999994</v>
      </c>
      <c r="I47" s="243">
        <f>G$42/20</f>
        <v>21977.251180103682</v>
      </c>
      <c r="J47" s="244"/>
      <c r="K47" s="1"/>
      <c r="L47" s="1"/>
      <c r="M47" s="1"/>
      <c r="N47" s="1"/>
      <c r="O47" s="1"/>
      <c r="P47" s="245"/>
      <c r="Q47" s="1"/>
      <c r="R47" s="1"/>
      <c r="S47" s="1"/>
      <c r="T47" s="1"/>
      <c r="U47" s="1"/>
      <c r="V47" s="1"/>
      <c r="W47" s="1"/>
      <c r="X47" s="1"/>
    </row>
    <row r="48" spans="1:25" x14ac:dyDescent="0.2">
      <c r="A48" s="8" t="s">
        <v>78</v>
      </c>
      <c r="B48" s="141">
        <f t="shared" si="9"/>
        <v>39448</v>
      </c>
      <c r="C48" s="122">
        <v>39538</v>
      </c>
      <c r="D48" s="123">
        <f t="shared" si="7"/>
        <v>91</v>
      </c>
      <c r="E48" s="123">
        <v>7.76</v>
      </c>
      <c r="F48" s="124">
        <f>F$39+G$42-SUM(H$41:H47)-SUM(I$41:I47)</f>
        <v>7679213.7978413468</v>
      </c>
      <c r="G48" s="239">
        <f>+D48/366*E48/100*F48</f>
        <v>148162.66708971711</v>
      </c>
      <c r="H48" s="239">
        <f t="shared" si="10"/>
        <v>568731.50249999994</v>
      </c>
      <c r="I48" s="240">
        <f t="shared" ref="I48:I60" si="11">G$42/20</f>
        <v>21977.251180103682</v>
      </c>
      <c r="J48" s="219"/>
      <c r="K48" s="1"/>
      <c r="L48" s="1"/>
      <c r="M48" s="1"/>
      <c r="N48" s="1"/>
      <c r="O48" s="1"/>
      <c r="P48" s="245"/>
      <c r="Q48" s="1"/>
      <c r="R48" s="1"/>
      <c r="S48" s="1"/>
      <c r="T48" s="1"/>
      <c r="U48" s="1"/>
      <c r="V48" s="1"/>
      <c r="W48" s="1"/>
      <c r="X48" s="1"/>
    </row>
    <row r="49" spans="1:24" x14ac:dyDescent="0.2">
      <c r="A49" s="8" t="s">
        <v>79</v>
      </c>
      <c r="B49" s="141">
        <f t="shared" si="9"/>
        <v>39539</v>
      </c>
      <c r="C49" s="122">
        <v>39629</v>
      </c>
      <c r="D49" s="123">
        <f t="shared" si="7"/>
        <v>91</v>
      </c>
      <c r="E49" s="123">
        <v>6.77</v>
      </c>
      <c r="F49" s="124">
        <f>F$39+G$42-SUM(H$41:H48)-SUM(I$41:I48)</f>
        <v>7088505.0441612443</v>
      </c>
      <c r="G49" s="239">
        <f>+D49/366*E49/100*F49</f>
        <v>119317.35799334473</v>
      </c>
      <c r="H49" s="239">
        <f t="shared" si="10"/>
        <v>568731.50249999994</v>
      </c>
      <c r="I49" s="240">
        <f t="shared" si="11"/>
        <v>21977.251180103682</v>
      </c>
      <c r="J49" s="219"/>
      <c r="K49" s="1"/>
      <c r="L49" s="1"/>
      <c r="M49" s="1"/>
      <c r="N49" s="1"/>
      <c r="O49" s="1"/>
      <c r="P49" s="245"/>
      <c r="Q49" s="1"/>
      <c r="R49" s="1"/>
      <c r="S49" s="1"/>
      <c r="T49" s="1"/>
      <c r="U49" s="1"/>
      <c r="V49" s="1"/>
      <c r="W49" s="1"/>
      <c r="X49" s="1"/>
    </row>
    <row r="50" spans="1:24" x14ac:dyDescent="0.2">
      <c r="A50" s="8" t="s">
        <v>80</v>
      </c>
      <c r="B50" s="141">
        <f t="shared" si="9"/>
        <v>39630</v>
      </c>
      <c r="C50" s="122">
        <v>39721</v>
      </c>
      <c r="D50" s="123">
        <f t="shared" si="7"/>
        <v>92</v>
      </c>
      <c r="E50" s="123">
        <v>5.3</v>
      </c>
      <c r="F50" s="124">
        <f>F$39+G$42-SUM(H$41:H49)-SUM(I$41:I49)</f>
        <v>6497796.2904811408</v>
      </c>
      <c r="G50" s="239">
        <f>+D50/366*E50/100*F50</f>
        <v>86566.269705972794</v>
      </c>
      <c r="H50" s="239">
        <f t="shared" si="10"/>
        <v>568731.50249999994</v>
      </c>
      <c r="I50" s="240">
        <f t="shared" si="11"/>
        <v>21977.251180103682</v>
      </c>
      <c r="J50" s="219"/>
      <c r="K50" s="1"/>
      <c r="L50" s="1"/>
      <c r="M50" s="1"/>
      <c r="N50" s="1"/>
      <c r="O50" s="1"/>
      <c r="P50" s="245"/>
      <c r="Q50" s="1"/>
      <c r="R50" s="1"/>
      <c r="S50" s="1"/>
      <c r="T50" s="1"/>
      <c r="U50" s="1"/>
      <c r="V50" s="1"/>
      <c r="W50" s="1"/>
      <c r="X50" s="1"/>
    </row>
    <row r="51" spans="1:24" x14ac:dyDescent="0.2">
      <c r="A51" s="8" t="s">
        <v>73</v>
      </c>
      <c r="B51" s="141">
        <f t="shared" si="9"/>
        <v>39722</v>
      </c>
      <c r="C51" s="122">
        <v>39813</v>
      </c>
      <c r="D51" s="123">
        <f t="shared" si="7"/>
        <v>92</v>
      </c>
      <c r="E51" s="123">
        <v>5</v>
      </c>
      <c r="F51" s="124">
        <f>F$39+G$42-SUM(H$41:H50)-SUM(I$41:I50)</f>
        <v>5907087.5368010374</v>
      </c>
      <c r="G51" s="239">
        <f>+D51/366*E51/100*F51</f>
        <v>74242.083795860031</v>
      </c>
      <c r="H51" s="239">
        <f>F$39/20</f>
        <v>568731.50249999994</v>
      </c>
      <c r="I51" s="240">
        <f t="shared" si="11"/>
        <v>21977.251180103682</v>
      </c>
      <c r="J51" s="219"/>
      <c r="K51" s="1"/>
      <c r="L51" s="1"/>
      <c r="M51" s="1"/>
      <c r="N51" s="1"/>
      <c r="O51" s="1"/>
      <c r="P51" s="245"/>
      <c r="Q51" s="1"/>
      <c r="R51" s="1"/>
      <c r="S51" s="1"/>
      <c r="T51" s="1"/>
      <c r="U51" s="1"/>
      <c r="V51" s="1"/>
      <c r="W51" s="1"/>
      <c r="X51" s="1"/>
    </row>
    <row r="52" spans="1:24" x14ac:dyDescent="0.2">
      <c r="A52" s="8" t="s">
        <v>81</v>
      </c>
      <c r="B52" s="141">
        <f t="shared" si="9"/>
        <v>39814</v>
      </c>
      <c r="C52" s="122">
        <v>39903</v>
      </c>
      <c r="D52" s="123">
        <f t="shared" si="7"/>
        <v>90</v>
      </c>
      <c r="E52" s="123">
        <v>4.5199999999999996</v>
      </c>
      <c r="F52" s="124">
        <f>F$39+G$42-SUM(H$41:H51)-SUM(I$41:I51)</f>
        <v>5316378.7831209339</v>
      </c>
      <c r="G52" s="239">
        <f t="shared" ref="G52:G60" si="12">+D52/365*E52/100*F52</f>
        <v>59252.133944482077</v>
      </c>
      <c r="H52" s="239">
        <f>((H34-(H51*11))/9)-H33</f>
        <v>1055261.8491666666</v>
      </c>
      <c r="I52" s="240">
        <f t="shared" si="11"/>
        <v>21977.251180103682</v>
      </c>
      <c r="J52" s="219"/>
      <c r="K52" s="1"/>
      <c r="L52" s="1"/>
      <c r="M52" s="1"/>
      <c r="N52" s="1"/>
      <c r="O52" s="1"/>
      <c r="P52" s="245"/>
      <c r="Q52" s="1"/>
      <c r="R52" s="1"/>
      <c r="S52" s="1"/>
      <c r="T52" s="1"/>
      <c r="U52" s="1"/>
      <c r="V52" s="1"/>
      <c r="W52" s="1"/>
      <c r="X52" s="1"/>
    </row>
    <row r="53" spans="1:24" x14ac:dyDescent="0.2">
      <c r="A53" s="8" t="s">
        <v>82</v>
      </c>
      <c r="B53" s="141">
        <f t="shared" si="9"/>
        <v>39904</v>
      </c>
      <c r="C53" s="122">
        <v>39994</v>
      </c>
      <c r="D53" s="123">
        <f t="shared" si="7"/>
        <v>91</v>
      </c>
      <c r="E53" s="123">
        <v>3.37</v>
      </c>
      <c r="F53" s="124">
        <f>F$39+G$42-SUM(H$41:H52)-SUM(I$41:I52)</f>
        <v>4239139.6827741638</v>
      </c>
      <c r="G53" s="239">
        <f t="shared" si="12"/>
        <v>35616.903192228841</v>
      </c>
      <c r="H53" s="239">
        <f>((H34-(568731.5*11))/9)</f>
        <v>507915.21222222201</v>
      </c>
      <c r="I53" s="240">
        <f t="shared" si="11"/>
        <v>21977.251180103682</v>
      </c>
      <c r="J53" s="219"/>
      <c r="K53" s="1"/>
      <c r="L53" s="1"/>
      <c r="M53" s="1"/>
      <c r="N53" s="1"/>
      <c r="O53" s="1"/>
      <c r="P53" s="245"/>
      <c r="Q53" s="1"/>
      <c r="R53" s="1"/>
      <c r="S53" s="1"/>
      <c r="T53" s="1"/>
      <c r="U53" s="1"/>
      <c r="V53" s="1"/>
      <c r="W53" s="1"/>
      <c r="X53" s="1"/>
    </row>
    <row r="54" spans="1:24" x14ac:dyDescent="0.2">
      <c r="A54" s="8" t="s">
        <v>84</v>
      </c>
      <c r="B54" s="141">
        <f t="shared" si="9"/>
        <v>39995</v>
      </c>
      <c r="C54" s="122">
        <v>40086</v>
      </c>
      <c r="D54" s="123">
        <f t="shared" si="7"/>
        <v>92</v>
      </c>
      <c r="E54" s="123">
        <v>3.25</v>
      </c>
      <c r="F54" s="124">
        <f>F$39+G$42-SUM(H$41:H53)-SUM(I$41:I53)</f>
        <v>3709247.2193718376</v>
      </c>
      <c r="G54" s="239">
        <f t="shared" si="12"/>
        <v>30385.340235402178</v>
      </c>
      <c r="H54" s="239">
        <f>H53</f>
        <v>507915.21222222201</v>
      </c>
      <c r="I54" s="240">
        <f t="shared" si="11"/>
        <v>21977.251180103682</v>
      </c>
      <c r="J54" s="219"/>
      <c r="K54" s="1"/>
      <c r="L54" s="1"/>
      <c r="M54" s="1"/>
      <c r="N54" s="1"/>
      <c r="O54" s="1"/>
      <c r="P54" s="245"/>
      <c r="Q54" s="1"/>
      <c r="R54" s="1"/>
      <c r="S54" s="1"/>
      <c r="T54" s="1"/>
      <c r="U54" s="1"/>
      <c r="V54" s="1"/>
      <c r="W54" s="1"/>
      <c r="X54" s="1"/>
    </row>
    <row r="55" spans="1:24" x14ac:dyDescent="0.2">
      <c r="A55" s="8" t="s">
        <v>74</v>
      </c>
      <c r="B55" s="141">
        <f t="shared" si="9"/>
        <v>40087</v>
      </c>
      <c r="C55" s="122">
        <v>40178</v>
      </c>
      <c r="D55" s="123">
        <f t="shared" si="7"/>
        <v>92</v>
      </c>
      <c r="E55" s="123">
        <v>3.25</v>
      </c>
      <c r="F55" s="124">
        <f>F$39+G$42-SUM(H$41:H54)-SUM(I$41:I54)</f>
        <v>3179354.7559695118</v>
      </c>
      <c r="G55" s="239">
        <f t="shared" si="12"/>
        <v>26044.577316024224</v>
      </c>
      <c r="H55" s="239">
        <f t="shared" ref="H55:H60" si="13">H54</f>
        <v>507915.21222222201</v>
      </c>
      <c r="I55" s="240">
        <f t="shared" si="11"/>
        <v>21977.251180103682</v>
      </c>
      <c r="J55" s="219"/>
      <c r="K55" s="1"/>
      <c r="L55" s="1"/>
      <c r="M55" s="1"/>
      <c r="N55" s="1"/>
      <c r="O55" s="1"/>
      <c r="P55" s="245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s="8" t="s">
        <v>85</v>
      </c>
      <c r="B56" s="141">
        <f t="shared" si="9"/>
        <v>40179</v>
      </c>
      <c r="C56" s="122">
        <v>40268</v>
      </c>
      <c r="D56" s="123">
        <f t="shared" si="7"/>
        <v>90</v>
      </c>
      <c r="E56" s="123">
        <v>3.25</v>
      </c>
      <c r="F56" s="124">
        <f>F$39+G$42-SUM(H$41:H55)-SUM(I$41:I55)</f>
        <v>2649462.2925671861</v>
      </c>
      <c r="G56" s="239">
        <f t="shared" si="12"/>
        <v>21231.992344545255</v>
      </c>
      <c r="H56" s="239">
        <f t="shared" si="13"/>
        <v>507915.21222222201</v>
      </c>
      <c r="I56" s="240">
        <f t="shared" si="11"/>
        <v>21977.251180103682</v>
      </c>
      <c r="J56" s="219"/>
      <c r="K56" s="1"/>
      <c r="L56" s="1"/>
      <c r="M56" s="1"/>
      <c r="N56" s="1"/>
      <c r="O56" s="1"/>
      <c r="P56" s="245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s="8" t="s">
        <v>86</v>
      </c>
      <c r="B57" s="141">
        <f t="shared" si="9"/>
        <v>40269</v>
      </c>
      <c r="C57" s="122">
        <v>40359</v>
      </c>
      <c r="D57" s="123">
        <f t="shared" si="7"/>
        <v>91</v>
      </c>
      <c r="E57" s="123">
        <v>3.25</v>
      </c>
      <c r="F57" s="124">
        <f>F$39+G$42-SUM(H$41:H56)-SUM(I$41:I56)</f>
        <v>2119569.8291648598</v>
      </c>
      <c r="G57" s="239">
        <f t="shared" si="12"/>
        <v>17174.322656863213</v>
      </c>
      <c r="H57" s="239">
        <f t="shared" si="13"/>
        <v>507915.21222222201</v>
      </c>
      <c r="I57" s="240">
        <f t="shared" si="11"/>
        <v>21977.251180103682</v>
      </c>
      <c r="J57" s="219"/>
      <c r="K57" s="1"/>
      <c r="L57" s="1"/>
      <c r="M57" s="1"/>
      <c r="N57" s="1"/>
      <c r="O57" s="1"/>
      <c r="P57" s="245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8" t="s">
        <v>87</v>
      </c>
      <c r="B58" s="141">
        <f t="shared" si="9"/>
        <v>40360</v>
      </c>
      <c r="C58" s="122">
        <v>40451</v>
      </c>
      <c r="D58" s="123">
        <f t="shared" si="7"/>
        <v>92</v>
      </c>
      <c r="E58" s="123">
        <v>3.25</v>
      </c>
      <c r="F58" s="124">
        <f>F$39+G$42-SUM(H$41:H57)-SUM(I$41:I57)</f>
        <v>1589677.3657625341</v>
      </c>
      <c r="G58" s="239">
        <f t="shared" si="12"/>
        <v>13022.28855789035</v>
      </c>
      <c r="H58" s="239">
        <f t="shared" si="13"/>
        <v>507915.21222222201</v>
      </c>
      <c r="I58" s="240">
        <f t="shared" si="11"/>
        <v>21977.251180103682</v>
      </c>
      <c r="J58" s="219"/>
      <c r="K58" s="1"/>
      <c r="L58" s="1"/>
      <c r="M58" s="1"/>
      <c r="N58" s="1"/>
      <c r="O58" s="1"/>
      <c r="P58" s="245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s="8" t="s">
        <v>75</v>
      </c>
      <c r="B59" s="141">
        <f t="shared" si="9"/>
        <v>40452</v>
      </c>
      <c r="C59" s="122">
        <v>40543</v>
      </c>
      <c r="D59" s="123">
        <f t="shared" si="7"/>
        <v>92</v>
      </c>
      <c r="E59" s="123">
        <v>3.25</v>
      </c>
      <c r="F59" s="124">
        <f>F$39+G$42-SUM(H$41:H58)-SUM(I$41:I58)</f>
        <v>1059784.9023602081</v>
      </c>
      <c r="G59" s="239">
        <f t="shared" si="12"/>
        <v>8681.5256385123903</v>
      </c>
      <c r="H59" s="239">
        <f t="shared" si="13"/>
        <v>507915.21222222201</v>
      </c>
      <c r="I59" s="240">
        <f t="shared" si="11"/>
        <v>21977.251180103682</v>
      </c>
      <c r="J59" s="219"/>
      <c r="K59" s="1"/>
      <c r="L59" s="1"/>
      <c r="M59" s="1"/>
      <c r="N59" s="1"/>
      <c r="O59" s="1"/>
      <c r="P59" s="245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s="8" t="s">
        <v>88</v>
      </c>
      <c r="B60" s="141">
        <f t="shared" si="9"/>
        <v>40544</v>
      </c>
      <c r="C60" s="122">
        <v>40633</v>
      </c>
      <c r="D60" s="123">
        <f t="shared" si="7"/>
        <v>90</v>
      </c>
      <c r="E60" s="123">
        <v>3.25</v>
      </c>
      <c r="F60" s="124">
        <f>F$39+G$42-SUM(H$41:H59)-SUM(I$41:I59)</f>
        <v>529892.43895788211</v>
      </c>
      <c r="G60" s="239">
        <f t="shared" si="12"/>
        <v>4246.3983121967258</v>
      </c>
      <c r="H60" s="239">
        <f t="shared" si="13"/>
        <v>507915.21222222201</v>
      </c>
      <c r="I60" s="240">
        <f t="shared" si="11"/>
        <v>21977.251180103682</v>
      </c>
      <c r="J60" s="219"/>
      <c r="K60" s="1"/>
      <c r="L60" s="1"/>
      <c r="M60" s="1"/>
      <c r="N60" s="1"/>
      <c r="O60" s="1"/>
      <c r="P60" s="245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s="1"/>
      <c r="B61" s="1"/>
      <c r="C61" s="1"/>
      <c r="D61" s="1"/>
      <c r="E61" s="1"/>
      <c r="F61" s="1"/>
      <c r="G61" s="248"/>
      <c r="H61" s="255">
        <f>SUM(H41:H60)</f>
        <v>11374630.074444443</v>
      </c>
      <c r="I61" s="255">
        <f>SUM(I41:I60)</f>
        <v>439545.02360207372</v>
      </c>
      <c r="J61" s="248"/>
      <c r="K61" s="1"/>
      <c r="L61" s="1"/>
      <c r="M61" s="1"/>
      <c r="N61" s="1"/>
      <c r="O61" s="1"/>
      <c r="P61" s="245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s="288" t="s">
        <v>94</v>
      </c>
      <c r="B62" s="289"/>
      <c r="C62" s="289"/>
      <c r="D62" s="289"/>
      <c r="E62" s="289"/>
      <c r="F62" s="289"/>
      <c r="G62" s="289"/>
      <c r="H62" s="289"/>
      <c r="I62" s="289"/>
      <c r="J62" s="290"/>
      <c r="K62" s="1"/>
      <c r="L62" s="1"/>
      <c r="M62" s="1"/>
      <c r="N62" s="1"/>
      <c r="O62" s="1"/>
      <c r="P62" s="245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s="2" t="s">
        <v>7</v>
      </c>
      <c r="B63" s="2" t="s">
        <v>8</v>
      </c>
      <c r="C63" s="2" t="s">
        <v>9</v>
      </c>
      <c r="D63" s="2" t="s">
        <v>10</v>
      </c>
      <c r="E63" s="2" t="s">
        <v>11</v>
      </c>
      <c r="F63" s="2" t="s">
        <v>12</v>
      </c>
      <c r="G63" s="2" t="s">
        <v>13</v>
      </c>
      <c r="H63" s="2"/>
      <c r="I63" s="2"/>
      <c r="J63" s="2" t="s">
        <v>14</v>
      </c>
      <c r="K63" s="1"/>
      <c r="L63" s="1"/>
      <c r="M63" s="1"/>
      <c r="N63" s="1"/>
      <c r="O63" s="1"/>
      <c r="P63" s="245"/>
      <c r="Q63" s="1"/>
      <c r="R63" s="1"/>
      <c r="S63" s="1"/>
      <c r="T63" s="1"/>
      <c r="U63" s="1"/>
      <c r="V63" s="1"/>
      <c r="W63" s="1"/>
      <c r="X63" s="1"/>
    </row>
    <row r="64" spans="1:24" ht="51" x14ac:dyDescent="0.2">
      <c r="A64" s="5" t="s">
        <v>15</v>
      </c>
      <c r="B64" s="5" t="s">
        <v>16</v>
      </c>
      <c r="C64" s="5" t="s">
        <v>17</v>
      </c>
      <c r="D64" s="5" t="s">
        <v>18</v>
      </c>
      <c r="E64" s="5" t="s">
        <v>19</v>
      </c>
      <c r="F64" s="5" t="s">
        <v>20</v>
      </c>
      <c r="G64" s="5" t="s">
        <v>98</v>
      </c>
      <c r="H64" s="5" t="s">
        <v>31</v>
      </c>
      <c r="I64" s="5" t="s">
        <v>99</v>
      </c>
      <c r="J64" s="5" t="s">
        <v>21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1" customFormat="1" x14ac:dyDescent="0.2">
      <c r="A65" s="107" t="s">
        <v>49</v>
      </c>
      <c r="B65" s="108">
        <f>B30</f>
        <v>38775</v>
      </c>
      <c r="C65" s="109">
        <v>38807</v>
      </c>
      <c r="D65" s="110">
        <f>+C65-B65+1</f>
        <v>33</v>
      </c>
      <c r="E65" s="111">
        <v>6.78</v>
      </c>
      <c r="F65" s="112">
        <f>J32</f>
        <v>159581.03</v>
      </c>
      <c r="G65" s="112">
        <f>D65/365*E65/100*F65</f>
        <v>978.20985348493161</v>
      </c>
      <c r="H65" s="111"/>
      <c r="I65" s="113"/>
      <c r="J65" s="146">
        <f>+F65+G65</f>
        <v>160559.23985348493</v>
      </c>
    </row>
    <row r="66" spans="1:24" s="1" customFormat="1" ht="15" customHeight="1" x14ac:dyDescent="0.2">
      <c r="A66" s="114" t="s">
        <v>50</v>
      </c>
      <c r="B66" s="115">
        <f>C65+1</f>
        <v>38808</v>
      </c>
      <c r="C66" s="115">
        <v>38898</v>
      </c>
      <c r="D66" s="116">
        <f>+C66-B66+1</f>
        <v>91</v>
      </c>
      <c r="E66" s="117">
        <v>7.3</v>
      </c>
      <c r="F66" s="118">
        <f>J65</f>
        <v>160559.23985348493</v>
      </c>
      <c r="G66" s="118">
        <f>D66/365*E66/100*F66</f>
        <v>2922.178165333426</v>
      </c>
      <c r="H66" s="119"/>
      <c r="I66" s="120"/>
      <c r="J66" s="147">
        <f>+F66+G66</f>
        <v>163481.41801881837</v>
      </c>
    </row>
    <row r="67" spans="1:24" x14ac:dyDescent="0.2">
      <c r="A67" s="121" t="s">
        <v>51</v>
      </c>
      <c r="B67" s="122">
        <f>C66+1</f>
        <v>38899</v>
      </c>
      <c r="C67" s="122">
        <v>38990</v>
      </c>
      <c r="D67" s="123">
        <f>+C67-B67+1</f>
        <v>92</v>
      </c>
      <c r="E67" s="123">
        <v>7.74</v>
      </c>
      <c r="F67" s="124">
        <f>J66</f>
        <v>163481.41801881837</v>
      </c>
      <c r="G67" s="118">
        <f>D67/365*E67/100*F67</f>
        <v>3189.3657025435673</v>
      </c>
      <c r="H67" s="239">
        <f>F65/20*2</f>
        <v>15958.102999999999</v>
      </c>
      <c r="I67" s="240">
        <f>G$68/20*2</f>
        <v>708.9753721361925</v>
      </c>
      <c r="J67" s="147">
        <f>+F67+G67-H67-I67</f>
        <v>150003.70534922573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s="121"/>
      <c r="B68" s="122"/>
      <c r="C68" s="122"/>
      <c r="D68" s="123"/>
      <c r="E68" s="331" t="s">
        <v>100</v>
      </c>
      <c r="F68" s="332"/>
      <c r="G68" s="241">
        <f>SUM(G65:G67)</f>
        <v>7089.7537213619253</v>
      </c>
      <c r="H68" s="239"/>
      <c r="I68" s="240"/>
      <c r="J68" s="24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s="121" t="s">
        <v>52</v>
      </c>
      <c r="B69" s="122">
        <f>C67+1</f>
        <v>38991</v>
      </c>
      <c r="C69" s="122">
        <v>39082</v>
      </c>
      <c r="D69" s="123">
        <f>+C69-B69+1</f>
        <v>92</v>
      </c>
      <c r="E69" s="123">
        <v>8.17</v>
      </c>
      <c r="F69" s="124">
        <f>F$65+G$68-SUM(H$67:H68)-SUM(I$67:I68)</f>
        <v>150003.70534922573</v>
      </c>
      <c r="G69" s="239">
        <f>+D69/365*E69/100*F69</f>
        <v>3089.0078106490969</v>
      </c>
      <c r="H69" s="239">
        <f>F65/20</f>
        <v>7979.0514999999996</v>
      </c>
      <c r="I69" s="243">
        <f>G$68/20</f>
        <v>354.48768606809625</v>
      </c>
      <c r="J69" s="24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s="121" t="s">
        <v>53</v>
      </c>
      <c r="B70" s="122">
        <f>C69+1</f>
        <v>39083</v>
      </c>
      <c r="C70" s="122">
        <v>39172</v>
      </c>
      <c r="D70" s="123">
        <f>+C70-B70+1</f>
        <v>90</v>
      </c>
      <c r="E70" s="123">
        <v>8.25</v>
      </c>
      <c r="F70" s="124">
        <f>F$65+G$68-SUM(H$67:H69)-SUM(I$67:I69)</f>
        <v>141670.16616315761</v>
      </c>
      <c r="G70" s="239">
        <f>+D70/365*E70/100*F70</f>
        <v>2881.9205034560141</v>
      </c>
      <c r="H70" s="239">
        <f t="shared" ref="H70:H77" si="14">H69</f>
        <v>7979.0514999999996</v>
      </c>
      <c r="I70" s="243">
        <f>G$68/20</f>
        <v>354.48768606809625</v>
      </c>
      <c r="J70" s="24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s="121" t="s">
        <v>54</v>
      </c>
      <c r="B71" s="122">
        <f>C70+1</f>
        <v>39173</v>
      </c>
      <c r="C71" s="122">
        <v>39263</v>
      </c>
      <c r="D71" s="123">
        <f>+C71-B71+1</f>
        <v>91</v>
      </c>
      <c r="E71" s="123">
        <v>8.25</v>
      </c>
      <c r="F71" s="124">
        <f>F$65+G$68-SUM(H$67:H70)-SUM(I$67:I70)</f>
        <v>133336.62697708953</v>
      </c>
      <c r="G71" s="239">
        <f>+D71/365*E71/100*F71</f>
        <v>2742.533498713698</v>
      </c>
      <c r="H71" s="239">
        <f t="shared" si="14"/>
        <v>7979.0514999999996</v>
      </c>
      <c r="I71" s="243">
        <f>G$68/20</f>
        <v>354.48768606809625</v>
      </c>
      <c r="J71" s="24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s="121" t="s">
        <v>55</v>
      </c>
      <c r="B72" s="122">
        <f>C71+1</f>
        <v>39264</v>
      </c>
      <c r="C72" s="122">
        <v>39355</v>
      </c>
      <c r="D72" s="123">
        <f>+C72-B72+1</f>
        <v>92</v>
      </c>
      <c r="E72" s="123">
        <v>8.25</v>
      </c>
      <c r="F72" s="124">
        <f>F$65+G$68-SUM(H$67:H71)-SUM(I$67:I71)</f>
        <v>125003.08779102143</v>
      </c>
      <c r="G72" s="239">
        <f>+D72/365*E72/100*F72</f>
        <v>2599.3792776269938</v>
      </c>
      <c r="H72" s="239">
        <f t="shared" si="14"/>
        <v>7979.0514999999996</v>
      </c>
      <c r="I72" s="243">
        <f>G$68/20</f>
        <v>354.48768606809625</v>
      </c>
      <c r="J72" s="24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s="127" t="s">
        <v>56</v>
      </c>
      <c r="B73" s="122">
        <f>C72+1</f>
        <v>39356</v>
      </c>
      <c r="C73" s="122">
        <v>39447</v>
      </c>
      <c r="D73" s="123">
        <f>+C73-B73+1</f>
        <v>92</v>
      </c>
      <c r="E73" s="123">
        <v>8.25</v>
      </c>
      <c r="F73" s="124">
        <f>F$65+G$68-SUM(H$67:H72)-SUM(I$67:I72)</f>
        <v>116669.54860495334</v>
      </c>
      <c r="G73" s="239">
        <f>+D73/365*E73/100*F73</f>
        <v>2426.087325785194</v>
      </c>
      <c r="H73" s="239">
        <f t="shared" si="14"/>
        <v>7979.0514999999996</v>
      </c>
      <c r="I73" s="243">
        <f>G$68/20</f>
        <v>354.48768606809625</v>
      </c>
      <c r="J73" s="24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127" t="s">
        <v>78</v>
      </c>
      <c r="B74" s="122">
        <f t="shared" ref="B74:B87" si="15">C73+1</f>
        <v>39448</v>
      </c>
      <c r="C74" s="122">
        <v>39538</v>
      </c>
      <c r="D74" s="123">
        <f t="shared" ref="D74:D87" si="16">+C74-B74+1</f>
        <v>91</v>
      </c>
      <c r="E74" s="123">
        <v>7.76</v>
      </c>
      <c r="F74" s="124">
        <f>F$65+G$68-SUM(H$67:H73)-SUM(I$67:I73)</f>
        <v>108336.00941888524</v>
      </c>
      <c r="G74" s="239">
        <f>+D74/366*E74/100*F74</f>
        <v>2090.233781727869</v>
      </c>
      <c r="H74" s="239">
        <f t="shared" si="14"/>
        <v>7979.0514999999996</v>
      </c>
      <c r="I74" s="240">
        <f t="shared" ref="I74:I86" si="17">G$68/20</f>
        <v>354.48768606809625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127" t="s">
        <v>79</v>
      </c>
      <c r="B75" s="122">
        <f t="shared" si="15"/>
        <v>39539</v>
      </c>
      <c r="C75" s="122">
        <v>39629</v>
      </c>
      <c r="D75" s="123">
        <f t="shared" si="16"/>
        <v>91</v>
      </c>
      <c r="E75" s="123">
        <v>6.77</v>
      </c>
      <c r="F75" s="124">
        <f>F$65+G$68-SUM(H$67:H74)-SUM(I$67:I74)</f>
        <v>100002.47023281714</v>
      </c>
      <c r="G75" s="239">
        <f>+D75/366*E75/100*F75</f>
        <v>1683.2929463478592</v>
      </c>
      <c r="H75" s="239">
        <f t="shared" si="14"/>
        <v>7979.0514999999996</v>
      </c>
      <c r="I75" s="240">
        <f t="shared" si="17"/>
        <v>354.48768606809625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127" t="s">
        <v>80</v>
      </c>
      <c r="B76" s="122">
        <f t="shared" si="15"/>
        <v>39630</v>
      </c>
      <c r="C76" s="122">
        <v>39721</v>
      </c>
      <c r="D76" s="123">
        <f t="shared" si="16"/>
        <v>92</v>
      </c>
      <c r="E76" s="123">
        <v>5.3</v>
      </c>
      <c r="F76" s="124">
        <f>F$65+G$68-SUM(H$67:H75)-SUM(I$67:I75)</f>
        <v>91668.931046749058</v>
      </c>
      <c r="G76" s="239">
        <f>+D76/366*E76/100*F76</f>
        <v>1221.250567715706</v>
      </c>
      <c r="H76" s="239">
        <f t="shared" si="14"/>
        <v>7979.0514999999996</v>
      </c>
      <c r="I76" s="240">
        <f t="shared" si="17"/>
        <v>354.48768606809625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s="127" t="s">
        <v>73</v>
      </c>
      <c r="B77" s="122">
        <f t="shared" si="15"/>
        <v>39722</v>
      </c>
      <c r="C77" s="122">
        <v>39813</v>
      </c>
      <c r="D77" s="123">
        <f t="shared" si="16"/>
        <v>92</v>
      </c>
      <c r="E77" s="123">
        <v>5</v>
      </c>
      <c r="F77" s="124">
        <f>F$65+G$68-SUM(H$67:H76)-SUM(I$67:I76)</f>
        <v>83335.39186068096</v>
      </c>
      <c r="G77" s="239">
        <f>+D77/366*E77/100*F77</f>
        <v>1047.384706445717</v>
      </c>
      <c r="H77" s="239">
        <f t="shared" si="14"/>
        <v>7979.0514999999996</v>
      </c>
      <c r="I77" s="240">
        <f t="shared" si="17"/>
        <v>354.48768606809625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127" t="s">
        <v>81</v>
      </c>
      <c r="B78" s="122">
        <f t="shared" si="15"/>
        <v>39814</v>
      </c>
      <c r="C78" s="122">
        <v>39903</v>
      </c>
      <c r="D78" s="123">
        <f t="shared" si="16"/>
        <v>90</v>
      </c>
      <c r="E78" s="123">
        <v>4.5199999999999996</v>
      </c>
      <c r="F78" s="124">
        <f>F$65+G$68-SUM(H$67:H77)-SUM(I$67:I77)</f>
        <v>75001.852674612863</v>
      </c>
      <c r="G78" s="239">
        <f t="shared" ref="G78:G87" si="18">+D78/365*E78/100*F78</f>
        <v>835.911059398151</v>
      </c>
      <c r="H78" s="239">
        <f>(J34-(7979.05*11))/9-J33</f>
        <v>15578.191111111109</v>
      </c>
      <c r="I78" s="240">
        <f t="shared" si="17"/>
        <v>354.48768606809625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127" t="s">
        <v>82</v>
      </c>
      <c r="B79" s="122">
        <f t="shared" si="15"/>
        <v>39904</v>
      </c>
      <c r="C79" s="122">
        <v>39994</v>
      </c>
      <c r="D79" s="123">
        <f t="shared" si="16"/>
        <v>91</v>
      </c>
      <c r="E79" s="123">
        <v>3.37</v>
      </c>
      <c r="F79" s="124">
        <f>F$65+G$68-SUM(H$67:H78)-SUM(I$67:I78)</f>
        <v>59069.173877433655</v>
      </c>
      <c r="G79" s="239">
        <f t="shared" si="18"/>
        <v>496.29434391760486</v>
      </c>
      <c r="H79" s="239">
        <f>(J34-(7979.05*11))/9</f>
        <v>7029.1611111111106</v>
      </c>
      <c r="I79" s="240">
        <f t="shared" si="17"/>
        <v>354.48768606809625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127" t="s">
        <v>84</v>
      </c>
      <c r="B80" s="122">
        <f t="shared" si="15"/>
        <v>39995</v>
      </c>
      <c r="C80" s="122">
        <v>40086</v>
      </c>
      <c r="D80" s="123">
        <f t="shared" si="16"/>
        <v>92</v>
      </c>
      <c r="E80" s="123">
        <v>3.25</v>
      </c>
      <c r="F80" s="124">
        <f>F$65+G$68-SUM(H$67:H79)-SUM(I$67:I79)</f>
        <v>51685.525080254447</v>
      </c>
      <c r="G80" s="239">
        <f t="shared" si="18"/>
        <v>423.39649312318033</v>
      </c>
      <c r="H80" s="239">
        <f t="shared" ref="H80:H86" si="19">H79</f>
        <v>7029.1611111111106</v>
      </c>
      <c r="I80" s="240">
        <f t="shared" si="17"/>
        <v>354.48768606809625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s="127" t="s">
        <v>74</v>
      </c>
      <c r="B81" s="122">
        <f t="shared" si="15"/>
        <v>40087</v>
      </c>
      <c r="C81" s="122">
        <v>40178</v>
      </c>
      <c r="D81" s="123">
        <f t="shared" si="16"/>
        <v>92</v>
      </c>
      <c r="E81" s="123">
        <v>3.25</v>
      </c>
      <c r="F81" s="124">
        <f>F$65+G$68-SUM(H$67:H80)-SUM(I$67:I80)</f>
        <v>44301.876283075238</v>
      </c>
      <c r="G81" s="239">
        <f t="shared" si="18"/>
        <v>362.91126051067118</v>
      </c>
      <c r="H81" s="239">
        <f t="shared" si="19"/>
        <v>7029.1611111111106</v>
      </c>
      <c r="I81" s="240">
        <f t="shared" si="17"/>
        <v>354.48768606809625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">
      <c r="A82" s="127" t="s">
        <v>85</v>
      </c>
      <c r="B82" s="122">
        <f t="shared" si="15"/>
        <v>40179</v>
      </c>
      <c r="C82" s="122">
        <v>40268</v>
      </c>
      <c r="D82" s="123">
        <f t="shared" si="16"/>
        <v>90</v>
      </c>
      <c r="E82" s="123">
        <v>3.25</v>
      </c>
      <c r="F82" s="124">
        <f>F$65+G$68-SUM(H$67:H81)-SUM(I$67:I81)</f>
        <v>36918.22748589603</v>
      </c>
      <c r="G82" s="239">
        <f t="shared" si="18"/>
        <v>295.85154903081065</v>
      </c>
      <c r="H82" s="239">
        <f t="shared" si="19"/>
        <v>7029.1611111111106</v>
      </c>
      <c r="I82" s="240">
        <f t="shared" si="17"/>
        <v>354.48768606809625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">
      <c r="A83" s="127" t="s">
        <v>86</v>
      </c>
      <c r="B83" s="122">
        <f t="shared" si="15"/>
        <v>40269</v>
      </c>
      <c r="C83" s="122">
        <v>40359</v>
      </c>
      <c r="D83" s="123">
        <f t="shared" si="16"/>
        <v>91</v>
      </c>
      <c r="E83" s="123">
        <v>3.25</v>
      </c>
      <c r="F83" s="124">
        <f>F$65+G$68-SUM(H$67:H82)-SUM(I$67:I82)</f>
        <v>29534.578688716836</v>
      </c>
      <c r="G83" s="239">
        <f t="shared" si="18"/>
        <v>239.31100403254806</v>
      </c>
      <c r="H83" s="239">
        <f t="shared" si="19"/>
        <v>7029.1611111111106</v>
      </c>
      <c r="I83" s="240">
        <f t="shared" si="17"/>
        <v>354.48768606809625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">
      <c r="A84" s="127" t="s">
        <v>87</v>
      </c>
      <c r="B84" s="122">
        <f t="shared" si="15"/>
        <v>40360</v>
      </c>
      <c r="C84" s="122">
        <v>40451</v>
      </c>
      <c r="D84" s="123">
        <f t="shared" si="16"/>
        <v>92</v>
      </c>
      <c r="E84" s="123">
        <v>3.25</v>
      </c>
      <c r="F84" s="124">
        <f>F$65+G$68-SUM(H$67:H83)-SUM(I$67:I83)</f>
        <v>22150.929891537628</v>
      </c>
      <c r="G84" s="239">
        <f t="shared" si="18"/>
        <v>181.45556267314387</v>
      </c>
      <c r="H84" s="239">
        <f t="shared" si="19"/>
        <v>7029.1611111111106</v>
      </c>
      <c r="I84" s="240">
        <f t="shared" si="17"/>
        <v>354.48768606809625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">
      <c r="A85" s="127" t="s">
        <v>75</v>
      </c>
      <c r="B85" s="122">
        <f t="shared" si="15"/>
        <v>40452</v>
      </c>
      <c r="C85" s="122">
        <v>40543</v>
      </c>
      <c r="D85" s="123">
        <f t="shared" si="16"/>
        <v>92</v>
      </c>
      <c r="E85" s="123">
        <v>3.25</v>
      </c>
      <c r="F85" s="124">
        <f>F$65+G$68-SUM(H$67:H84)-SUM(I$67:I84)</f>
        <v>14767.281094358419</v>
      </c>
      <c r="G85" s="239">
        <f t="shared" si="18"/>
        <v>120.97033006063474</v>
      </c>
      <c r="H85" s="239">
        <f t="shared" si="19"/>
        <v>7029.1611111111106</v>
      </c>
      <c r="I85" s="240">
        <f t="shared" si="17"/>
        <v>354.48768606809625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">
      <c r="A86" s="127" t="s">
        <v>88</v>
      </c>
      <c r="B86" s="122">
        <f t="shared" si="15"/>
        <v>40544</v>
      </c>
      <c r="C86" s="122">
        <v>40633</v>
      </c>
      <c r="D86" s="123">
        <f t="shared" si="16"/>
        <v>90</v>
      </c>
      <c r="E86" s="123">
        <v>3.25</v>
      </c>
      <c r="F86" s="124">
        <f>F$65+G$68-SUM(H$67:H85)-SUM(I$67:I85)</f>
        <v>7383.6322971792097</v>
      </c>
      <c r="G86" s="239">
        <f t="shared" si="18"/>
        <v>59.17020402534024</v>
      </c>
      <c r="H86" s="239">
        <f t="shared" si="19"/>
        <v>7029.1611111111106</v>
      </c>
      <c r="I86" s="240">
        <f t="shared" si="17"/>
        <v>354.48768606809625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">
      <c r="A87" s="128" t="s">
        <v>89</v>
      </c>
      <c r="B87" s="129">
        <f t="shared" si="15"/>
        <v>40634</v>
      </c>
      <c r="C87" s="129">
        <v>40724</v>
      </c>
      <c r="D87" s="130">
        <f t="shared" si="16"/>
        <v>91</v>
      </c>
      <c r="E87" s="123">
        <v>3.25</v>
      </c>
      <c r="F87" s="124">
        <f>F$65+G$68-SUM(H$67:H86)-SUM(I$67:I86)</f>
        <v>-1.6499999998814019E-2</v>
      </c>
      <c r="G87" s="246">
        <f t="shared" si="18"/>
        <v>-1.3369520546984237E-4</v>
      </c>
      <c r="H87" s="239"/>
      <c r="I87" s="247"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">
      <c r="A88" s="1"/>
      <c r="B88" s="1"/>
      <c r="C88" s="1"/>
      <c r="D88" s="1"/>
      <c r="E88" s="1"/>
      <c r="F88" s="1"/>
      <c r="G88" s="248"/>
      <c r="H88" s="248">
        <f>SUM(H66:H87)</f>
        <v>159581.0465</v>
      </c>
      <c r="I88" s="248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">
      <c r="A89" s="208"/>
      <c r="B89" s="208"/>
      <c r="C89" s="1"/>
      <c r="D89" s="1"/>
      <c r="E89" s="1"/>
      <c r="F89" s="1"/>
      <c r="G89" s="1"/>
      <c r="H89" s="1"/>
      <c r="I89" s="248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thickBot="1" x14ac:dyDescent="0.25">
      <c r="A90" s="291" t="s">
        <v>149</v>
      </c>
      <c r="B90" s="20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s="292" t="s">
        <v>148</v>
      </c>
      <c r="B91" s="293" t="s">
        <v>62</v>
      </c>
      <c r="C91" s="293" t="s">
        <v>134</v>
      </c>
      <c r="D91" s="294" t="s">
        <v>146</v>
      </c>
      <c r="E91" s="293" t="s">
        <v>135</v>
      </c>
      <c r="F91" s="294" t="s">
        <v>147</v>
      </c>
      <c r="G91" s="295" t="s">
        <v>150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s="296" t="s">
        <v>139</v>
      </c>
      <c r="B92" s="249">
        <f>4980690.16+251786.57</f>
        <v>5232476.7300000004</v>
      </c>
      <c r="C92" s="249">
        <f>-251786.57-(2797*10)</f>
        <v>-279756.57</v>
      </c>
      <c r="D92" s="249">
        <f t="shared" ref="D92:D97" si="20">C92+B92</f>
        <v>4952720.16</v>
      </c>
      <c r="E92" s="249">
        <f>(D92-(261624*10))/10</f>
        <v>233648.016</v>
      </c>
      <c r="F92" s="249">
        <f t="shared" ref="F92:F97" si="21">B92/20</f>
        <v>261623.83650000003</v>
      </c>
      <c r="G92" s="297">
        <v>233647.55</v>
      </c>
      <c r="H92" s="21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s="296" t="s">
        <v>140</v>
      </c>
      <c r="B93" s="249">
        <f>986632.33+49876.78</f>
        <v>1036509.11</v>
      </c>
      <c r="C93" s="249">
        <f>-49876.78-(555*10)</f>
        <v>-55426.78</v>
      </c>
      <c r="D93" s="249">
        <f t="shared" si="20"/>
        <v>981082.33</v>
      </c>
      <c r="E93" s="249">
        <f>(D93-(51825*10))/10</f>
        <v>46283.232999999993</v>
      </c>
      <c r="F93" s="249">
        <f t="shared" si="21"/>
        <v>51825.455499999996</v>
      </c>
      <c r="G93" s="297">
        <v>46283.6</v>
      </c>
      <c r="H93" s="21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">
      <c r="A94" s="296" t="s">
        <v>141</v>
      </c>
      <c r="B94" s="249">
        <f>2403052.57+121480.43</f>
        <v>2524533</v>
      </c>
      <c r="C94" s="249">
        <f>-121480.43-(1349*10)</f>
        <v>-134970.43</v>
      </c>
      <c r="D94" s="249">
        <f t="shared" si="20"/>
        <v>2389562.5699999998</v>
      </c>
      <c r="E94" s="249">
        <f>(D94-(126227*10))/10</f>
        <v>112729.25699999998</v>
      </c>
      <c r="F94" s="249">
        <f t="shared" si="21"/>
        <v>126226.65</v>
      </c>
      <c r="G94" s="297">
        <v>112728.82</v>
      </c>
      <c r="H94" s="21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s="296" t="s">
        <v>142</v>
      </c>
      <c r="B95" s="249">
        <f>548936.64+27750.15</f>
        <v>576686.79</v>
      </c>
      <c r="C95" s="249">
        <f>-27750.15-(309*10)</f>
        <v>-30840.15</v>
      </c>
      <c r="D95" s="249">
        <f t="shared" si="20"/>
        <v>545846.64</v>
      </c>
      <c r="E95" s="249">
        <f>(D95-(28834*10))/10</f>
        <v>25750.664000000001</v>
      </c>
      <c r="F95" s="249">
        <f t="shared" si="21"/>
        <v>28834.339500000002</v>
      </c>
      <c r="G95" s="297">
        <v>25750.99</v>
      </c>
      <c r="H95" s="21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s="296" t="s">
        <v>143</v>
      </c>
      <c r="B96" s="249">
        <f>1646809.63+83250.44</f>
        <v>1730060.0699999998</v>
      </c>
      <c r="C96" s="249">
        <f>-83250.44-(925*10)</f>
        <v>-92500.44</v>
      </c>
      <c r="D96" s="249">
        <f t="shared" si="20"/>
        <v>1637559.63</v>
      </c>
      <c r="E96" s="249">
        <f>(D96-(86503*10))/10</f>
        <v>77252.962999999989</v>
      </c>
      <c r="F96" s="249">
        <f t="shared" si="21"/>
        <v>86503.003499999992</v>
      </c>
      <c r="G96" s="297">
        <v>77252.97</v>
      </c>
      <c r="H96" s="21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s="296" t="s">
        <v>144</v>
      </c>
      <c r="B97" s="249">
        <f>261161.66+13202.39</f>
        <v>274364.05</v>
      </c>
      <c r="C97" s="249">
        <f>-13202.39-(147*10)</f>
        <v>-14672.39</v>
      </c>
      <c r="D97" s="249">
        <f t="shared" si="20"/>
        <v>259691.65999999997</v>
      </c>
      <c r="E97" s="249">
        <f>(D97-(13718*10))/10</f>
        <v>12251.165999999997</v>
      </c>
      <c r="F97" s="249">
        <f t="shared" si="21"/>
        <v>13718.202499999999</v>
      </c>
      <c r="G97" s="297">
        <v>12251.27</v>
      </c>
      <c r="H97" s="21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">
      <c r="A98" s="296"/>
      <c r="B98" s="249">
        <f t="shared" ref="B98:G98" si="22">SUM(B92:B97)</f>
        <v>11374629.75</v>
      </c>
      <c r="C98" s="249">
        <f t="shared" si="22"/>
        <v>-608166.76</v>
      </c>
      <c r="D98" s="249">
        <f t="shared" si="22"/>
        <v>10766462.990000002</v>
      </c>
      <c r="E98" s="249">
        <f t="shared" si="22"/>
        <v>507915.299</v>
      </c>
      <c r="F98" s="249">
        <f t="shared" si="22"/>
        <v>568731.48750000005</v>
      </c>
      <c r="G98" s="297">
        <f t="shared" si="22"/>
        <v>507915.19999999995</v>
      </c>
      <c r="H98" s="21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">
      <c r="A99" s="296"/>
      <c r="B99" s="249"/>
      <c r="C99" s="249"/>
      <c r="D99" s="249"/>
      <c r="E99" s="249"/>
      <c r="F99" s="249"/>
      <c r="G99" s="297"/>
      <c r="H99" s="21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">
      <c r="A100" s="296"/>
      <c r="B100" s="249"/>
      <c r="C100" s="249"/>
      <c r="D100" s="249"/>
      <c r="E100" s="249"/>
      <c r="F100" s="249"/>
      <c r="G100" s="29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">
      <c r="A101" s="296"/>
      <c r="B101" s="249"/>
      <c r="C101" s="249"/>
      <c r="D101" s="249"/>
      <c r="E101" s="249"/>
      <c r="F101" s="249"/>
      <c r="G101" s="29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thickBot="1" x14ac:dyDescent="0.25">
      <c r="A102" s="298"/>
      <c r="B102" s="299"/>
      <c r="C102" s="299"/>
      <c r="D102" s="299"/>
      <c r="E102" s="299"/>
      <c r="F102" s="299"/>
      <c r="G102" s="30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thickBo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">
      <c r="A105" s="292" t="s">
        <v>148</v>
      </c>
      <c r="B105" s="294" t="s">
        <v>136</v>
      </c>
      <c r="C105" s="293" t="s">
        <v>134</v>
      </c>
      <c r="D105" s="294" t="s">
        <v>145</v>
      </c>
      <c r="E105" s="293" t="s">
        <v>137</v>
      </c>
      <c r="F105" s="293" t="s">
        <v>138</v>
      </c>
      <c r="G105" s="217" t="s">
        <v>150</v>
      </c>
      <c r="H105" s="2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">
      <c r="A106" s="296" t="s">
        <v>139</v>
      </c>
      <c r="B106" s="249">
        <f>69876.88+3932-(40*10)</f>
        <v>73408.88</v>
      </c>
      <c r="C106" s="249">
        <f>-3532.45-(40*10)</f>
        <v>-3932.45</v>
      </c>
      <c r="D106" s="249">
        <f t="shared" ref="D106:D111" si="23">C106+B106</f>
        <v>69476.430000000008</v>
      </c>
      <c r="E106" s="249">
        <f>(D106-(3670*10))/10</f>
        <v>3277.6430000000009</v>
      </c>
      <c r="F106" s="249">
        <v>3670.47</v>
      </c>
      <c r="G106" s="251">
        <v>3277.98</v>
      </c>
      <c r="H106" s="25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">
      <c r="A107" s="296" t="s">
        <v>140</v>
      </c>
      <c r="B107" s="249">
        <f>13842.01+780-(8*10)</f>
        <v>14542.01</v>
      </c>
      <c r="C107" s="249">
        <f>-699.75-(8*10)</f>
        <v>-779.75</v>
      </c>
      <c r="D107" s="249">
        <f t="shared" si="23"/>
        <v>13762.26</v>
      </c>
      <c r="E107" s="249">
        <f>(D107-(727*10))/10</f>
        <v>649.226</v>
      </c>
      <c r="F107" s="249">
        <v>727.09</v>
      </c>
      <c r="G107" s="251">
        <v>649.34</v>
      </c>
      <c r="H107" s="25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">
      <c r="A108" s="296" t="s">
        <v>141</v>
      </c>
      <c r="B108" s="249">
        <f>33713.76+1894-(19*10)</f>
        <v>35417.760000000002</v>
      </c>
      <c r="C108" s="249">
        <f>-1704.32-(19*10)</f>
        <v>-1894.32</v>
      </c>
      <c r="D108" s="249">
        <f t="shared" si="23"/>
        <v>33523.440000000002</v>
      </c>
      <c r="E108" s="249">
        <f>(D108-(1771*10))/10</f>
        <v>1581.3440000000003</v>
      </c>
      <c r="F108" s="249">
        <v>1770.9</v>
      </c>
      <c r="G108" s="251">
        <v>1581.53</v>
      </c>
      <c r="H108" s="25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">
      <c r="A109" s="296" t="s">
        <v>142</v>
      </c>
      <c r="B109" s="249">
        <f>7701.34+429-(4*10)</f>
        <v>8090.34</v>
      </c>
      <c r="C109" s="249">
        <f>-389.32-(4*10)</f>
        <v>-429.32</v>
      </c>
      <c r="D109" s="249">
        <f t="shared" si="23"/>
        <v>7661.02</v>
      </c>
      <c r="E109" s="249">
        <f>(D109-(405*10))/10</f>
        <v>361.10200000000003</v>
      </c>
      <c r="F109" s="249">
        <v>404.53</v>
      </c>
      <c r="G109" s="251">
        <v>361.27</v>
      </c>
      <c r="H109" s="25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">
      <c r="A110" s="296" t="s">
        <v>143</v>
      </c>
      <c r="B110" s="249">
        <f>23104.01+1289-(13*10)</f>
        <v>24263.01</v>
      </c>
      <c r="C110" s="249">
        <f>-1167.97-(13*10)</f>
        <v>-1297.97</v>
      </c>
      <c r="D110" s="249">
        <f t="shared" si="23"/>
        <v>22965.039999999997</v>
      </c>
      <c r="E110" s="249">
        <f>(D110-(1214*10))/10</f>
        <v>1082.5039999999997</v>
      </c>
      <c r="F110" s="249">
        <v>1216.5999999999999</v>
      </c>
      <c r="G110" s="251">
        <v>1083.83</v>
      </c>
      <c r="H110" s="25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">
      <c r="A111" s="296" t="s">
        <v>144</v>
      </c>
      <c r="B111" s="249">
        <f>3663.99+215-(2*10)</f>
        <v>3858.99</v>
      </c>
      <c r="C111" s="249">
        <f>-185.22-(3*10)</f>
        <v>-215.22</v>
      </c>
      <c r="D111" s="249">
        <f t="shared" si="23"/>
        <v>3643.77</v>
      </c>
      <c r="E111" s="249">
        <f>(D111-(192*10))/10</f>
        <v>172.37700000000001</v>
      </c>
      <c r="F111" s="249">
        <v>192.46</v>
      </c>
      <c r="G111" s="251">
        <v>171.88</v>
      </c>
      <c r="H111" s="25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">
      <c r="A112" s="296"/>
      <c r="B112" s="249">
        <f>SUM(B106:B111)</f>
        <v>159580.99</v>
      </c>
      <c r="C112" s="249">
        <f>SUM(C106:C111)</f>
        <v>-8549.0299999999988</v>
      </c>
      <c r="D112" s="249">
        <f>SUM(D106:D111)</f>
        <v>151031.96</v>
      </c>
      <c r="E112" s="249">
        <f>SUM(E106:E111)</f>
        <v>7124.1960000000017</v>
      </c>
      <c r="F112" s="249">
        <f>B112/20</f>
        <v>7979.0494999999992</v>
      </c>
      <c r="G112" s="251">
        <f>SUM(G106:G111)</f>
        <v>7125.8300000000008</v>
      </c>
      <c r="H112" s="25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">
      <c r="A113" s="296"/>
      <c r="B113" s="249"/>
      <c r="C113" s="249"/>
      <c r="D113" s="249"/>
      <c r="E113" s="249">
        <f>E112*20</f>
        <v>142483.92000000004</v>
      </c>
      <c r="F113" s="249">
        <f>SUM(F106:F112)</f>
        <v>15961.099499999997</v>
      </c>
      <c r="G113" s="251"/>
      <c r="H113" s="25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">
      <c r="A114" s="301"/>
      <c r="B114" s="249"/>
      <c r="C114" s="249"/>
      <c r="D114" s="249"/>
      <c r="E114" s="249"/>
      <c r="F114" s="249"/>
      <c r="G114" s="219"/>
      <c r="H114" s="25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thickBot="1" x14ac:dyDescent="0.25">
      <c r="A115" s="302"/>
      <c r="B115" s="299"/>
      <c r="C115" s="299"/>
      <c r="D115" s="299"/>
      <c r="E115" s="299"/>
      <c r="F115" s="218"/>
      <c r="G115" s="253"/>
      <c r="H115" s="25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">
      <c r="A116" s="249"/>
      <c r="B116" s="249"/>
      <c r="C116" s="249"/>
      <c r="D116" s="249"/>
      <c r="E116" s="1"/>
      <c r="F116" s="21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">
      <c r="A118" s="1"/>
      <c r="B118" s="1"/>
      <c r="C118" s="1"/>
      <c r="D118" s="1"/>
      <c r="E118" s="1"/>
      <c r="F118" s="21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W120" s="1"/>
      <c r="X120" s="1"/>
    </row>
    <row r="121" spans="1:24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W121" s="1"/>
      <c r="X121" s="1"/>
    </row>
    <row r="125" spans="1:24" x14ac:dyDescent="0.2">
      <c r="A125" s="209"/>
    </row>
  </sheetData>
  <customSheetViews>
    <customSheetView guid="{6086CA2F-D319-4FB4-8773-987A9787386E}" scale="75" showRuler="0" topLeftCell="A4">
      <selection sqref="A1:IV65536"/>
      <rowBreaks count="1" manualBreakCount="1">
        <brk id="33" max="16383" man="1"/>
      </rowBreaks>
      <pageMargins left="0.75" right="0.75" top="1" bottom="1" header="0.5" footer="0.5"/>
      <pageSetup scale="63" orientation="landscape" r:id="rId1"/>
      <headerFooter alignWithMargins="0">
        <oddFooter>&amp;L&amp;D&amp;R&amp;A</oddFooter>
      </headerFooter>
    </customSheetView>
  </customSheetViews>
  <mergeCells count="3">
    <mergeCell ref="E42:F42"/>
    <mergeCell ref="E68:F68"/>
    <mergeCell ref="A35:B35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&amp;C&amp;A&amp;RAttachment 4
WP- Schedule 22
(Based on Aug. 26, 2013 Offer of Settlement)
Page &amp;P of &amp;N</oddHeader>
  </headerFooter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 enableFormatConditionsCalculation="0"/>
  <dimension ref="A1:X129"/>
  <sheetViews>
    <sheetView view="pageLayout" zoomScale="90" zoomScaleNormal="85" zoomScalePageLayoutView="90" workbookViewId="0">
      <selection activeCell="C6" sqref="C6"/>
    </sheetView>
  </sheetViews>
  <sheetFormatPr defaultRowHeight="12.75" x14ac:dyDescent="0.2"/>
  <cols>
    <col min="1" max="1" width="11.42578125" style="21" customWidth="1"/>
    <col min="2" max="2" width="15.28515625" style="21" customWidth="1"/>
    <col min="3" max="6" width="17.7109375" style="21" customWidth="1"/>
    <col min="7" max="7" width="14.85546875" style="21" customWidth="1"/>
    <col min="8" max="11" width="17.7109375" style="21" customWidth="1"/>
    <col min="12" max="12" width="12" style="21" customWidth="1"/>
    <col min="13" max="13" width="14" style="21" bestFit="1" customWidth="1"/>
    <col min="14" max="14" width="10.7109375" style="21" bestFit="1" customWidth="1"/>
    <col min="15" max="15" width="30.5703125" style="21" bestFit="1" customWidth="1"/>
    <col min="16" max="16" width="15.28515625" style="21" bestFit="1" customWidth="1"/>
    <col min="17" max="17" width="14.28515625" style="21" bestFit="1" customWidth="1"/>
    <col min="18" max="19" width="15.28515625" style="21" bestFit="1" customWidth="1"/>
    <col min="20" max="20" width="9.140625" style="21"/>
    <col min="21" max="21" width="22.85546875" style="21" bestFit="1" customWidth="1"/>
    <col min="22" max="22" width="14.28515625" style="21" bestFit="1" customWidth="1"/>
    <col min="23" max="24" width="15.28515625" style="21" bestFit="1" customWidth="1"/>
    <col min="25" max="16384" width="9.140625" style="21"/>
  </cols>
  <sheetData>
    <row r="1" spans="1:24" ht="15" x14ac:dyDescent="0.25">
      <c r="A1" s="35"/>
      <c r="B1" s="35"/>
      <c r="C1" s="339" t="s">
        <v>69</v>
      </c>
      <c r="D1" s="339"/>
      <c r="E1" s="339"/>
      <c r="F1" s="339"/>
      <c r="H1" s="339" t="s">
        <v>72</v>
      </c>
      <c r="I1" s="339"/>
      <c r="J1" s="339"/>
      <c r="K1" s="339"/>
      <c r="P1" s="21" t="s">
        <v>69</v>
      </c>
      <c r="U1" s="21" t="s">
        <v>72</v>
      </c>
    </row>
    <row r="2" spans="1:24" ht="45" customHeight="1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H2" s="3" t="s">
        <v>5</v>
      </c>
      <c r="I2" s="3" t="s">
        <v>1</v>
      </c>
      <c r="J2" s="3" t="s">
        <v>59</v>
      </c>
      <c r="K2" s="4" t="s">
        <v>0</v>
      </c>
      <c r="N2" s="3" t="s">
        <v>44</v>
      </c>
      <c r="O2" s="3" t="s">
        <v>6</v>
      </c>
      <c r="P2" s="3" t="s">
        <v>5</v>
      </c>
      <c r="Q2" s="4" t="s">
        <v>1</v>
      </c>
      <c r="R2" s="3" t="s">
        <v>59</v>
      </c>
      <c r="S2" s="3" t="s">
        <v>0</v>
      </c>
      <c r="U2" s="3" t="s">
        <v>5</v>
      </c>
      <c r="V2" s="3" t="s">
        <v>1</v>
      </c>
      <c r="W2" s="3" t="s">
        <v>59</v>
      </c>
      <c r="X2" s="4" t="s">
        <v>0</v>
      </c>
    </row>
    <row r="3" spans="1:24" x14ac:dyDescent="0.2">
      <c r="A3" s="32">
        <v>1</v>
      </c>
      <c r="B3" s="10">
        <v>37468</v>
      </c>
      <c r="C3" s="33">
        <v>1302355.06</v>
      </c>
      <c r="D3" s="36">
        <v>273592.33</v>
      </c>
      <c r="E3" s="36">
        <v>0</v>
      </c>
      <c r="F3" s="37">
        <f>SUM(C3:E3)</f>
        <v>1575947.3900000001</v>
      </c>
      <c r="H3" s="38">
        <f>ROUND(C3*0.5825,2)</f>
        <v>758621.82</v>
      </c>
      <c r="I3" s="38">
        <f>ROUND(D3*0.5825,2)</f>
        <v>159367.53</v>
      </c>
      <c r="J3" s="38">
        <f>ROUND(E3*0.5825,2)</f>
        <v>0</v>
      </c>
      <c r="K3" s="37">
        <f t="shared" ref="K3:K25" si="0">SUM(H3:J3)</f>
        <v>917989.35</v>
      </c>
      <c r="N3" s="221">
        <v>1</v>
      </c>
      <c r="O3" s="38">
        <v>37468</v>
      </c>
      <c r="P3" s="38">
        <v>1302355.06</v>
      </c>
      <c r="Q3" s="37">
        <v>273592.33</v>
      </c>
      <c r="R3" s="38">
        <v>0</v>
      </c>
      <c r="S3" s="38">
        <v>1575947.3900000001</v>
      </c>
      <c r="U3" s="38">
        <v>758621.82</v>
      </c>
      <c r="V3" s="38">
        <v>159367.53</v>
      </c>
      <c r="W3" s="38">
        <v>0</v>
      </c>
      <c r="X3" s="37">
        <v>917989.35</v>
      </c>
    </row>
    <row r="4" spans="1:24" x14ac:dyDescent="0.2">
      <c r="A4" s="32">
        <f>+A3+1</f>
        <v>2</v>
      </c>
      <c r="B4" s="10">
        <v>37468</v>
      </c>
      <c r="C4" s="33">
        <v>1596486.08</v>
      </c>
      <c r="D4" s="36">
        <v>335381.92</v>
      </c>
      <c r="E4" s="36">
        <v>0</v>
      </c>
      <c r="F4" s="37">
        <f>SUM(C4:E4)</f>
        <v>1931868</v>
      </c>
      <c r="H4" s="38">
        <f t="shared" ref="H4:J25" si="1">ROUND(C4*0.5825,2)</f>
        <v>929953.14</v>
      </c>
      <c r="I4" s="38">
        <f t="shared" si="1"/>
        <v>195359.97</v>
      </c>
      <c r="J4" s="38">
        <f t="shared" si="1"/>
        <v>0</v>
      </c>
      <c r="K4" s="37">
        <f t="shared" si="0"/>
        <v>1125313.1100000001</v>
      </c>
      <c r="N4" s="221">
        <v>2</v>
      </c>
      <c r="O4" s="38">
        <v>37468</v>
      </c>
      <c r="P4" s="38">
        <v>1596486.08</v>
      </c>
      <c r="Q4" s="37">
        <v>335381.92</v>
      </c>
      <c r="R4" s="38">
        <v>0</v>
      </c>
      <c r="S4" s="38">
        <v>1931868</v>
      </c>
      <c r="U4" s="38">
        <v>929953.14</v>
      </c>
      <c r="V4" s="38">
        <v>195359.97</v>
      </c>
      <c r="W4" s="38">
        <v>0</v>
      </c>
      <c r="X4" s="37">
        <v>1125313.1100000001</v>
      </c>
    </row>
    <row r="5" spans="1:24" x14ac:dyDescent="0.2">
      <c r="A5" s="32">
        <f t="shared" ref="A5:A24" si="2">+A4+1</f>
        <v>3</v>
      </c>
      <c r="B5" s="10">
        <v>37498</v>
      </c>
      <c r="C5" s="33">
        <v>1848614.24</v>
      </c>
      <c r="D5" s="36">
        <v>388347.73</v>
      </c>
      <c r="E5" s="36">
        <v>0</v>
      </c>
      <c r="F5" s="37">
        <f>SUM(C5:E5)</f>
        <v>2236961.9699999997</v>
      </c>
      <c r="H5" s="38">
        <f t="shared" si="1"/>
        <v>1076817.79</v>
      </c>
      <c r="I5" s="38">
        <f t="shared" si="1"/>
        <v>226212.55</v>
      </c>
      <c r="J5" s="38">
        <f t="shared" si="1"/>
        <v>0</v>
      </c>
      <c r="K5" s="37">
        <f t="shared" si="0"/>
        <v>1303030.3400000001</v>
      </c>
      <c r="N5" s="221">
        <v>3</v>
      </c>
      <c r="O5" s="38">
        <v>37498</v>
      </c>
      <c r="P5" s="38">
        <v>1848614.24</v>
      </c>
      <c r="Q5" s="37">
        <v>388347.73</v>
      </c>
      <c r="R5" s="38">
        <v>0</v>
      </c>
      <c r="S5" s="38">
        <v>2236961.9699999997</v>
      </c>
      <c r="U5" s="38">
        <v>1076817.79</v>
      </c>
      <c r="V5" s="38">
        <v>226212.55</v>
      </c>
      <c r="W5" s="38">
        <v>0</v>
      </c>
      <c r="X5" s="37">
        <v>1303030.3400000001</v>
      </c>
    </row>
    <row r="6" spans="1:24" x14ac:dyDescent="0.2">
      <c r="A6" s="32">
        <f t="shared" si="2"/>
        <v>4</v>
      </c>
      <c r="B6" s="10">
        <v>37537</v>
      </c>
      <c r="C6" s="33">
        <v>1770701.71</v>
      </c>
      <c r="D6" s="36">
        <v>371980.28</v>
      </c>
      <c r="E6" s="36">
        <v>0</v>
      </c>
      <c r="F6" s="37">
        <f t="shared" ref="F6:F30" si="3">SUM(C6:E6)</f>
        <v>2142681.9900000002</v>
      </c>
      <c r="H6" s="38">
        <f t="shared" si="1"/>
        <v>1031433.75</v>
      </c>
      <c r="I6" s="38">
        <f t="shared" si="1"/>
        <v>216678.51</v>
      </c>
      <c r="J6" s="38">
        <f t="shared" si="1"/>
        <v>0</v>
      </c>
      <c r="K6" s="37">
        <f t="shared" si="0"/>
        <v>1248112.26</v>
      </c>
      <c r="N6" s="221">
        <v>4</v>
      </c>
      <c r="O6" s="38">
        <v>37537</v>
      </c>
      <c r="P6" s="38">
        <v>1770701.71</v>
      </c>
      <c r="Q6" s="37">
        <v>371980.28</v>
      </c>
      <c r="R6" s="38">
        <v>0</v>
      </c>
      <c r="S6" s="38">
        <v>2142681.9900000002</v>
      </c>
      <c r="U6" s="38">
        <v>1031433.75</v>
      </c>
      <c r="V6" s="38">
        <v>216678.51</v>
      </c>
      <c r="W6" s="38">
        <v>0</v>
      </c>
      <c r="X6" s="37">
        <v>1248112.26</v>
      </c>
    </row>
    <row r="7" spans="1:24" x14ac:dyDescent="0.2">
      <c r="A7" s="32">
        <f t="shared" si="2"/>
        <v>5</v>
      </c>
      <c r="B7" s="10">
        <v>37619</v>
      </c>
      <c r="C7" s="33">
        <v>0</v>
      </c>
      <c r="D7" s="36">
        <v>874487.74</v>
      </c>
      <c r="E7" s="36">
        <v>0</v>
      </c>
      <c r="F7" s="37">
        <f t="shared" si="3"/>
        <v>874487.74</v>
      </c>
      <c r="H7" s="38">
        <f t="shared" si="1"/>
        <v>0</v>
      </c>
      <c r="I7" s="38">
        <f t="shared" si="1"/>
        <v>509389.11</v>
      </c>
      <c r="J7" s="38">
        <f t="shared" si="1"/>
        <v>0</v>
      </c>
      <c r="K7" s="37">
        <f t="shared" si="0"/>
        <v>509389.11</v>
      </c>
      <c r="N7" s="221">
        <v>5</v>
      </c>
      <c r="O7" s="38">
        <v>37619</v>
      </c>
      <c r="P7" s="38">
        <v>0</v>
      </c>
      <c r="Q7" s="37">
        <v>874487.74</v>
      </c>
      <c r="R7" s="38">
        <v>0</v>
      </c>
      <c r="S7" s="38">
        <v>874487.74</v>
      </c>
      <c r="U7" s="38">
        <v>0</v>
      </c>
      <c r="V7" s="38">
        <v>509389.11</v>
      </c>
      <c r="W7" s="38">
        <v>0</v>
      </c>
      <c r="X7" s="37">
        <v>509389.11</v>
      </c>
    </row>
    <row r="8" spans="1:24" x14ac:dyDescent="0.2">
      <c r="A8" s="32">
        <f t="shared" si="2"/>
        <v>6</v>
      </c>
      <c r="B8" s="10">
        <v>37673</v>
      </c>
      <c r="C8" s="33">
        <v>-4456459.05</v>
      </c>
      <c r="D8" s="36">
        <v>-936190.94</v>
      </c>
      <c r="E8" s="36">
        <v>0</v>
      </c>
      <c r="F8" s="37">
        <f t="shared" si="3"/>
        <v>-5392649.9900000002</v>
      </c>
      <c r="H8" s="38">
        <f t="shared" si="1"/>
        <v>-2595887.4</v>
      </c>
      <c r="I8" s="38">
        <f t="shared" si="1"/>
        <v>-545331.22</v>
      </c>
      <c r="J8" s="38">
        <f t="shared" si="1"/>
        <v>0</v>
      </c>
      <c r="K8" s="37">
        <f t="shared" si="0"/>
        <v>-3141218.62</v>
      </c>
      <c r="N8" s="221">
        <v>6</v>
      </c>
      <c r="O8" s="38">
        <v>37673</v>
      </c>
      <c r="P8" s="38">
        <v>-4456459.05</v>
      </c>
      <c r="Q8" s="37">
        <v>-936190.94</v>
      </c>
      <c r="R8" s="38">
        <v>0</v>
      </c>
      <c r="S8" s="38">
        <v>-5392649.9900000002</v>
      </c>
      <c r="U8" s="38">
        <v>-2595887.4</v>
      </c>
      <c r="V8" s="38">
        <v>-545331.22</v>
      </c>
      <c r="W8" s="38">
        <v>0</v>
      </c>
      <c r="X8" s="37">
        <v>-3141218.62</v>
      </c>
    </row>
    <row r="9" spans="1:24" x14ac:dyDescent="0.2">
      <c r="A9" s="32">
        <f t="shared" si="2"/>
        <v>7</v>
      </c>
      <c r="B9" s="10">
        <v>37768</v>
      </c>
      <c r="C9" s="33">
        <v>-172067.84</v>
      </c>
      <c r="D9" s="36">
        <v>-36147.17</v>
      </c>
      <c r="E9" s="36">
        <v>0</v>
      </c>
      <c r="F9" s="37">
        <f t="shared" si="3"/>
        <v>-208215.01</v>
      </c>
      <c r="H9" s="38">
        <f t="shared" si="1"/>
        <v>-100229.52</v>
      </c>
      <c r="I9" s="38">
        <f t="shared" si="1"/>
        <v>-21055.73</v>
      </c>
      <c r="J9" s="38">
        <f t="shared" si="1"/>
        <v>0</v>
      </c>
      <c r="K9" s="37">
        <f t="shared" si="0"/>
        <v>-121285.25</v>
      </c>
      <c r="N9" s="221">
        <v>7</v>
      </c>
      <c r="O9" s="38">
        <v>37768</v>
      </c>
      <c r="P9" s="38">
        <v>-172067.84</v>
      </c>
      <c r="Q9" s="37">
        <v>-36147.17</v>
      </c>
      <c r="R9" s="38">
        <v>0</v>
      </c>
      <c r="S9" s="38">
        <v>-208215.01</v>
      </c>
      <c r="U9" s="38">
        <v>-100229.52</v>
      </c>
      <c r="V9" s="38">
        <v>-21055.73</v>
      </c>
      <c r="W9" s="38">
        <v>0</v>
      </c>
      <c r="X9" s="37">
        <v>-121285.25</v>
      </c>
    </row>
    <row r="10" spans="1:24" x14ac:dyDescent="0.2">
      <c r="A10" s="32">
        <f t="shared" si="2"/>
        <v>8</v>
      </c>
      <c r="B10" s="10">
        <v>37824</v>
      </c>
      <c r="C10" s="33">
        <v>-12261.84</v>
      </c>
      <c r="D10" s="36">
        <v>-2575.91</v>
      </c>
      <c r="E10" s="36">
        <v>0</v>
      </c>
      <c r="F10" s="37">
        <f t="shared" si="3"/>
        <v>-14837.75</v>
      </c>
      <c r="H10" s="38">
        <f t="shared" si="1"/>
        <v>-7142.52</v>
      </c>
      <c r="I10" s="38">
        <f t="shared" si="1"/>
        <v>-1500.47</v>
      </c>
      <c r="J10" s="38">
        <f t="shared" si="1"/>
        <v>0</v>
      </c>
      <c r="K10" s="37">
        <f t="shared" si="0"/>
        <v>-8642.99</v>
      </c>
      <c r="N10" s="221">
        <v>8</v>
      </c>
      <c r="O10" s="38">
        <v>37824</v>
      </c>
      <c r="P10" s="38">
        <v>-12261.84</v>
      </c>
      <c r="Q10" s="37">
        <v>-2575.91</v>
      </c>
      <c r="R10" s="38">
        <v>0</v>
      </c>
      <c r="S10" s="38">
        <v>-14837.75</v>
      </c>
      <c r="U10" s="38">
        <v>-7142.52</v>
      </c>
      <c r="V10" s="38">
        <v>-1500.47</v>
      </c>
      <c r="W10" s="38">
        <v>0</v>
      </c>
      <c r="X10" s="37">
        <v>-8642.99</v>
      </c>
    </row>
    <row r="11" spans="1:24" x14ac:dyDescent="0.2">
      <c r="A11" s="32">
        <f t="shared" si="2"/>
        <v>9</v>
      </c>
      <c r="B11" s="10">
        <v>37867</v>
      </c>
      <c r="C11" s="33">
        <v>727734.95</v>
      </c>
      <c r="D11" s="36">
        <v>124568.05</v>
      </c>
      <c r="E11" s="36">
        <v>0</v>
      </c>
      <c r="F11" s="37">
        <f t="shared" si="3"/>
        <v>852303</v>
      </c>
      <c r="H11" s="38">
        <f t="shared" si="1"/>
        <v>423905.61</v>
      </c>
      <c r="I11" s="38">
        <f t="shared" si="1"/>
        <v>72560.89</v>
      </c>
      <c r="J11" s="38">
        <f t="shared" si="1"/>
        <v>0</v>
      </c>
      <c r="K11" s="37">
        <f t="shared" si="0"/>
        <v>496466.5</v>
      </c>
      <c r="N11" s="221">
        <v>9</v>
      </c>
      <c r="O11" s="38">
        <v>37867</v>
      </c>
      <c r="P11" s="38">
        <v>727734.95</v>
      </c>
      <c r="Q11" s="37">
        <v>124568.05</v>
      </c>
      <c r="R11" s="38">
        <v>0</v>
      </c>
      <c r="S11" s="38">
        <v>852303</v>
      </c>
      <c r="U11" s="38">
        <v>423905.61</v>
      </c>
      <c r="V11" s="38">
        <v>72560.89</v>
      </c>
      <c r="W11" s="38">
        <v>0</v>
      </c>
      <c r="X11" s="37">
        <v>496466.5</v>
      </c>
    </row>
    <row r="12" spans="1:24" x14ac:dyDescent="0.2">
      <c r="A12" s="32">
        <f t="shared" si="2"/>
        <v>10</v>
      </c>
      <c r="B12" s="10">
        <v>38343</v>
      </c>
      <c r="C12" s="33">
        <v>1652235.14</v>
      </c>
      <c r="D12" s="36">
        <v>282816.84999999998</v>
      </c>
      <c r="E12" s="36">
        <v>0</v>
      </c>
      <c r="F12" s="37">
        <f t="shared" si="3"/>
        <v>1935051.9899999998</v>
      </c>
      <c r="H12" s="38">
        <f t="shared" si="1"/>
        <v>962426.97</v>
      </c>
      <c r="I12" s="38">
        <f t="shared" si="1"/>
        <v>164740.82</v>
      </c>
      <c r="J12" s="38">
        <f t="shared" si="1"/>
        <v>0</v>
      </c>
      <c r="K12" s="37">
        <f t="shared" si="0"/>
        <v>1127167.79</v>
      </c>
      <c r="N12" s="221">
        <v>10</v>
      </c>
      <c r="O12" s="38">
        <v>38343</v>
      </c>
      <c r="P12" s="38">
        <v>1652235.14</v>
      </c>
      <c r="Q12" s="37">
        <v>282816.84999999998</v>
      </c>
      <c r="R12" s="38">
        <v>0</v>
      </c>
      <c r="S12" s="38">
        <v>1935051.9899999998</v>
      </c>
      <c r="U12" s="38">
        <v>962426.97</v>
      </c>
      <c r="V12" s="38">
        <v>164740.82</v>
      </c>
      <c r="W12" s="38">
        <v>0</v>
      </c>
      <c r="X12" s="37">
        <v>1127167.79</v>
      </c>
    </row>
    <row r="13" spans="1:24" x14ac:dyDescent="0.2">
      <c r="A13" s="32">
        <f t="shared" si="2"/>
        <v>11</v>
      </c>
      <c r="B13" s="10">
        <v>38413</v>
      </c>
      <c r="C13" s="33">
        <v>4528198.18</v>
      </c>
      <c r="D13" s="36">
        <v>1233116.82</v>
      </c>
      <c r="E13" s="36">
        <v>0</v>
      </c>
      <c r="F13" s="37">
        <f t="shared" si="3"/>
        <v>5761315</v>
      </c>
      <c r="H13" s="38">
        <f t="shared" si="1"/>
        <v>2637675.44</v>
      </c>
      <c r="I13" s="38">
        <f t="shared" si="1"/>
        <v>718290.55</v>
      </c>
      <c r="J13" s="38">
        <f t="shared" si="1"/>
        <v>0</v>
      </c>
      <c r="K13" s="37">
        <f t="shared" si="0"/>
        <v>3355965.99</v>
      </c>
      <c r="N13" s="221">
        <v>11</v>
      </c>
      <c r="O13" s="38">
        <v>38413</v>
      </c>
      <c r="P13" s="38">
        <v>4528198.18</v>
      </c>
      <c r="Q13" s="37">
        <v>1233116.82</v>
      </c>
      <c r="R13" s="38">
        <v>0</v>
      </c>
      <c r="S13" s="38">
        <v>5761315</v>
      </c>
      <c r="U13" s="38">
        <v>2637675.44</v>
      </c>
      <c r="V13" s="38">
        <v>718290.55</v>
      </c>
      <c r="W13" s="38">
        <v>0</v>
      </c>
      <c r="X13" s="37">
        <v>3355965.99</v>
      </c>
    </row>
    <row r="14" spans="1:24" x14ac:dyDescent="0.2">
      <c r="A14" s="32">
        <f t="shared" si="2"/>
        <v>12</v>
      </c>
      <c r="B14" s="10">
        <v>38435</v>
      </c>
      <c r="C14" s="33">
        <v>303137.69</v>
      </c>
      <c r="D14" s="36">
        <v>82550.31</v>
      </c>
      <c r="E14" s="36">
        <v>0</v>
      </c>
      <c r="F14" s="37">
        <f t="shared" si="3"/>
        <v>385688</v>
      </c>
      <c r="H14" s="38">
        <f t="shared" si="1"/>
        <v>176577.7</v>
      </c>
      <c r="I14" s="38">
        <f t="shared" si="1"/>
        <v>48085.56</v>
      </c>
      <c r="J14" s="38">
        <f t="shared" si="1"/>
        <v>0</v>
      </c>
      <c r="K14" s="37">
        <f t="shared" si="0"/>
        <v>224663.26</v>
      </c>
      <c r="N14" s="221">
        <v>12</v>
      </c>
      <c r="O14" s="38">
        <v>38435</v>
      </c>
      <c r="P14" s="38">
        <v>303137.69</v>
      </c>
      <c r="Q14" s="37">
        <v>82550.31</v>
      </c>
      <c r="R14" s="38">
        <v>0</v>
      </c>
      <c r="S14" s="38">
        <v>385688</v>
      </c>
      <c r="U14" s="38">
        <v>176577.7</v>
      </c>
      <c r="V14" s="38">
        <v>48085.56</v>
      </c>
      <c r="W14" s="38">
        <v>0</v>
      </c>
      <c r="X14" s="37">
        <v>224663.26</v>
      </c>
    </row>
    <row r="15" spans="1:24" x14ac:dyDescent="0.2">
      <c r="A15" s="32">
        <f t="shared" si="2"/>
        <v>13</v>
      </c>
      <c r="B15" s="10">
        <v>38447</v>
      </c>
      <c r="C15" s="33">
        <v>303137.69</v>
      </c>
      <c r="D15" s="36">
        <v>82550.31</v>
      </c>
      <c r="E15" s="36">
        <v>0</v>
      </c>
      <c r="F15" s="37">
        <f t="shared" si="3"/>
        <v>385688</v>
      </c>
      <c r="H15" s="38">
        <f t="shared" si="1"/>
        <v>176577.7</v>
      </c>
      <c r="I15" s="38">
        <f t="shared" si="1"/>
        <v>48085.56</v>
      </c>
      <c r="J15" s="38">
        <f t="shared" si="1"/>
        <v>0</v>
      </c>
      <c r="K15" s="37">
        <f t="shared" si="0"/>
        <v>224663.26</v>
      </c>
      <c r="N15" s="221">
        <v>13</v>
      </c>
      <c r="O15" s="38">
        <v>38447</v>
      </c>
      <c r="P15" s="38">
        <v>303137.69</v>
      </c>
      <c r="Q15" s="37">
        <v>82550.31</v>
      </c>
      <c r="R15" s="38">
        <v>0</v>
      </c>
      <c r="S15" s="38">
        <v>385688</v>
      </c>
      <c r="U15" s="38">
        <v>176577.7</v>
      </c>
      <c r="V15" s="38">
        <v>48085.56</v>
      </c>
      <c r="W15" s="38">
        <v>0</v>
      </c>
      <c r="X15" s="37">
        <v>224663.26</v>
      </c>
    </row>
    <row r="16" spans="1:24" x14ac:dyDescent="0.2">
      <c r="A16" s="32">
        <f t="shared" si="2"/>
        <v>14</v>
      </c>
      <c r="B16" s="10">
        <v>38470</v>
      </c>
      <c r="C16" s="33">
        <v>1174675.83</v>
      </c>
      <c r="D16" s="36">
        <v>319887.18</v>
      </c>
      <c r="E16" s="36">
        <v>0</v>
      </c>
      <c r="F16" s="37">
        <f t="shared" si="3"/>
        <v>1494563.01</v>
      </c>
      <c r="H16" s="38">
        <f t="shared" si="1"/>
        <v>684248.67</v>
      </c>
      <c r="I16" s="38">
        <f t="shared" si="1"/>
        <v>186334.28</v>
      </c>
      <c r="J16" s="38">
        <f t="shared" si="1"/>
        <v>0</v>
      </c>
      <c r="K16" s="37">
        <f t="shared" si="0"/>
        <v>870582.95000000007</v>
      </c>
      <c r="N16" s="221">
        <v>14</v>
      </c>
      <c r="O16" s="38">
        <v>38470</v>
      </c>
      <c r="P16" s="38">
        <v>1174675.83</v>
      </c>
      <c r="Q16" s="37">
        <v>319887.18</v>
      </c>
      <c r="R16" s="38">
        <v>0</v>
      </c>
      <c r="S16" s="38">
        <v>1494563.01</v>
      </c>
      <c r="U16" s="38">
        <v>684248.67</v>
      </c>
      <c r="V16" s="38">
        <v>186334.28</v>
      </c>
      <c r="W16" s="38">
        <v>0</v>
      </c>
      <c r="X16" s="37">
        <v>870582.95000000007</v>
      </c>
    </row>
    <row r="17" spans="1:24" x14ac:dyDescent="0.2">
      <c r="A17" s="32">
        <f t="shared" si="2"/>
        <v>15</v>
      </c>
      <c r="B17" s="10">
        <v>38485</v>
      </c>
      <c r="C17" s="33">
        <v>1174675.83</v>
      </c>
      <c r="D17" s="36">
        <v>319887.18</v>
      </c>
      <c r="E17" s="36">
        <v>0</v>
      </c>
      <c r="F17" s="37">
        <f t="shared" si="3"/>
        <v>1494563.01</v>
      </c>
      <c r="H17" s="38">
        <f t="shared" si="1"/>
        <v>684248.67</v>
      </c>
      <c r="I17" s="38">
        <f t="shared" si="1"/>
        <v>186334.28</v>
      </c>
      <c r="J17" s="38">
        <f t="shared" si="1"/>
        <v>0</v>
      </c>
      <c r="K17" s="37">
        <f t="shared" si="0"/>
        <v>870582.95000000007</v>
      </c>
      <c r="N17" s="221">
        <v>15</v>
      </c>
      <c r="O17" s="38">
        <v>38485</v>
      </c>
      <c r="P17" s="38">
        <v>1174675.83</v>
      </c>
      <c r="Q17" s="37">
        <v>319887.18</v>
      </c>
      <c r="R17" s="38">
        <v>0</v>
      </c>
      <c r="S17" s="38">
        <v>1494563.01</v>
      </c>
      <c r="U17" s="38">
        <v>684248.67</v>
      </c>
      <c r="V17" s="38">
        <v>186334.28</v>
      </c>
      <c r="W17" s="38">
        <v>0</v>
      </c>
      <c r="X17" s="37">
        <v>870582.95000000007</v>
      </c>
    </row>
    <row r="18" spans="1:24" x14ac:dyDescent="0.2">
      <c r="A18" s="32">
        <f t="shared" si="2"/>
        <v>16</v>
      </c>
      <c r="B18" s="10">
        <v>38498</v>
      </c>
      <c r="C18" s="33">
        <v>576058.91</v>
      </c>
      <c r="D18" s="36">
        <v>156872.1</v>
      </c>
      <c r="E18" s="36">
        <v>0</v>
      </c>
      <c r="F18" s="37">
        <f t="shared" si="3"/>
        <v>732931.01</v>
      </c>
      <c r="H18" s="38">
        <f t="shared" si="1"/>
        <v>335554.32</v>
      </c>
      <c r="I18" s="38">
        <f t="shared" si="1"/>
        <v>91378</v>
      </c>
      <c r="J18" s="38">
        <f t="shared" si="1"/>
        <v>0</v>
      </c>
      <c r="K18" s="37">
        <f t="shared" si="0"/>
        <v>426932.32</v>
      </c>
      <c r="N18" s="221">
        <v>16</v>
      </c>
      <c r="O18" s="38">
        <v>38498</v>
      </c>
      <c r="P18" s="38">
        <v>576058.91</v>
      </c>
      <c r="Q18" s="37">
        <v>156872.1</v>
      </c>
      <c r="R18" s="38">
        <v>0</v>
      </c>
      <c r="S18" s="38">
        <v>732931.01</v>
      </c>
      <c r="U18" s="38">
        <v>335554.32</v>
      </c>
      <c r="V18" s="38">
        <v>91378</v>
      </c>
      <c r="W18" s="38">
        <v>0</v>
      </c>
      <c r="X18" s="37">
        <v>426932.32</v>
      </c>
    </row>
    <row r="19" spans="1:24" x14ac:dyDescent="0.2">
      <c r="A19" s="32">
        <f t="shared" si="2"/>
        <v>17</v>
      </c>
      <c r="B19" s="10">
        <v>38504</v>
      </c>
      <c r="C19" s="33">
        <v>576058.91</v>
      </c>
      <c r="D19" s="36">
        <v>156872.1</v>
      </c>
      <c r="E19" s="36">
        <v>0</v>
      </c>
      <c r="F19" s="37">
        <f t="shared" si="3"/>
        <v>732931.01</v>
      </c>
      <c r="H19" s="38">
        <f t="shared" si="1"/>
        <v>335554.32</v>
      </c>
      <c r="I19" s="38">
        <f t="shared" si="1"/>
        <v>91378</v>
      </c>
      <c r="J19" s="38">
        <f t="shared" si="1"/>
        <v>0</v>
      </c>
      <c r="K19" s="37">
        <f t="shared" si="0"/>
        <v>426932.32</v>
      </c>
      <c r="N19" s="221">
        <v>17</v>
      </c>
      <c r="O19" s="38">
        <v>38504</v>
      </c>
      <c r="P19" s="38">
        <v>576058.91</v>
      </c>
      <c r="Q19" s="37">
        <v>156872.1</v>
      </c>
      <c r="R19" s="38">
        <v>0</v>
      </c>
      <c r="S19" s="38">
        <v>732931.01</v>
      </c>
      <c r="U19" s="38">
        <v>335554.32</v>
      </c>
      <c r="V19" s="38">
        <v>91378</v>
      </c>
      <c r="W19" s="38">
        <v>0</v>
      </c>
      <c r="X19" s="37">
        <v>426932.32</v>
      </c>
    </row>
    <row r="20" spans="1:24" x14ac:dyDescent="0.2">
      <c r="A20" s="32">
        <f t="shared" si="2"/>
        <v>18</v>
      </c>
      <c r="B20" s="10">
        <v>38520</v>
      </c>
      <c r="C20" s="33">
        <v>-1750734.73</v>
      </c>
      <c r="D20" s="36">
        <v>-476759.27</v>
      </c>
      <c r="E20" s="36">
        <v>0</v>
      </c>
      <c r="F20" s="37">
        <f t="shared" si="3"/>
        <v>-2227494</v>
      </c>
      <c r="H20" s="38">
        <f t="shared" si="1"/>
        <v>-1019802.98</v>
      </c>
      <c r="I20" s="38">
        <f t="shared" si="1"/>
        <v>-277712.27</v>
      </c>
      <c r="J20" s="38">
        <f t="shared" si="1"/>
        <v>0</v>
      </c>
      <c r="K20" s="37">
        <f t="shared" si="0"/>
        <v>-1297515.25</v>
      </c>
      <c r="N20" s="221">
        <v>18</v>
      </c>
      <c r="O20" s="38">
        <v>38520</v>
      </c>
      <c r="P20" s="38">
        <v>-1750734.73</v>
      </c>
      <c r="Q20" s="37">
        <v>-476759.27</v>
      </c>
      <c r="R20" s="38">
        <v>0</v>
      </c>
      <c r="S20" s="38">
        <v>-2227494</v>
      </c>
      <c r="U20" s="38">
        <v>-1019802.98</v>
      </c>
      <c r="V20" s="38">
        <v>-277712.27</v>
      </c>
      <c r="W20" s="38">
        <v>0</v>
      </c>
      <c r="X20" s="37">
        <v>-1297515.25</v>
      </c>
    </row>
    <row r="21" spans="1:24" x14ac:dyDescent="0.2">
      <c r="A21" s="32">
        <f t="shared" si="2"/>
        <v>19</v>
      </c>
      <c r="B21" s="10">
        <v>38539</v>
      </c>
      <c r="C21" s="33">
        <v>380732.19</v>
      </c>
      <c r="D21" s="36">
        <v>103680.82</v>
      </c>
      <c r="E21" s="36">
        <v>0</v>
      </c>
      <c r="F21" s="37">
        <f t="shared" si="3"/>
        <v>484413.01</v>
      </c>
      <c r="H21" s="38">
        <f t="shared" si="1"/>
        <v>221776.5</v>
      </c>
      <c r="I21" s="38">
        <f t="shared" si="1"/>
        <v>60394.080000000002</v>
      </c>
      <c r="J21" s="38">
        <f t="shared" si="1"/>
        <v>0</v>
      </c>
      <c r="K21" s="37">
        <f t="shared" si="0"/>
        <v>282170.58</v>
      </c>
      <c r="N21" s="221">
        <v>19</v>
      </c>
      <c r="O21" s="38">
        <v>38539</v>
      </c>
      <c r="P21" s="38">
        <v>380732.19</v>
      </c>
      <c r="Q21" s="37">
        <v>103680.82</v>
      </c>
      <c r="R21" s="38">
        <v>0</v>
      </c>
      <c r="S21" s="38">
        <v>484413.01</v>
      </c>
      <c r="U21" s="38">
        <v>221776.5</v>
      </c>
      <c r="V21" s="38">
        <v>60394.080000000002</v>
      </c>
      <c r="W21" s="38">
        <v>0</v>
      </c>
      <c r="X21" s="37">
        <v>282170.58</v>
      </c>
    </row>
    <row r="22" spans="1:24" x14ac:dyDescent="0.2">
      <c r="A22" s="32">
        <f t="shared" si="2"/>
        <v>20</v>
      </c>
      <c r="B22" s="10">
        <v>38562</v>
      </c>
      <c r="C22" s="33">
        <v>0</v>
      </c>
      <c r="D22" s="36">
        <v>1139884.8999999999</v>
      </c>
      <c r="E22" s="36">
        <v>0</v>
      </c>
      <c r="F22" s="37">
        <f t="shared" si="3"/>
        <v>1139884.8999999999</v>
      </c>
      <c r="H22" s="38">
        <f t="shared" si="1"/>
        <v>0</v>
      </c>
      <c r="I22" s="38">
        <f t="shared" si="1"/>
        <v>663982.94999999995</v>
      </c>
      <c r="J22" s="38">
        <f t="shared" si="1"/>
        <v>0</v>
      </c>
      <c r="K22" s="37">
        <f t="shared" si="0"/>
        <v>663982.94999999995</v>
      </c>
      <c r="N22" s="221">
        <v>20</v>
      </c>
      <c r="O22" s="38">
        <v>38562</v>
      </c>
      <c r="P22" s="38">
        <v>0</v>
      </c>
      <c r="Q22" s="37">
        <v>1139884.8999999999</v>
      </c>
      <c r="R22" s="38">
        <v>0</v>
      </c>
      <c r="S22" s="38">
        <v>1139884.8999999999</v>
      </c>
      <c r="U22" s="38">
        <v>0</v>
      </c>
      <c r="V22" s="38">
        <v>663982.94999999995</v>
      </c>
      <c r="W22" s="38">
        <v>0</v>
      </c>
      <c r="X22" s="37">
        <v>663982.94999999995</v>
      </c>
    </row>
    <row r="23" spans="1:24" x14ac:dyDescent="0.2">
      <c r="A23" s="32">
        <f t="shared" si="2"/>
        <v>21</v>
      </c>
      <c r="B23" s="10">
        <v>38565</v>
      </c>
      <c r="C23" s="33">
        <v>278059.08</v>
      </c>
      <c r="D23" s="36">
        <v>75720.92</v>
      </c>
      <c r="E23" s="36">
        <v>0</v>
      </c>
      <c r="F23" s="37">
        <f t="shared" si="3"/>
        <v>353780</v>
      </c>
      <c r="H23" s="38">
        <f t="shared" si="1"/>
        <v>161969.41</v>
      </c>
      <c r="I23" s="38">
        <f t="shared" si="1"/>
        <v>44107.44</v>
      </c>
      <c r="J23" s="38">
        <f t="shared" si="1"/>
        <v>0</v>
      </c>
      <c r="K23" s="37">
        <f t="shared" si="0"/>
        <v>206076.85</v>
      </c>
      <c r="M23" s="51"/>
      <c r="N23" s="221">
        <v>21</v>
      </c>
      <c r="O23" s="38">
        <v>38565</v>
      </c>
      <c r="P23" s="38">
        <v>278059.08</v>
      </c>
      <c r="Q23" s="37">
        <v>75720.92</v>
      </c>
      <c r="R23" s="38">
        <v>0</v>
      </c>
      <c r="S23" s="38">
        <v>353780</v>
      </c>
      <c r="U23" s="38">
        <v>161969.41</v>
      </c>
      <c r="V23" s="38">
        <v>44107.44</v>
      </c>
      <c r="W23" s="38">
        <v>0</v>
      </c>
      <c r="X23" s="37">
        <v>206076.85</v>
      </c>
    </row>
    <row r="24" spans="1:24" x14ac:dyDescent="0.2">
      <c r="A24" s="32">
        <f t="shared" si="2"/>
        <v>22</v>
      </c>
      <c r="B24" s="10">
        <v>38603</v>
      </c>
      <c r="C24" s="33">
        <v>280427.98</v>
      </c>
      <c r="D24" s="36">
        <v>76366.009999999995</v>
      </c>
      <c r="E24" s="36">
        <v>0</v>
      </c>
      <c r="F24" s="37">
        <f t="shared" si="3"/>
        <v>356793.99</v>
      </c>
      <c r="H24" s="38">
        <f t="shared" si="1"/>
        <v>163349.29999999999</v>
      </c>
      <c r="I24" s="38">
        <f t="shared" si="1"/>
        <v>44483.199999999997</v>
      </c>
      <c r="J24" s="38">
        <f t="shared" si="1"/>
        <v>0</v>
      </c>
      <c r="K24" s="37">
        <f t="shared" si="0"/>
        <v>207832.5</v>
      </c>
      <c r="M24" s="51"/>
      <c r="N24" s="221">
        <v>22</v>
      </c>
      <c r="O24" s="38">
        <v>38603</v>
      </c>
      <c r="P24" s="38">
        <v>280427.98</v>
      </c>
      <c r="Q24" s="37">
        <v>76366.009999999995</v>
      </c>
      <c r="R24" s="38">
        <v>0</v>
      </c>
      <c r="S24" s="38">
        <v>356793.99</v>
      </c>
      <c r="U24" s="38">
        <v>163349.29999999999</v>
      </c>
      <c r="V24" s="38">
        <v>44483.199999999997</v>
      </c>
      <c r="W24" s="38">
        <v>0</v>
      </c>
      <c r="X24" s="37">
        <v>207832.5</v>
      </c>
    </row>
    <row r="25" spans="1:24" x14ac:dyDescent="0.2">
      <c r="A25" s="32">
        <v>23</v>
      </c>
      <c r="B25" s="10">
        <v>38630</v>
      </c>
      <c r="C25" s="33">
        <v>4835453.54</v>
      </c>
      <c r="D25" s="36">
        <v>1316788.46</v>
      </c>
      <c r="E25" s="36">
        <v>0</v>
      </c>
      <c r="F25" s="37">
        <f t="shared" si="3"/>
        <v>6152242</v>
      </c>
      <c r="H25" s="38">
        <f t="shared" si="1"/>
        <v>2816651.69</v>
      </c>
      <c r="I25" s="38">
        <f t="shared" si="1"/>
        <v>767029.28</v>
      </c>
      <c r="J25" s="38">
        <f t="shared" si="1"/>
        <v>0</v>
      </c>
      <c r="K25" s="37">
        <f t="shared" si="0"/>
        <v>3583680.9699999997</v>
      </c>
      <c r="M25" s="51"/>
      <c r="N25" s="221">
        <v>23</v>
      </c>
      <c r="O25" s="38">
        <v>38630</v>
      </c>
      <c r="P25" s="38">
        <v>4835453.54</v>
      </c>
      <c r="Q25" s="37">
        <v>1316788.46</v>
      </c>
      <c r="R25" s="38">
        <v>0</v>
      </c>
      <c r="S25" s="38">
        <v>6152242</v>
      </c>
      <c r="U25" s="38">
        <v>2816651.69</v>
      </c>
      <c r="V25" s="38">
        <v>767029.28</v>
      </c>
      <c r="W25" s="38">
        <v>0</v>
      </c>
      <c r="X25" s="37">
        <v>3583680.9699999997</v>
      </c>
    </row>
    <row r="26" spans="1:24" x14ac:dyDescent="0.2">
      <c r="A26" s="32">
        <v>24</v>
      </c>
      <c r="B26" s="10">
        <v>38657</v>
      </c>
      <c r="C26" s="33">
        <v>7924624.0599999996</v>
      </c>
      <c r="D26" s="36">
        <v>2158029.94</v>
      </c>
      <c r="E26" s="36">
        <v>0</v>
      </c>
      <c r="F26" s="37">
        <f t="shared" si="3"/>
        <v>10082654</v>
      </c>
      <c r="H26" s="38">
        <f t="shared" ref="H26:J30" si="4">ROUND(C26*0.5825,2)</f>
        <v>4616093.51</v>
      </c>
      <c r="I26" s="38">
        <f t="shared" si="4"/>
        <v>1257052.44</v>
      </c>
      <c r="J26" s="38">
        <f t="shared" si="4"/>
        <v>0</v>
      </c>
      <c r="K26" s="37">
        <f t="shared" ref="K26:K31" si="5">SUM(H26:J26)</f>
        <v>5873145.9499999993</v>
      </c>
      <c r="M26" s="51"/>
      <c r="N26" s="221">
        <v>24</v>
      </c>
      <c r="O26" s="38">
        <v>38657</v>
      </c>
      <c r="P26" s="38">
        <v>7924624.0599999996</v>
      </c>
      <c r="Q26" s="37">
        <v>2158029.94</v>
      </c>
      <c r="R26" s="38">
        <v>0</v>
      </c>
      <c r="S26" s="38">
        <v>10082654</v>
      </c>
      <c r="U26" s="38">
        <v>4616093.51</v>
      </c>
      <c r="V26" s="38">
        <v>1257052.44</v>
      </c>
      <c r="W26" s="38">
        <v>0</v>
      </c>
      <c r="X26" s="37">
        <v>5873145.9499999993</v>
      </c>
    </row>
    <row r="27" spans="1:24" x14ac:dyDescent="0.2">
      <c r="A27" s="32">
        <v>25</v>
      </c>
      <c r="B27" s="10">
        <v>38695</v>
      </c>
      <c r="C27" s="33">
        <v>824059.5</v>
      </c>
      <c r="D27" s="36">
        <v>224407.5</v>
      </c>
      <c r="E27" s="36">
        <v>0</v>
      </c>
      <c r="F27" s="37">
        <f t="shared" si="3"/>
        <v>1048467</v>
      </c>
      <c r="H27" s="38">
        <f t="shared" si="4"/>
        <v>480014.66</v>
      </c>
      <c r="I27" s="38">
        <f t="shared" si="4"/>
        <v>130717.37</v>
      </c>
      <c r="J27" s="38">
        <f t="shared" si="4"/>
        <v>0</v>
      </c>
      <c r="K27" s="37">
        <f t="shared" si="5"/>
        <v>610732.03</v>
      </c>
      <c r="M27" s="51"/>
      <c r="N27" s="221">
        <v>25</v>
      </c>
      <c r="O27" s="38">
        <v>38695</v>
      </c>
      <c r="P27" s="38">
        <v>824059.5</v>
      </c>
      <c r="Q27" s="37">
        <v>224407.5</v>
      </c>
      <c r="R27" s="38">
        <v>0</v>
      </c>
      <c r="S27" s="38">
        <v>1048467</v>
      </c>
      <c r="U27" s="38">
        <v>480014.66</v>
      </c>
      <c r="V27" s="38">
        <v>130717.37</v>
      </c>
      <c r="W27" s="38">
        <v>0</v>
      </c>
      <c r="X27" s="37">
        <v>610732.03</v>
      </c>
    </row>
    <row r="28" spans="1:24" x14ac:dyDescent="0.2">
      <c r="A28" s="32">
        <v>26</v>
      </c>
      <c r="B28" s="10">
        <v>38716</v>
      </c>
      <c r="C28" s="33">
        <v>278111.74</v>
      </c>
      <c r="D28" s="36">
        <v>75735.259999999995</v>
      </c>
      <c r="E28" s="36">
        <v>0</v>
      </c>
      <c r="F28" s="37">
        <f t="shared" si="3"/>
        <v>353847</v>
      </c>
      <c r="H28" s="38">
        <f t="shared" si="4"/>
        <v>162000.09</v>
      </c>
      <c r="I28" s="38">
        <f t="shared" si="4"/>
        <v>44115.79</v>
      </c>
      <c r="J28" s="38">
        <f t="shared" si="4"/>
        <v>0</v>
      </c>
      <c r="K28" s="37">
        <f t="shared" si="5"/>
        <v>206115.88</v>
      </c>
      <c r="M28" s="51"/>
      <c r="N28" s="221">
        <v>26</v>
      </c>
      <c r="O28" s="38">
        <v>38716</v>
      </c>
      <c r="P28" s="38">
        <v>278111.74</v>
      </c>
      <c r="Q28" s="37">
        <v>75735.259999999995</v>
      </c>
      <c r="R28" s="38">
        <v>0</v>
      </c>
      <c r="S28" s="38">
        <v>353847</v>
      </c>
      <c r="U28" s="38">
        <v>162000.09</v>
      </c>
      <c r="V28" s="38">
        <v>44115.79</v>
      </c>
      <c r="W28" s="38">
        <v>0</v>
      </c>
      <c r="X28" s="37">
        <v>206115.88</v>
      </c>
    </row>
    <row r="29" spans="1:24" x14ac:dyDescent="0.2">
      <c r="A29" s="32">
        <v>27</v>
      </c>
      <c r="B29" s="10">
        <v>38730</v>
      </c>
      <c r="C29" s="33">
        <v>1039721.52</v>
      </c>
      <c r="D29" s="36">
        <v>283136.48</v>
      </c>
      <c r="E29" s="36">
        <v>0</v>
      </c>
      <c r="F29" s="37">
        <f t="shared" si="3"/>
        <v>1322858</v>
      </c>
      <c r="H29" s="38">
        <f t="shared" si="4"/>
        <v>605637.79</v>
      </c>
      <c r="I29" s="38">
        <f t="shared" si="4"/>
        <v>164927</v>
      </c>
      <c r="J29" s="38">
        <f t="shared" si="4"/>
        <v>0</v>
      </c>
      <c r="K29" s="37">
        <f t="shared" si="5"/>
        <v>770564.79</v>
      </c>
      <c r="M29" s="51"/>
      <c r="N29" s="221">
        <v>27</v>
      </c>
      <c r="O29" s="38">
        <v>38730</v>
      </c>
      <c r="P29" s="38">
        <v>1039721.52</v>
      </c>
      <c r="Q29" s="37">
        <v>283136.48</v>
      </c>
      <c r="R29" s="38">
        <v>0</v>
      </c>
      <c r="S29" s="38">
        <v>1322858</v>
      </c>
      <c r="U29" s="38">
        <v>605637.79</v>
      </c>
      <c r="V29" s="38">
        <v>164927</v>
      </c>
      <c r="W29" s="38">
        <v>0</v>
      </c>
      <c r="X29" s="37">
        <v>770564.79</v>
      </c>
    </row>
    <row r="30" spans="1:24" x14ac:dyDescent="0.2">
      <c r="A30" s="32">
        <v>28</v>
      </c>
      <c r="B30" s="13">
        <v>38775</v>
      </c>
      <c r="C30" s="34">
        <v>260886.49</v>
      </c>
      <c r="D30" s="39">
        <v>71044.479999999996</v>
      </c>
      <c r="E30" s="39">
        <v>382230</v>
      </c>
      <c r="F30" s="39">
        <f t="shared" si="3"/>
        <v>714160.97</v>
      </c>
      <c r="H30" s="38">
        <f>ROUND(C30*0.5825,2)</f>
        <v>151966.38</v>
      </c>
      <c r="I30" s="38">
        <f t="shared" si="4"/>
        <v>41383.410000000003</v>
      </c>
      <c r="J30" s="38">
        <f>ROUND(E30*0.5825,2)</f>
        <v>222648.98</v>
      </c>
      <c r="K30" s="37">
        <f t="shared" si="5"/>
        <v>415998.77</v>
      </c>
      <c r="M30" s="51"/>
      <c r="N30" s="221">
        <v>28</v>
      </c>
      <c r="O30" s="38">
        <v>38775</v>
      </c>
      <c r="P30" s="38">
        <v>260886.49</v>
      </c>
      <c r="Q30" s="37">
        <v>71044.479999999996</v>
      </c>
      <c r="R30" s="38">
        <v>382230</v>
      </c>
      <c r="S30" s="38">
        <v>714160.97</v>
      </c>
      <c r="U30" s="38">
        <v>151966.38</v>
      </c>
      <c r="V30" s="38">
        <v>41383.410000000003</v>
      </c>
      <c r="W30" s="38">
        <v>222648.98</v>
      </c>
      <c r="X30" s="37">
        <v>415998.77</v>
      </c>
    </row>
    <row r="31" spans="1:24" x14ac:dyDescent="0.2">
      <c r="A31" s="32">
        <v>29</v>
      </c>
      <c r="B31" s="17">
        <v>39496</v>
      </c>
      <c r="C31" s="44"/>
      <c r="D31" s="37"/>
      <c r="E31" s="37">
        <v>0</v>
      </c>
      <c r="F31" s="39">
        <f>SUM(C31:E31)</f>
        <v>0</v>
      </c>
      <c r="H31" s="44">
        <f>-(351295.03+69588.56+169490.65+38717.27+116151.81+18420.1)</f>
        <v>-763663.42</v>
      </c>
      <c r="I31" s="37">
        <f>-(117027.32+23182.12+56462.62+12897.93+38693.78+6136.31)</f>
        <v>-254400.08</v>
      </c>
      <c r="J31" s="37">
        <f>-(4928.51+976.3+2377.88+543.19+1629.56+258.43)</f>
        <v>-10713.87</v>
      </c>
      <c r="K31" s="37">
        <f t="shared" si="5"/>
        <v>-1028777.37</v>
      </c>
      <c r="M31" s="51"/>
      <c r="N31" s="222">
        <v>29</v>
      </c>
      <c r="O31" s="37">
        <v>39496</v>
      </c>
      <c r="P31" s="37"/>
      <c r="Q31" s="37"/>
      <c r="R31" s="44">
        <v>0</v>
      </c>
      <c r="S31" s="37">
        <v>0</v>
      </c>
      <c r="U31" s="44">
        <v>-763663.42</v>
      </c>
      <c r="V31" s="37">
        <v>-254400.08</v>
      </c>
      <c r="W31" s="37">
        <v>-10713.87</v>
      </c>
      <c r="X31" s="37">
        <v>-1028777.37</v>
      </c>
    </row>
    <row r="32" spans="1:24" x14ac:dyDescent="0.2">
      <c r="B32" s="274" t="s">
        <v>0</v>
      </c>
      <c r="C32" s="38">
        <f>SUM(C3:C31)</f>
        <v>27244622.859999992</v>
      </c>
      <c r="D32" s="38">
        <f>SUM(D3:D31)</f>
        <v>9076032.3800000008</v>
      </c>
      <c r="E32" s="38">
        <f>SUM(E3:E31)</f>
        <v>382230</v>
      </c>
      <c r="F32" s="38">
        <f>SUM(F3:F31)</f>
        <v>36702885.239999995</v>
      </c>
      <c r="H32" s="172">
        <f>SUM(H3:H31)</f>
        <v>15106329.390000001</v>
      </c>
      <c r="I32" s="40">
        <f>SUM(I3:I31)</f>
        <v>5032388.8000000007</v>
      </c>
      <c r="J32" s="40">
        <f>SUM(J3:J31)</f>
        <v>211935.11000000002</v>
      </c>
      <c r="K32" s="40">
        <f>SUM(K3:K31)</f>
        <v>20350653.299999997</v>
      </c>
      <c r="N32" s="172"/>
      <c r="O32" s="40" t="s">
        <v>0</v>
      </c>
      <c r="P32" s="40">
        <v>27244622.859999992</v>
      </c>
      <c r="Q32" s="40">
        <v>9076032.3800000008</v>
      </c>
      <c r="R32" s="172">
        <v>382230</v>
      </c>
      <c r="S32" s="40">
        <v>36702885.239999995</v>
      </c>
      <c r="U32" s="172">
        <v>15106329.390000001</v>
      </c>
      <c r="V32" s="40">
        <v>5032388.8000000007</v>
      </c>
      <c r="W32" s="40">
        <v>211935.11000000002</v>
      </c>
      <c r="X32" s="40">
        <v>20350653.299999997</v>
      </c>
    </row>
    <row r="33" spans="1:24" x14ac:dyDescent="0.2">
      <c r="C33" s="38"/>
      <c r="H33" s="36">
        <f>SUM(H3:H30)</f>
        <v>15869992.810000001</v>
      </c>
      <c r="J33" s="38">
        <f>J30</f>
        <v>222648.98</v>
      </c>
      <c r="K33" s="38"/>
      <c r="U33" s="3">
        <v>15869992.810000001</v>
      </c>
      <c r="V33" s="3"/>
      <c r="W33" s="3">
        <v>222648.98</v>
      </c>
      <c r="X33" s="4"/>
    </row>
    <row r="34" spans="1:24" x14ac:dyDescent="0.2">
      <c r="A34" s="340" t="s">
        <v>68</v>
      </c>
      <c r="B34" s="340"/>
      <c r="C34" s="16">
        <v>38864</v>
      </c>
      <c r="H34" s="36"/>
      <c r="I34" s="38"/>
      <c r="N34" s="334" t="s">
        <v>152</v>
      </c>
      <c r="O34" s="334"/>
      <c r="P34" s="334"/>
      <c r="Q34" s="334"/>
      <c r="R34" s="334"/>
      <c r="S34" s="334"/>
      <c r="T34" s="334"/>
      <c r="U34" s="334"/>
      <c r="V34" s="334"/>
      <c r="W34" s="334"/>
      <c r="X34" s="334"/>
    </row>
    <row r="36" spans="1:24" x14ac:dyDescent="0.2">
      <c r="A36" s="336" t="s">
        <v>38</v>
      </c>
      <c r="B36" s="337"/>
      <c r="C36" s="337"/>
      <c r="D36" s="337"/>
      <c r="E36" s="337"/>
      <c r="F36" s="337"/>
      <c r="G36" s="337"/>
      <c r="H36" s="337"/>
      <c r="I36" s="337"/>
      <c r="J36" s="338"/>
    </row>
    <row r="37" spans="1:24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</row>
    <row r="38" spans="1:24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49">
        <v>490871.97</v>
      </c>
    </row>
    <row r="39" spans="1:24" x14ac:dyDescent="0.2">
      <c r="A39" s="148" t="s">
        <v>50</v>
      </c>
      <c r="B39" s="135">
        <f>C34</f>
        <v>38864</v>
      </c>
      <c r="C39" s="54">
        <v>38898</v>
      </c>
      <c r="D39" s="136">
        <f t="shared" ref="D39:D46" si="6">+C39-B39+1</f>
        <v>35</v>
      </c>
      <c r="E39" s="137">
        <v>7.3</v>
      </c>
      <c r="F39" s="138">
        <f>H33</f>
        <v>15869992.810000001</v>
      </c>
      <c r="G39" s="139">
        <f t="shared" ref="G39:G46" si="7">+D39/365*E39/100*F39</f>
        <v>111089.94966999999</v>
      </c>
      <c r="H39" s="139"/>
      <c r="I39" s="140"/>
      <c r="J39" s="144">
        <f>+F39+G39</f>
        <v>15981082.759670001</v>
      </c>
      <c r="K39" s="49">
        <v>4516709.18</v>
      </c>
    </row>
    <row r="40" spans="1:24" x14ac:dyDescent="0.2">
      <c r="A40" s="121" t="s">
        <v>51</v>
      </c>
      <c r="B40" s="122">
        <f t="shared" ref="B40:B61" si="8">C39+1</f>
        <v>38899</v>
      </c>
      <c r="C40" s="61">
        <v>38990</v>
      </c>
      <c r="D40" s="123">
        <f t="shared" si="6"/>
        <v>92</v>
      </c>
      <c r="E40" s="62">
        <v>7.74</v>
      </c>
      <c r="F40" s="124">
        <f>J39</f>
        <v>15981082.759670001</v>
      </c>
      <c r="G40" s="125">
        <f t="shared" si="7"/>
        <v>311775.60031522787</v>
      </c>
      <c r="H40" s="125">
        <f>H33/20</f>
        <v>793499.64049999998</v>
      </c>
      <c r="I40" s="126">
        <f>G$41/20</f>
        <v>21143.277499261392</v>
      </c>
      <c r="J40" s="145">
        <f>+F40+G40-H40-I40</f>
        <v>15478215.441985967</v>
      </c>
      <c r="K40" s="49">
        <v>3095297.1</v>
      </c>
    </row>
    <row r="41" spans="1:24" x14ac:dyDescent="0.2">
      <c r="A41" s="121"/>
      <c r="B41" s="122"/>
      <c r="C41" s="61"/>
      <c r="D41" s="123"/>
      <c r="E41" s="335" t="s">
        <v>100</v>
      </c>
      <c r="F41" s="335"/>
      <c r="G41" s="149">
        <f>SUM(G39:G40)</f>
        <v>422865.54998522787</v>
      </c>
      <c r="H41" s="125"/>
      <c r="I41" s="126"/>
      <c r="J41" s="95"/>
      <c r="K41" s="204">
        <v>9361563.3399999999</v>
      </c>
    </row>
    <row r="42" spans="1:24" x14ac:dyDescent="0.2">
      <c r="A42" s="121" t="s">
        <v>52</v>
      </c>
      <c r="B42" s="122">
        <f>C40+1</f>
        <v>38991</v>
      </c>
      <c r="C42" s="61">
        <v>39082</v>
      </c>
      <c r="D42" s="123">
        <f t="shared" si="6"/>
        <v>92</v>
      </c>
      <c r="E42" s="62">
        <v>8.17</v>
      </c>
      <c r="F42" s="124">
        <f>F$39+G$41-SUM(H$40:H41)-SUM(I$40:I41)</f>
        <v>15478215.441985967</v>
      </c>
      <c r="G42" s="125">
        <f t="shared" si="7"/>
        <v>318740.98232368036</v>
      </c>
      <c r="H42" s="125">
        <f>H40</f>
        <v>793499.64049999998</v>
      </c>
      <c r="I42" s="143">
        <f>G$41/20</f>
        <v>21143.277499261392</v>
      </c>
      <c r="J42" s="87"/>
      <c r="K42" s="204">
        <v>1854446.06</v>
      </c>
    </row>
    <row r="43" spans="1:24" x14ac:dyDescent="0.2">
      <c r="A43" s="121" t="s">
        <v>53</v>
      </c>
      <c r="B43" s="122">
        <f t="shared" si="8"/>
        <v>39083</v>
      </c>
      <c r="C43" s="61">
        <v>39172</v>
      </c>
      <c r="D43" s="123">
        <f t="shared" si="6"/>
        <v>90</v>
      </c>
      <c r="E43" s="62">
        <v>8.25</v>
      </c>
      <c r="F43" s="124">
        <f>F$39+G$41-SUM(H$40:H42)-SUM(I$40:I42)</f>
        <v>14663572.523986707</v>
      </c>
      <c r="G43" s="125">
        <f t="shared" si="7"/>
        <v>298293.22189205833</v>
      </c>
      <c r="H43" s="125">
        <f t="shared" ref="H43:H50" si="9">H42</f>
        <v>793499.64049999998</v>
      </c>
      <c r="I43" s="143">
        <f>G$41/20</f>
        <v>21143.277499261392</v>
      </c>
      <c r="J43" s="50"/>
      <c r="K43" s="205">
        <v>1031765.68</v>
      </c>
    </row>
    <row r="44" spans="1:24" x14ac:dyDescent="0.2">
      <c r="A44" s="121" t="s">
        <v>54</v>
      </c>
      <c r="B44" s="122">
        <f t="shared" si="8"/>
        <v>39173</v>
      </c>
      <c r="C44" s="61">
        <v>39263</v>
      </c>
      <c r="D44" s="123">
        <f t="shared" si="6"/>
        <v>91</v>
      </c>
      <c r="E44" s="62">
        <v>8.25</v>
      </c>
      <c r="F44" s="124">
        <f>F$39+G$41-SUM(H$40:H43)-SUM(I$40:I43)</f>
        <v>13848929.605987443</v>
      </c>
      <c r="G44" s="125">
        <f t="shared" si="7"/>
        <v>284851.61374507053</v>
      </c>
      <c r="H44" s="125">
        <f t="shared" si="9"/>
        <v>793499.64049999998</v>
      </c>
      <c r="I44" s="143">
        <f>G$41/20</f>
        <v>21143.277499261392</v>
      </c>
      <c r="J44" s="87"/>
    </row>
    <row r="45" spans="1:24" x14ac:dyDescent="0.2">
      <c r="A45" s="121" t="s">
        <v>55</v>
      </c>
      <c r="B45" s="122">
        <f t="shared" si="8"/>
        <v>39264</v>
      </c>
      <c r="C45" s="61">
        <v>39355</v>
      </c>
      <c r="D45" s="123">
        <f t="shared" si="6"/>
        <v>92</v>
      </c>
      <c r="E45" s="62">
        <v>8.25</v>
      </c>
      <c r="F45" s="124">
        <f>F$39+G$41-SUM(H$40:H44)-SUM(I$40:I44)</f>
        <v>13034286.687988184</v>
      </c>
      <c r="G45" s="125">
        <f t="shared" si="7"/>
        <v>271041.74236117897</v>
      </c>
      <c r="H45" s="125">
        <f t="shared" si="9"/>
        <v>793499.64049999998</v>
      </c>
      <c r="I45" s="143">
        <f>G$41/20</f>
        <v>21143.277499261392</v>
      </c>
      <c r="J45" s="87"/>
      <c r="K45" s="49">
        <f>SUM(K38:K43)</f>
        <v>20350653.329999998</v>
      </c>
    </row>
    <row r="46" spans="1:24" x14ac:dyDescent="0.2">
      <c r="A46" s="127" t="s">
        <v>56</v>
      </c>
      <c r="B46" s="122">
        <f t="shared" si="8"/>
        <v>39356</v>
      </c>
      <c r="C46" s="61">
        <v>39447</v>
      </c>
      <c r="D46" s="123">
        <f t="shared" si="6"/>
        <v>92</v>
      </c>
      <c r="E46" s="62">
        <v>8.25</v>
      </c>
      <c r="F46" s="124">
        <f>F$39+G$41-SUM(H$40:H45)-SUM(I$40:I45)</f>
        <v>12219643.769988921</v>
      </c>
      <c r="G46" s="125">
        <f t="shared" si="7"/>
        <v>254101.63346360525</v>
      </c>
      <c r="H46" s="125">
        <f t="shared" si="9"/>
        <v>793499.64049999998</v>
      </c>
      <c r="I46" s="143">
        <f>G$41/20</f>
        <v>21143.277499261392</v>
      </c>
      <c r="J46" s="87"/>
    </row>
    <row r="47" spans="1:24" x14ac:dyDescent="0.2">
      <c r="A47" s="127" t="s">
        <v>78</v>
      </c>
      <c r="B47" s="122">
        <f t="shared" si="8"/>
        <v>39448</v>
      </c>
      <c r="C47" s="122">
        <v>39538</v>
      </c>
      <c r="D47" s="123">
        <f t="shared" ref="D47:D61" si="10">+C47-B47+1</f>
        <v>91</v>
      </c>
      <c r="E47" s="62">
        <v>7.76</v>
      </c>
      <c r="F47" s="124">
        <f>F$39+G$41-SUM(H$40:H46)-SUM(I$40:I46)</f>
        <v>11405000.851989662</v>
      </c>
      <c r="G47" s="125">
        <f>+D47/366*E47/100*F47</f>
        <v>220047.96179347052</v>
      </c>
      <c r="H47" s="125">
        <f t="shared" si="9"/>
        <v>793499.64049999998</v>
      </c>
      <c r="I47" s="126">
        <f t="shared" ref="I47:I60" si="11">G$41/20</f>
        <v>21143.277499261392</v>
      </c>
      <c r="J47" s="28"/>
    </row>
    <row r="48" spans="1:24" x14ac:dyDescent="0.2">
      <c r="A48" s="127" t="s">
        <v>79</v>
      </c>
      <c r="B48" s="122">
        <f t="shared" si="8"/>
        <v>39539</v>
      </c>
      <c r="C48" s="122">
        <v>39629</v>
      </c>
      <c r="D48" s="123">
        <f t="shared" si="10"/>
        <v>91</v>
      </c>
      <c r="E48" s="62">
        <v>6.77</v>
      </c>
      <c r="F48" s="124">
        <f>F$39+G$41-SUM(H$40:H47)-SUM(I$40:I47)</f>
        <v>10590357.933990398</v>
      </c>
      <c r="G48" s="125">
        <f>+D48/366*E48/100*F48</f>
        <v>178262.34460091431</v>
      </c>
      <c r="H48" s="125">
        <f t="shared" si="9"/>
        <v>793499.64049999998</v>
      </c>
      <c r="I48" s="126">
        <f t="shared" si="11"/>
        <v>21143.277499261392</v>
      </c>
      <c r="J48" s="28"/>
    </row>
    <row r="49" spans="1:10" x14ac:dyDescent="0.2">
      <c r="A49" s="127" t="s">
        <v>80</v>
      </c>
      <c r="B49" s="122">
        <f t="shared" si="8"/>
        <v>39630</v>
      </c>
      <c r="C49" s="122">
        <v>39721</v>
      </c>
      <c r="D49" s="123">
        <f t="shared" si="10"/>
        <v>92</v>
      </c>
      <c r="E49" s="62">
        <v>5.3</v>
      </c>
      <c r="F49" s="124">
        <f>F$39+G$41-SUM(H$40:H48)-SUM(I$40:I48)</f>
        <v>9775715.0159911402</v>
      </c>
      <c r="G49" s="125">
        <f>+D49/366*E49/100*F49</f>
        <v>130236.02846440655</v>
      </c>
      <c r="H49" s="125">
        <f t="shared" si="9"/>
        <v>793499.64049999998</v>
      </c>
      <c r="I49" s="126">
        <f t="shared" si="11"/>
        <v>21143.277499261392</v>
      </c>
      <c r="J49" s="48"/>
    </row>
    <row r="50" spans="1:10" x14ac:dyDescent="0.2">
      <c r="A50" s="127" t="s">
        <v>73</v>
      </c>
      <c r="B50" s="122">
        <f t="shared" si="8"/>
        <v>39722</v>
      </c>
      <c r="C50" s="122">
        <v>39813</v>
      </c>
      <c r="D50" s="123">
        <f t="shared" si="10"/>
        <v>92</v>
      </c>
      <c r="E50" s="62">
        <v>5</v>
      </c>
      <c r="F50" s="124">
        <f>F$39+G$41-SUM(H$40:H49)-SUM(I$40:I49)</f>
        <v>8961072.0979918763</v>
      </c>
      <c r="G50" s="125">
        <f>+D50/366*E50/100*F50</f>
        <v>112625.49631355911</v>
      </c>
      <c r="H50" s="125">
        <f t="shared" si="9"/>
        <v>793499.64049999998</v>
      </c>
      <c r="I50" s="126">
        <f t="shared" si="11"/>
        <v>21143.277499261392</v>
      </c>
      <c r="J50" s="48"/>
    </row>
    <row r="51" spans="1:10" x14ac:dyDescent="0.2">
      <c r="A51" s="127" t="s">
        <v>81</v>
      </c>
      <c r="B51" s="122">
        <f t="shared" si="8"/>
        <v>39814</v>
      </c>
      <c r="C51" s="122">
        <v>39903</v>
      </c>
      <c r="D51" s="123">
        <f t="shared" si="10"/>
        <v>90</v>
      </c>
      <c r="E51" s="62">
        <v>4.5199999999999996</v>
      </c>
      <c r="F51" s="124">
        <f>F$39+G$41-SUM(H$40:H50)-SUM(I$40:I50)</f>
        <v>8146429.1799926162</v>
      </c>
      <c r="G51" s="125">
        <f t="shared" ref="G51:G61" si="12">+D51/365*E51/100*F51</f>
        <v>90793.627134821814</v>
      </c>
      <c r="H51" s="125">
        <f>(H32-(793499.64*10))/10+763663.42</f>
        <v>1480796.719</v>
      </c>
      <c r="I51" s="126">
        <f t="shared" si="11"/>
        <v>21143.277499261392</v>
      </c>
      <c r="J51" s="216"/>
    </row>
    <row r="52" spans="1:10" x14ac:dyDescent="0.2">
      <c r="A52" s="127" t="s">
        <v>82</v>
      </c>
      <c r="B52" s="122">
        <f t="shared" si="8"/>
        <v>39904</v>
      </c>
      <c r="C52" s="122">
        <v>39994</v>
      </c>
      <c r="D52" s="123">
        <f t="shared" si="10"/>
        <v>91</v>
      </c>
      <c r="E52" s="62">
        <v>3.37</v>
      </c>
      <c r="F52" s="124">
        <f>F$39+G$41-SUM(H$40:H51)-SUM(I$40:I51)</f>
        <v>6644489.1834933553</v>
      </c>
      <c r="G52" s="125">
        <f t="shared" si="12"/>
        <v>55826.451997312521</v>
      </c>
      <c r="H52" s="125">
        <f>(H32-(793499.64*10))/10</f>
        <v>717133.299</v>
      </c>
      <c r="I52" s="126">
        <f t="shared" si="11"/>
        <v>21143.277499261392</v>
      </c>
      <c r="J52" s="216"/>
    </row>
    <row r="53" spans="1:10" x14ac:dyDescent="0.2">
      <c r="A53" s="127" t="s">
        <v>84</v>
      </c>
      <c r="B53" s="122">
        <f t="shared" si="8"/>
        <v>39995</v>
      </c>
      <c r="C53" s="122">
        <v>40086</v>
      </c>
      <c r="D53" s="123">
        <f t="shared" si="10"/>
        <v>92</v>
      </c>
      <c r="E53" s="62">
        <v>3.25</v>
      </c>
      <c r="F53" s="124">
        <f>F$39+G$41-SUM(H$40:H52)-SUM(I$40:I52)</f>
        <v>5906212.6069940934</v>
      </c>
      <c r="G53" s="125">
        <f t="shared" si="12"/>
        <v>48382.399164143397</v>
      </c>
      <c r="H53" s="125">
        <f t="shared" ref="H53:H59" si="13">H52</f>
        <v>717133.299</v>
      </c>
      <c r="I53" s="126">
        <f t="shared" si="11"/>
        <v>21143.277499261392</v>
      </c>
      <c r="J53" s="48"/>
    </row>
    <row r="54" spans="1:10" x14ac:dyDescent="0.2">
      <c r="A54" s="127" t="s">
        <v>74</v>
      </c>
      <c r="B54" s="122">
        <f t="shared" si="8"/>
        <v>40087</v>
      </c>
      <c r="C54" s="122">
        <v>40178</v>
      </c>
      <c r="D54" s="123">
        <f t="shared" si="10"/>
        <v>92</v>
      </c>
      <c r="E54" s="62">
        <v>3.25</v>
      </c>
      <c r="F54" s="124">
        <f>F$39+G$41-SUM(H$40:H53)-SUM(I$40:I53)</f>
        <v>5167936.0304948315</v>
      </c>
      <c r="G54" s="125">
        <f t="shared" si="12"/>
        <v>42334.59926350561</v>
      </c>
      <c r="H54" s="125">
        <f t="shared" si="13"/>
        <v>717133.299</v>
      </c>
      <c r="I54" s="126">
        <f t="shared" si="11"/>
        <v>21143.277499261392</v>
      </c>
      <c r="J54" s="48"/>
    </row>
    <row r="55" spans="1:10" x14ac:dyDescent="0.2">
      <c r="A55" s="127" t="s">
        <v>85</v>
      </c>
      <c r="B55" s="122">
        <f t="shared" si="8"/>
        <v>40179</v>
      </c>
      <c r="C55" s="122">
        <v>40268</v>
      </c>
      <c r="D55" s="123">
        <f t="shared" si="10"/>
        <v>90</v>
      </c>
      <c r="E55" s="62">
        <v>3.25</v>
      </c>
      <c r="F55" s="124">
        <f>F$39+G$41-SUM(H$40:H54)-SUM(I$40:I54)</f>
        <v>4429659.4539955696</v>
      </c>
      <c r="G55" s="125">
        <f t="shared" si="12"/>
        <v>35497.955898457643</v>
      </c>
      <c r="H55" s="125">
        <f t="shared" si="13"/>
        <v>717133.299</v>
      </c>
      <c r="I55" s="126">
        <f t="shared" si="11"/>
        <v>21143.277499261392</v>
      </c>
      <c r="J55" s="48"/>
    </row>
    <row r="56" spans="1:10" x14ac:dyDescent="0.2">
      <c r="A56" s="127" t="s">
        <v>86</v>
      </c>
      <c r="B56" s="122">
        <f t="shared" si="8"/>
        <v>40269</v>
      </c>
      <c r="C56" s="122">
        <v>40359</v>
      </c>
      <c r="D56" s="123">
        <f t="shared" si="10"/>
        <v>91</v>
      </c>
      <c r="E56" s="62">
        <v>3.25</v>
      </c>
      <c r="F56" s="124">
        <f>F$39+G$41-SUM(H$40:H55)-SUM(I$40:I55)</f>
        <v>3691382.8774963073</v>
      </c>
      <c r="G56" s="125">
        <f t="shared" si="12"/>
        <v>29910.314685466656</v>
      </c>
      <c r="H56" s="125">
        <f t="shared" si="13"/>
        <v>717133.299</v>
      </c>
      <c r="I56" s="126">
        <f t="shared" si="11"/>
        <v>21143.277499261392</v>
      </c>
      <c r="J56" s="48"/>
    </row>
    <row r="57" spans="1:10" x14ac:dyDescent="0.2">
      <c r="A57" s="127" t="s">
        <v>87</v>
      </c>
      <c r="B57" s="122">
        <f t="shared" si="8"/>
        <v>40360</v>
      </c>
      <c r="C57" s="122">
        <v>40451</v>
      </c>
      <c r="D57" s="123">
        <f t="shared" si="10"/>
        <v>92</v>
      </c>
      <c r="E57" s="62">
        <v>3.25</v>
      </c>
      <c r="F57" s="124">
        <f>F$39+G$41-SUM(H$40:H56)-SUM(I$40:I56)</f>
        <v>2953106.3009970454</v>
      </c>
      <c r="G57" s="125">
        <f t="shared" si="12"/>
        <v>24191.199561592239</v>
      </c>
      <c r="H57" s="125">
        <f t="shared" si="13"/>
        <v>717133.299</v>
      </c>
      <c r="I57" s="126">
        <f t="shared" si="11"/>
        <v>21143.277499261392</v>
      </c>
      <c r="J57" s="28"/>
    </row>
    <row r="58" spans="1:10" x14ac:dyDescent="0.2">
      <c r="A58" s="127" t="s">
        <v>75</v>
      </c>
      <c r="B58" s="122">
        <f t="shared" si="8"/>
        <v>40452</v>
      </c>
      <c r="C58" s="122">
        <v>40543</v>
      </c>
      <c r="D58" s="123">
        <f t="shared" si="10"/>
        <v>92</v>
      </c>
      <c r="E58" s="62">
        <v>3.25</v>
      </c>
      <c r="F58" s="124">
        <f>F$39+G$41-SUM(H$40:H57)-SUM(I$40:I57)</f>
        <v>2214829.7244977835</v>
      </c>
      <c r="G58" s="125">
        <f t="shared" si="12"/>
        <v>18143.399660954448</v>
      </c>
      <c r="H58" s="125">
        <f t="shared" si="13"/>
        <v>717133.299</v>
      </c>
      <c r="I58" s="126">
        <f t="shared" si="11"/>
        <v>21143.277499261392</v>
      </c>
      <c r="J58" s="28"/>
    </row>
    <row r="59" spans="1:10" x14ac:dyDescent="0.2">
      <c r="A59" s="127" t="s">
        <v>88</v>
      </c>
      <c r="B59" s="122">
        <f t="shared" si="8"/>
        <v>40544</v>
      </c>
      <c r="C59" s="122">
        <v>40633</v>
      </c>
      <c r="D59" s="123">
        <f t="shared" si="10"/>
        <v>90</v>
      </c>
      <c r="E59" s="62">
        <v>3.25</v>
      </c>
      <c r="F59" s="124">
        <f>F$39+G$41-SUM(H$40:H58)-SUM(I$40:I58)</f>
        <v>1476553.1479985216</v>
      </c>
      <c r="G59" s="125">
        <f t="shared" si="12"/>
        <v>11832.651939440206</v>
      </c>
      <c r="H59" s="125">
        <f t="shared" si="13"/>
        <v>717133.299</v>
      </c>
      <c r="I59" s="126">
        <f t="shared" si="11"/>
        <v>21143.277499261392</v>
      </c>
      <c r="J59" s="28"/>
    </row>
    <row r="60" spans="1:10" x14ac:dyDescent="0.2">
      <c r="A60" s="127" t="s">
        <v>89</v>
      </c>
      <c r="B60" s="122">
        <f t="shared" si="8"/>
        <v>40634</v>
      </c>
      <c r="C60" s="122">
        <v>40724</v>
      </c>
      <c r="D60" s="123">
        <f t="shared" si="10"/>
        <v>91</v>
      </c>
      <c r="E60" s="62">
        <v>3.25</v>
      </c>
      <c r="F60" s="124">
        <f>F$39+G$41-SUM(H$40:H59)-SUM(I$40:I59)</f>
        <v>738276.57149925968</v>
      </c>
      <c r="G60" s="125">
        <f t="shared" si="12"/>
        <v>5982.0629046823578</v>
      </c>
      <c r="H60" s="125">
        <f>H59-0.01</f>
        <v>717133.28899999999</v>
      </c>
      <c r="I60" s="126">
        <f t="shared" si="11"/>
        <v>21143.277499261392</v>
      </c>
      <c r="J60" s="28"/>
    </row>
    <row r="61" spans="1:10" x14ac:dyDescent="0.2">
      <c r="A61" s="128" t="s">
        <v>90</v>
      </c>
      <c r="B61" s="129">
        <f t="shared" si="8"/>
        <v>40725</v>
      </c>
      <c r="C61" s="129">
        <v>40816</v>
      </c>
      <c r="D61" s="130">
        <f t="shared" si="10"/>
        <v>92</v>
      </c>
      <c r="E61" s="62">
        <v>3.25</v>
      </c>
      <c r="F61" s="131">
        <f>F$39+G$41-SUM(H$40:H60)-SUM(I$40:I60)</f>
        <v>4.9999974435195327E-3</v>
      </c>
      <c r="G61" s="132">
        <f t="shared" si="12"/>
        <v>4.095888316746138E-5</v>
      </c>
      <c r="H61" s="132">
        <v>0</v>
      </c>
      <c r="I61" s="133">
        <v>0</v>
      </c>
      <c r="J61" s="28"/>
    </row>
    <row r="62" spans="1:10" x14ac:dyDescent="0.2">
      <c r="G62" s="46"/>
      <c r="H62" s="46">
        <f>SUM(H39:H61)</f>
        <v>15869992.805000003</v>
      </c>
      <c r="I62" s="46"/>
      <c r="J62" s="46"/>
    </row>
    <row r="63" spans="1:10" x14ac:dyDescent="0.2">
      <c r="A63" s="336" t="s">
        <v>94</v>
      </c>
      <c r="B63" s="337"/>
      <c r="C63" s="337"/>
      <c r="D63" s="337"/>
      <c r="E63" s="337"/>
      <c r="F63" s="337"/>
      <c r="G63" s="337"/>
      <c r="H63" s="337"/>
      <c r="I63" s="337"/>
      <c r="J63" s="338"/>
    </row>
    <row r="64" spans="1:10" x14ac:dyDescent="0.2">
      <c r="A64" s="2" t="s">
        <v>7</v>
      </c>
      <c r="B64" s="2" t="s">
        <v>8</v>
      </c>
      <c r="C64" s="2" t="s">
        <v>9</v>
      </c>
      <c r="D64" s="2" t="s">
        <v>10</v>
      </c>
      <c r="E64" s="2" t="s">
        <v>11</v>
      </c>
      <c r="F64" s="2" t="s">
        <v>12</v>
      </c>
      <c r="G64" s="2" t="s">
        <v>13</v>
      </c>
      <c r="H64" s="2"/>
      <c r="I64" s="2"/>
      <c r="J64" s="2" t="s">
        <v>14</v>
      </c>
    </row>
    <row r="65" spans="1:10" ht="51" x14ac:dyDescent="0.2">
      <c r="A65" s="5" t="s">
        <v>15</v>
      </c>
      <c r="B65" s="5" t="s">
        <v>16</v>
      </c>
      <c r="C65" s="5" t="s">
        <v>17</v>
      </c>
      <c r="D65" s="5" t="s">
        <v>18</v>
      </c>
      <c r="E65" s="5" t="s">
        <v>19</v>
      </c>
      <c r="F65" s="5" t="s">
        <v>20</v>
      </c>
      <c r="G65" s="5" t="s">
        <v>98</v>
      </c>
      <c r="H65" s="5" t="s">
        <v>31</v>
      </c>
      <c r="I65" s="5" t="s">
        <v>99</v>
      </c>
      <c r="J65" s="5" t="s">
        <v>21</v>
      </c>
    </row>
    <row r="66" spans="1:10" s="1" customFormat="1" x14ac:dyDescent="0.2">
      <c r="A66" s="107" t="s">
        <v>49</v>
      </c>
      <c r="B66" s="108">
        <f>B30</f>
        <v>38775</v>
      </c>
      <c r="C66" s="109">
        <v>38807</v>
      </c>
      <c r="D66" s="110">
        <f>+C66-B66+1</f>
        <v>33</v>
      </c>
      <c r="E66" s="111">
        <v>6.78</v>
      </c>
      <c r="F66" s="112">
        <f>J33</f>
        <v>222648.98</v>
      </c>
      <c r="G66" s="112">
        <f>D66/365*E66/100*F66</f>
        <v>1364.8077475397263</v>
      </c>
      <c r="H66" s="111"/>
      <c r="I66" s="113"/>
      <c r="J66" s="146">
        <f>+F66+G66</f>
        <v>224013.78774753973</v>
      </c>
    </row>
    <row r="67" spans="1:10" s="1" customFormat="1" x14ac:dyDescent="0.2">
      <c r="A67" s="114" t="s">
        <v>50</v>
      </c>
      <c r="B67" s="115">
        <f>C66+1</f>
        <v>38808</v>
      </c>
      <c r="C67" s="115">
        <v>38898</v>
      </c>
      <c r="D67" s="116">
        <f>+C67-B67+1</f>
        <v>91</v>
      </c>
      <c r="E67" s="117">
        <v>7.3</v>
      </c>
      <c r="F67" s="118">
        <f>J66</f>
        <v>224013.78774753973</v>
      </c>
      <c r="G67" s="118">
        <f>D67/365*E67/100*F67</f>
        <v>4077.0509370052232</v>
      </c>
      <c r="H67" s="119"/>
      <c r="I67" s="120"/>
      <c r="J67" s="147">
        <f>+F67+G67</f>
        <v>228090.83868454496</v>
      </c>
    </row>
    <row r="68" spans="1:10" x14ac:dyDescent="0.2">
      <c r="A68" s="121" t="s">
        <v>51</v>
      </c>
      <c r="B68" s="122">
        <f>C67+1</f>
        <v>38899</v>
      </c>
      <c r="C68" s="61">
        <v>38990</v>
      </c>
      <c r="D68" s="123">
        <f>+C68-B68+1</f>
        <v>92</v>
      </c>
      <c r="E68" s="62">
        <v>7.74</v>
      </c>
      <c r="F68" s="124">
        <f>J67</f>
        <v>228090.83868454496</v>
      </c>
      <c r="G68" s="125">
        <f>+D68/365*E68/100*F68</f>
        <v>4449.8335454928983</v>
      </c>
      <c r="H68" s="125">
        <f>F66/20</f>
        <v>11132.449000000001</v>
      </c>
      <c r="I68" s="126">
        <f>G$69/20</f>
        <v>494.58461150189243</v>
      </c>
      <c r="J68" s="145">
        <f>+F68+G68</f>
        <v>232540.67223003786</v>
      </c>
    </row>
    <row r="69" spans="1:10" x14ac:dyDescent="0.2">
      <c r="A69" s="121"/>
      <c r="B69" s="122"/>
      <c r="C69" s="61"/>
      <c r="D69" s="123"/>
      <c r="E69" s="335" t="s">
        <v>100</v>
      </c>
      <c r="F69" s="335"/>
      <c r="G69" s="149">
        <f>SUM(G66:G68)</f>
        <v>9891.6922300378483</v>
      </c>
      <c r="H69" s="125"/>
      <c r="I69" s="126"/>
      <c r="J69" s="95"/>
    </row>
    <row r="70" spans="1:10" x14ac:dyDescent="0.2">
      <c r="A70" s="121" t="s">
        <v>52</v>
      </c>
      <c r="B70" s="122">
        <f>C68+1</f>
        <v>38991</v>
      </c>
      <c r="C70" s="61">
        <v>39082</v>
      </c>
      <c r="D70" s="123">
        <f>+C70-B70+1</f>
        <v>92</v>
      </c>
      <c r="E70" s="62">
        <v>8.17</v>
      </c>
      <c r="F70" s="124">
        <f>F$66+G$69-SUM(H$68:H69)-SUM(I$68:I69)</f>
        <v>220913.63861853597</v>
      </c>
      <c r="G70" s="125">
        <f>+D70/365*E70/100*F70</f>
        <v>4549.2473241434627</v>
      </c>
      <c r="H70" s="125">
        <f>H68</f>
        <v>11132.449000000001</v>
      </c>
      <c r="I70" s="143">
        <f t="shared" ref="I70:I88" si="14">G$69/20</f>
        <v>494.58461150189243</v>
      </c>
      <c r="J70" s="87"/>
    </row>
    <row r="71" spans="1:10" x14ac:dyDescent="0.2">
      <c r="A71" s="121" t="s">
        <v>53</v>
      </c>
      <c r="B71" s="122">
        <f>C70+1</f>
        <v>39083</v>
      </c>
      <c r="C71" s="61">
        <v>39172</v>
      </c>
      <c r="D71" s="123">
        <f>+C71-B71+1</f>
        <v>90</v>
      </c>
      <c r="E71" s="62">
        <v>8.25</v>
      </c>
      <c r="F71" s="124">
        <f>F$66+G$69-SUM(H$68:H70)-SUM(I$68:I70)</f>
        <v>209286.60500703409</v>
      </c>
      <c r="G71" s="125">
        <f>+D71/365*E71/100*F71</f>
        <v>4257.4055950061038</v>
      </c>
      <c r="H71" s="125">
        <f t="shared" ref="H71:H78" si="15">H70</f>
        <v>11132.449000000001</v>
      </c>
      <c r="I71" s="143">
        <f t="shared" si="14"/>
        <v>494.58461150189243</v>
      </c>
      <c r="J71" s="87"/>
    </row>
    <row r="72" spans="1:10" x14ac:dyDescent="0.2">
      <c r="A72" s="121" t="s">
        <v>54</v>
      </c>
      <c r="B72" s="122">
        <f>C71+1</f>
        <v>39173</v>
      </c>
      <c r="C72" s="61">
        <v>39263</v>
      </c>
      <c r="D72" s="123">
        <f>+C72-B72+1</f>
        <v>91</v>
      </c>
      <c r="E72" s="62">
        <v>8.25</v>
      </c>
      <c r="F72" s="124">
        <f>F$66+G$69-SUM(H$68:H71)-SUM(I$68:I71)</f>
        <v>197659.57139553217</v>
      </c>
      <c r="G72" s="125">
        <f>+D72/365*E72/100*F72</f>
        <v>4065.5595404163232</v>
      </c>
      <c r="H72" s="125">
        <f t="shared" si="15"/>
        <v>11132.449000000001</v>
      </c>
      <c r="I72" s="143">
        <f t="shared" si="14"/>
        <v>494.58461150189243</v>
      </c>
      <c r="J72" s="87"/>
    </row>
    <row r="73" spans="1:10" x14ac:dyDescent="0.2">
      <c r="A73" s="121" t="s">
        <v>55</v>
      </c>
      <c r="B73" s="122">
        <f>C72+1</f>
        <v>39264</v>
      </c>
      <c r="C73" s="61">
        <v>39355</v>
      </c>
      <c r="D73" s="123">
        <f>+C73-B73+1</f>
        <v>92</v>
      </c>
      <c r="E73" s="62">
        <v>8.25</v>
      </c>
      <c r="F73" s="124">
        <f>F$66+G$69-SUM(H$68:H72)-SUM(I$68:I72)</f>
        <v>186032.53778403028</v>
      </c>
      <c r="G73" s="125">
        <f>+D73/365*E73/100*F73</f>
        <v>3868.4574295364109</v>
      </c>
      <c r="H73" s="125">
        <f t="shared" si="15"/>
        <v>11132.449000000001</v>
      </c>
      <c r="I73" s="143">
        <f t="shared" si="14"/>
        <v>494.58461150189243</v>
      </c>
      <c r="J73" s="87"/>
    </row>
    <row r="74" spans="1:10" x14ac:dyDescent="0.2">
      <c r="A74" s="127" t="s">
        <v>56</v>
      </c>
      <c r="B74" s="122">
        <f>C73+1</f>
        <v>39356</v>
      </c>
      <c r="C74" s="61">
        <v>39447</v>
      </c>
      <c r="D74" s="123">
        <f>+C74-B74+1</f>
        <v>92</v>
      </c>
      <c r="E74" s="62">
        <v>8.25</v>
      </c>
      <c r="F74" s="124">
        <f>F$66+G$69-SUM(H$68:H73)-SUM(I$68:I73)</f>
        <v>174405.5041725284</v>
      </c>
      <c r="G74" s="125">
        <f>+D74/365*E74/100*F74</f>
        <v>3626.678840190385</v>
      </c>
      <c r="H74" s="125">
        <f t="shared" si="15"/>
        <v>11132.449000000001</v>
      </c>
      <c r="I74" s="143">
        <f t="shared" si="14"/>
        <v>494.58461150189243</v>
      </c>
      <c r="J74" s="87"/>
    </row>
    <row r="75" spans="1:10" x14ac:dyDescent="0.2">
      <c r="A75" s="127" t="s">
        <v>78</v>
      </c>
      <c r="B75" s="122">
        <f t="shared" ref="B75:B88" si="16">C74+1</f>
        <v>39448</v>
      </c>
      <c r="C75" s="122">
        <v>39538</v>
      </c>
      <c r="D75" s="123">
        <f t="shared" ref="D75:D88" si="17">+C75-B75+1</f>
        <v>91</v>
      </c>
      <c r="E75" s="62">
        <v>7.76</v>
      </c>
      <c r="F75" s="303">
        <f>F$66+G$69-SUM(H$68:H74)-SUM(I$68:I74)</f>
        <v>162778.47056102648</v>
      </c>
      <c r="G75" s="303">
        <f>+D75/366*E75/100*F75</f>
        <v>3140.6460320047668</v>
      </c>
      <c r="H75" s="303">
        <f t="shared" si="15"/>
        <v>11132.449000000001</v>
      </c>
      <c r="I75" s="143">
        <f t="shared" si="14"/>
        <v>494.58461150189243</v>
      </c>
      <c r="J75" s="87"/>
    </row>
    <row r="76" spans="1:10" x14ac:dyDescent="0.2">
      <c r="A76" s="127" t="s">
        <v>79</v>
      </c>
      <c r="B76" s="122">
        <f t="shared" si="16"/>
        <v>39539</v>
      </c>
      <c r="C76" s="122">
        <v>39629</v>
      </c>
      <c r="D76" s="123">
        <f t="shared" si="17"/>
        <v>91</v>
      </c>
      <c r="E76" s="62">
        <v>6.77</v>
      </c>
      <c r="F76" s="303">
        <f>F$66+G$69-SUM(H$68:H75)-SUM(I$68:I75)</f>
        <v>151151.43694952459</v>
      </c>
      <c r="G76" s="303">
        <f>+D76/366*E76/100*F76</f>
        <v>2544.2586273632132</v>
      </c>
      <c r="H76" s="303">
        <f t="shared" si="15"/>
        <v>11132.449000000001</v>
      </c>
      <c r="I76" s="126">
        <f t="shared" si="14"/>
        <v>494.58461150189243</v>
      </c>
    </row>
    <row r="77" spans="1:10" x14ac:dyDescent="0.2">
      <c r="A77" s="127" t="s">
        <v>80</v>
      </c>
      <c r="B77" s="122">
        <f t="shared" si="16"/>
        <v>39630</v>
      </c>
      <c r="C77" s="122">
        <v>39721</v>
      </c>
      <c r="D77" s="123">
        <f t="shared" si="17"/>
        <v>92</v>
      </c>
      <c r="E77" s="62">
        <v>5.3</v>
      </c>
      <c r="F77" s="303">
        <f>F$66+G$69-SUM(H$68:H76)-SUM(I$68:I76)</f>
        <v>139524.4033380227</v>
      </c>
      <c r="G77" s="303">
        <f>+D77/366*E77/100*F77</f>
        <v>1858.8005209732205</v>
      </c>
      <c r="H77" s="303">
        <f t="shared" si="15"/>
        <v>11132.449000000001</v>
      </c>
      <c r="I77" s="126">
        <f t="shared" si="14"/>
        <v>494.58461150189243</v>
      </c>
    </row>
    <row r="78" spans="1:10" x14ac:dyDescent="0.2">
      <c r="A78" s="127" t="s">
        <v>73</v>
      </c>
      <c r="B78" s="122">
        <f t="shared" si="16"/>
        <v>39722</v>
      </c>
      <c r="C78" s="122">
        <v>39813</v>
      </c>
      <c r="D78" s="123">
        <f t="shared" si="17"/>
        <v>92</v>
      </c>
      <c r="E78" s="62">
        <v>5</v>
      </c>
      <c r="F78" s="303">
        <f>F$66+G$69-SUM(H$68:H77)-SUM(I$68:I77)</f>
        <v>127897.36972652083</v>
      </c>
      <c r="G78" s="303">
        <f>+D78/366*E78/100*F78</f>
        <v>1607.4532807158357</v>
      </c>
      <c r="H78" s="303">
        <f t="shared" si="15"/>
        <v>11132.449000000001</v>
      </c>
      <c r="I78" s="126">
        <f t="shared" si="14"/>
        <v>494.58461150189243</v>
      </c>
      <c r="J78" s="46">
        <f>SUM(I75:I78)</f>
        <v>1978.3384460075697</v>
      </c>
    </row>
    <row r="79" spans="1:10" x14ac:dyDescent="0.2">
      <c r="A79" s="127" t="s">
        <v>81</v>
      </c>
      <c r="B79" s="122">
        <f t="shared" si="16"/>
        <v>39814</v>
      </c>
      <c r="C79" s="122">
        <v>39903</v>
      </c>
      <c r="D79" s="123">
        <f t="shared" si="17"/>
        <v>90</v>
      </c>
      <c r="E79" s="62">
        <v>4.5199999999999996</v>
      </c>
      <c r="F79" s="124">
        <f>F$66+G$69-SUM(H$68:H78)-SUM(I$68:I78)</f>
        <v>116270.33611501894</v>
      </c>
      <c r="G79" s="125">
        <f t="shared" ref="G79:G89" si="18">+D79/365*E79/100*F79</f>
        <v>1295.8567871668413</v>
      </c>
      <c r="H79" s="125">
        <f>(J32-(11132.45*10))/10-J31</f>
        <v>20774.931000000004</v>
      </c>
      <c r="I79" s="126">
        <f t="shared" si="14"/>
        <v>494.58461150189243</v>
      </c>
      <c r="J79" s="46">
        <f>SUM(G75:G78)</f>
        <v>9151.1584610570353</v>
      </c>
    </row>
    <row r="80" spans="1:10" x14ac:dyDescent="0.2">
      <c r="A80" s="127" t="s">
        <v>82</v>
      </c>
      <c r="B80" s="122">
        <f t="shared" si="16"/>
        <v>39904</v>
      </c>
      <c r="C80" s="122">
        <v>39994</v>
      </c>
      <c r="D80" s="123">
        <f t="shared" si="17"/>
        <v>91</v>
      </c>
      <c r="E80" s="62">
        <v>3.37</v>
      </c>
      <c r="F80" s="124">
        <f>F$66+G$69-SUM(H$68:H79)-SUM(I$68:I79)</f>
        <v>95000.820503517039</v>
      </c>
      <c r="G80" s="125">
        <f t="shared" si="18"/>
        <v>798.18908558393332</v>
      </c>
      <c r="H80" s="125">
        <f>(J32-(11132.45*10))/10</f>
        <v>10061.061000000002</v>
      </c>
      <c r="I80" s="126">
        <f t="shared" si="14"/>
        <v>494.58461150189243</v>
      </c>
      <c r="J80" s="46">
        <f>J79+J78</f>
        <v>11129.496907064606</v>
      </c>
    </row>
    <row r="81" spans="1:10" x14ac:dyDescent="0.2">
      <c r="A81" s="127" t="s">
        <v>84</v>
      </c>
      <c r="B81" s="122">
        <f t="shared" si="16"/>
        <v>39995</v>
      </c>
      <c r="C81" s="122">
        <v>40086</v>
      </c>
      <c r="D81" s="123">
        <f t="shared" si="17"/>
        <v>92</v>
      </c>
      <c r="E81" s="62">
        <v>3.25</v>
      </c>
      <c r="F81" s="124">
        <f>F$66+G$69-SUM(H$68:H80)-SUM(I$68:I80)</f>
        <v>84445.174892015129</v>
      </c>
      <c r="G81" s="125">
        <f t="shared" si="18"/>
        <v>691.75636418390479</v>
      </c>
      <c r="H81" s="125">
        <f t="shared" ref="H81:H87" si="19">H80</f>
        <v>10061.061000000002</v>
      </c>
      <c r="I81" s="126">
        <f t="shared" si="14"/>
        <v>494.58461150189243</v>
      </c>
    </row>
    <row r="82" spans="1:10" x14ac:dyDescent="0.2">
      <c r="A82" s="127" t="s">
        <v>74</v>
      </c>
      <c r="B82" s="122">
        <f t="shared" si="16"/>
        <v>40087</v>
      </c>
      <c r="C82" s="122">
        <v>40178</v>
      </c>
      <c r="D82" s="123">
        <f t="shared" si="17"/>
        <v>92</v>
      </c>
      <c r="E82" s="62">
        <v>3.25</v>
      </c>
      <c r="F82" s="124">
        <f>F$66+G$69-SUM(H$68:H81)-SUM(I$68:I81)</f>
        <v>73889.529280513249</v>
      </c>
      <c r="G82" s="125">
        <f t="shared" si="18"/>
        <v>605.28682890064283</v>
      </c>
      <c r="H82" s="125">
        <f t="shared" si="19"/>
        <v>10061.061000000002</v>
      </c>
      <c r="I82" s="126">
        <f t="shared" si="14"/>
        <v>494.58461150189243</v>
      </c>
      <c r="J82" s="46">
        <f>SUM(I79:I82)</f>
        <v>1978.3384460075697</v>
      </c>
    </row>
    <row r="83" spans="1:10" x14ac:dyDescent="0.2">
      <c r="A83" s="127" t="s">
        <v>85</v>
      </c>
      <c r="B83" s="122">
        <f t="shared" si="16"/>
        <v>40179</v>
      </c>
      <c r="C83" s="122">
        <v>40268</v>
      </c>
      <c r="D83" s="123">
        <f t="shared" si="17"/>
        <v>90</v>
      </c>
      <c r="E83" s="62">
        <v>3.25</v>
      </c>
      <c r="F83" s="124">
        <f>F$66+G$69-SUM(H$68:H82)-SUM(I$68:I82)</f>
        <v>63333.883669011375</v>
      </c>
      <c r="G83" s="125">
        <f t="shared" si="18"/>
        <v>507.53865679961166</v>
      </c>
      <c r="H83" s="125">
        <f t="shared" si="19"/>
        <v>10061.061000000002</v>
      </c>
      <c r="I83" s="126">
        <f t="shared" si="14"/>
        <v>494.58461150189243</v>
      </c>
      <c r="J83" s="46">
        <f>SUM(G79:G82)</f>
        <v>3391.0890658353223</v>
      </c>
    </row>
    <row r="84" spans="1:10" x14ac:dyDescent="0.2">
      <c r="A84" s="127" t="s">
        <v>86</v>
      </c>
      <c r="B84" s="122">
        <f t="shared" si="16"/>
        <v>40269</v>
      </c>
      <c r="C84" s="122">
        <v>40359</v>
      </c>
      <c r="D84" s="123">
        <f t="shared" si="17"/>
        <v>91</v>
      </c>
      <c r="E84" s="62">
        <v>3.25</v>
      </c>
      <c r="F84" s="124">
        <f>F$66+G$69-SUM(H$68:H83)-SUM(I$68:I83)</f>
        <v>52778.238057509494</v>
      </c>
      <c r="G84" s="125">
        <f t="shared" si="18"/>
        <v>427.64832617831325</v>
      </c>
      <c r="H84" s="125">
        <f t="shared" si="19"/>
        <v>10061.061000000002</v>
      </c>
      <c r="I84" s="126">
        <f t="shared" si="14"/>
        <v>494.58461150189243</v>
      </c>
      <c r="J84" s="46">
        <f>J83+J82</f>
        <v>5369.4275118428923</v>
      </c>
    </row>
    <row r="85" spans="1:10" x14ac:dyDescent="0.2">
      <c r="A85" s="127" t="s">
        <v>87</v>
      </c>
      <c r="B85" s="122">
        <f t="shared" si="16"/>
        <v>40360</v>
      </c>
      <c r="C85" s="122">
        <v>40451</v>
      </c>
      <c r="D85" s="123">
        <f t="shared" si="17"/>
        <v>92</v>
      </c>
      <c r="E85" s="62">
        <v>3.25</v>
      </c>
      <c r="F85" s="124">
        <f>F$66+G$69-SUM(H$68:H84)-SUM(I$68:I84)</f>
        <v>42222.59244600762</v>
      </c>
      <c r="G85" s="125">
        <f t="shared" si="18"/>
        <v>345.878223050857</v>
      </c>
      <c r="H85" s="125">
        <f t="shared" si="19"/>
        <v>10061.061000000002</v>
      </c>
      <c r="I85" s="126">
        <f t="shared" si="14"/>
        <v>494.58461150189243</v>
      </c>
    </row>
    <row r="86" spans="1:10" x14ac:dyDescent="0.2">
      <c r="A86" s="127" t="s">
        <v>75</v>
      </c>
      <c r="B86" s="122">
        <f t="shared" si="16"/>
        <v>40452</v>
      </c>
      <c r="C86" s="122">
        <v>40543</v>
      </c>
      <c r="D86" s="123">
        <f t="shared" si="17"/>
        <v>92</v>
      </c>
      <c r="E86" s="62">
        <v>3.25</v>
      </c>
      <c r="F86" s="124">
        <f>F$66+G$69-SUM(H$68:H85)-SUM(I$68:I85)</f>
        <v>31666.946834505739</v>
      </c>
      <c r="G86" s="125">
        <f t="shared" si="18"/>
        <v>259.40868776759498</v>
      </c>
      <c r="H86" s="125">
        <f t="shared" si="19"/>
        <v>10061.061000000002</v>
      </c>
      <c r="I86" s="126">
        <f t="shared" si="14"/>
        <v>494.58461150189243</v>
      </c>
      <c r="J86" s="46">
        <f>SUM(I83:I86)</f>
        <v>1978.3384460075697</v>
      </c>
    </row>
    <row r="87" spans="1:10" x14ac:dyDescent="0.2">
      <c r="A87" s="127" t="s">
        <v>88</v>
      </c>
      <c r="B87" s="122">
        <f t="shared" si="16"/>
        <v>40544</v>
      </c>
      <c r="C87" s="122">
        <v>40633</v>
      </c>
      <c r="D87" s="123">
        <f t="shared" si="17"/>
        <v>90</v>
      </c>
      <c r="E87" s="62">
        <v>3.25</v>
      </c>
      <c r="F87" s="124">
        <f>F$66+G$69-SUM(H$68:H86)-SUM(I$68:I86)</f>
        <v>21111.301223003858</v>
      </c>
      <c r="G87" s="125">
        <f t="shared" si="18"/>
        <v>169.17960569119529</v>
      </c>
      <c r="H87" s="125">
        <f t="shared" si="19"/>
        <v>10061.061000000002</v>
      </c>
      <c r="I87" s="126">
        <f t="shared" si="14"/>
        <v>494.58461150189243</v>
      </c>
      <c r="J87" s="46">
        <f>SUM(G83:G86)</f>
        <v>1540.4738937963768</v>
      </c>
    </row>
    <row r="88" spans="1:10" x14ac:dyDescent="0.2">
      <c r="A88" s="127" t="s">
        <v>89</v>
      </c>
      <c r="B88" s="122">
        <f t="shared" si="16"/>
        <v>40634</v>
      </c>
      <c r="C88" s="122">
        <v>40724</v>
      </c>
      <c r="D88" s="123">
        <f t="shared" si="17"/>
        <v>91</v>
      </c>
      <c r="E88" s="62">
        <v>3.25</v>
      </c>
      <c r="F88" s="124">
        <f>F$66+G$69-SUM(H$68:H87)-SUM(I$68:I87)</f>
        <v>10555.655611501979</v>
      </c>
      <c r="G88" s="125">
        <f t="shared" si="18"/>
        <v>85.529730057581105</v>
      </c>
      <c r="H88" s="125">
        <f>H87+0.01</f>
        <v>10061.071000000002</v>
      </c>
      <c r="I88" s="126">
        <f t="shared" si="14"/>
        <v>494.58461150189243</v>
      </c>
      <c r="J88" s="46">
        <f>J87+J86</f>
        <v>3518.8123398039465</v>
      </c>
    </row>
    <row r="89" spans="1:10" x14ac:dyDescent="0.2">
      <c r="A89" s="128"/>
      <c r="B89" s="129"/>
      <c r="C89" s="129"/>
      <c r="D89" s="130"/>
      <c r="E89" s="62"/>
      <c r="F89" s="124">
        <f>F$66+G$69-SUM(H$68:H88)-SUM(I$68:I88)</f>
        <v>9.0949470177292824E-11</v>
      </c>
      <c r="G89" s="132">
        <f t="shared" si="18"/>
        <v>0</v>
      </c>
      <c r="H89" s="132">
        <v>0</v>
      </c>
      <c r="I89" s="133">
        <v>0</v>
      </c>
    </row>
    <row r="90" spans="1:10" x14ac:dyDescent="0.2">
      <c r="G90" s="46"/>
      <c r="H90" s="46">
        <f>SUM(H68:H89)</f>
        <v>222648.97999999992</v>
      </c>
      <c r="I90" s="46"/>
    </row>
    <row r="91" spans="1:10" x14ac:dyDescent="0.2">
      <c r="I91" s="46"/>
    </row>
    <row r="92" spans="1:10" x14ac:dyDescent="0.2">
      <c r="G92" s="46"/>
    </row>
    <row r="102" spans="1:7" x14ac:dyDescent="0.2">
      <c r="A102" s="291" t="s">
        <v>149</v>
      </c>
    </row>
    <row r="103" spans="1:7" ht="13.5" thickBot="1" x14ac:dyDescent="0.25"/>
    <row r="104" spans="1:7" x14ac:dyDescent="0.2">
      <c r="A104" s="304" t="s">
        <v>133</v>
      </c>
      <c r="B104" s="293" t="s">
        <v>62</v>
      </c>
      <c r="C104" s="293" t="s">
        <v>134</v>
      </c>
      <c r="D104" s="294" t="s">
        <v>146</v>
      </c>
      <c r="E104" s="293" t="s">
        <v>135</v>
      </c>
      <c r="F104" s="294" t="s">
        <v>147</v>
      </c>
      <c r="G104" s="305"/>
    </row>
    <row r="105" spans="1:7" x14ac:dyDescent="0.2">
      <c r="A105" s="296" t="s">
        <v>139</v>
      </c>
      <c r="B105" s="306">
        <f>6949106.31+351295</f>
        <v>7300401.3099999996</v>
      </c>
      <c r="C105" s="209">
        <v>-351295.03</v>
      </c>
      <c r="D105" s="209">
        <f t="shared" ref="D105:D110" si="20">C105+B105</f>
        <v>6949106.2799999993</v>
      </c>
      <c r="E105" s="209">
        <f>(D105-(365020*10))/10</f>
        <v>329890.62799999991</v>
      </c>
      <c r="F105" s="209">
        <v>365020.08</v>
      </c>
      <c r="G105" s="307"/>
    </row>
    <row r="106" spans="1:7" x14ac:dyDescent="0.2">
      <c r="A106" s="296" t="s">
        <v>140</v>
      </c>
      <c r="B106" s="209">
        <f>1376558.9+69589</f>
        <v>1446147.9</v>
      </c>
      <c r="C106" s="209">
        <v>-69588.56</v>
      </c>
      <c r="D106" s="209">
        <f t="shared" si="20"/>
        <v>1376559.3399999999</v>
      </c>
      <c r="E106" s="209">
        <f>(D106-(72307*10))/10</f>
        <v>65348.933999999987</v>
      </c>
      <c r="F106" s="209">
        <v>72307.37</v>
      </c>
      <c r="G106" s="307"/>
    </row>
    <row r="107" spans="1:7" x14ac:dyDescent="0.2">
      <c r="A107" s="296" t="s">
        <v>141</v>
      </c>
      <c r="B107" s="209">
        <f>3352761.97+169491</f>
        <v>3522252.97</v>
      </c>
      <c r="C107" s="209">
        <v>-169490.65</v>
      </c>
      <c r="D107" s="209">
        <f t="shared" si="20"/>
        <v>3352762.3200000003</v>
      </c>
      <c r="E107" s="209">
        <f>(D107-(176113*10))/10</f>
        <v>159163.23200000002</v>
      </c>
      <c r="F107" s="209">
        <v>176112.63</v>
      </c>
      <c r="G107" s="307"/>
    </row>
    <row r="108" spans="1:7" x14ac:dyDescent="0.2">
      <c r="A108" s="296" t="s">
        <v>142</v>
      </c>
      <c r="B108" s="209">
        <f>765881.66+38717</f>
        <v>804598.66</v>
      </c>
      <c r="C108" s="209">
        <v>-38717.269999999997</v>
      </c>
      <c r="D108" s="209">
        <f t="shared" si="20"/>
        <v>765881.39</v>
      </c>
      <c r="E108" s="209">
        <f>(D108-(40230*10))/10</f>
        <v>36358.139000000003</v>
      </c>
      <c r="F108" s="209">
        <v>40229.96</v>
      </c>
      <c r="G108" s="307"/>
    </row>
    <row r="109" spans="1:7" x14ac:dyDescent="0.2">
      <c r="A109" s="296" t="s">
        <v>143</v>
      </c>
      <c r="B109" s="209">
        <f>2297645.02+116152</f>
        <v>2413797.02</v>
      </c>
      <c r="C109" s="209">
        <v>-116151.81</v>
      </c>
      <c r="D109" s="209">
        <f t="shared" si="20"/>
        <v>2297645.21</v>
      </c>
      <c r="E109" s="209">
        <f>(D109-(120690*10))/10</f>
        <v>109074.52099999999</v>
      </c>
      <c r="F109" s="209">
        <v>120689.84</v>
      </c>
      <c r="G109" s="307"/>
    </row>
    <row r="110" spans="1:7" x14ac:dyDescent="0.2">
      <c r="A110" s="296" t="s">
        <v>144</v>
      </c>
      <c r="B110" s="209">
        <f>364375.22+18420</f>
        <v>382795.22</v>
      </c>
      <c r="C110" s="209">
        <v>-18420.099999999999</v>
      </c>
      <c r="D110" s="209">
        <f t="shared" si="20"/>
        <v>364375.12</v>
      </c>
      <c r="E110" s="209">
        <f>(D110-(19140*10))/10</f>
        <v>17297.511999999999</v>
      </c>
      <c r="F110" s="209">
        <v>19139.77</v>
      </c>
      <c r="G110" s="307"/>
    </row>
    <row r="111" spans="1:7" x14ac:dyDescent="0.2">
      <c r="A111" s="296"/>
      <c r="B111" s="209">
        <f>SUM(B105:B110)</f>
        <v>15869993.08</v>
      </c>
      <c r="C111" s="209">
        <f>SUM(C105:C110)</f>
        <v>-763663.42</v>
      </c>
      <c r="D111" s="209">
        <f>SUM(D105:D110)</f>
        <v>15106329.659999998</v>
      </c>
      <c r="E111" s="209">
        <f>SUM(E105:E110)</f>
        <v>717132.9659999999</v>
      </c>
      <c r="F111" s="209">
        <f>SUM(F105:F110)</f>
        <v>793499.65</v>
      </c>
      <c r="G111" s="307"/>
    </row>
    <row r="112" spans="1:7" x14ac:dyDescent="0.2">
      <c r="A112" s="296"/>
      <c r="B112" s="209"/>
      <c r="C112" s="209"/>
      <c r="D112" s="209"/>
      <c r="E112" s="209">
        <f>H32</f>
        <v>15106329.390000001</v>
      </c>
      <c r="F112" s="209">
        <f>F111*20</f>
        <v>15869993</v>
      </c>
      <c r="G112" s="307"/>
    </row>
    <row r="113" spans="1:7" x14ac:dyDescent="0.2">
      <c r="A113" s="296"/>
      <c r="B113" s="209"/>
      <c r="C113" s="209"/>
      <c r="D113" s="209"/>
      <c r="E113" s="209"/>
      <c r="F113" s="209"/>
      <c r="G113" s="307"/>
    </row>
    <row r="114" spans="1:7" x14ac:dyDescent="0.2">
      <c r="A114" s="296"/>
      <c r="B114" s="209"/>
      <c r="C114" s="209"/>
      <c r="D114" s="209"/>
      <c r="E114" s="209"/>
      <c r="F114" s="209"/>
      <c r="G114" s="307"/>
    </row>
    <row r="115" spans="1:7" ht="13.5" thickBot="1" x14ac:dyDescent="0.25">
      <c r="A115" s="298"/>
      <c r="B115" s="308"/>
      <c r="C115" s="308"/>
      <c r="D115" s="308"/>
      <c r="E115" s="308"/>
      <c r="F115" s="308"/>
      <c r="G115" s="309"/>
    </row>
    <row r="117" spans="1:7" ht="13.5" thickBot="1" x14ac:dyDescent="0.25"/>
    <row r="118" spans="1:7" x14ac:dyDescent="0.2">
      <c r="A118" s="310" t="s">
        <v>136</v>
      </c>
      <c r="B118" s="293" t="s">
        <v>134</v>
      </c>
      <c r="C118" s="294" t="s">
        <v>145</v>
      </c>
      <c r="D118" s="293" t="s">
        <v>137</v>
      </c>
      <c r="E118" s="293" t="s">
        <v>138</v>
      </c>
      <c r="F118" s="210"/>
      <c r="G118" s="211"/>
    </row>
    <row r="119" spans="1:7" x14ac:dyDescent="0.2">
      <c r="A119" s="311">
        <v>97492.89</v>
      </c>
      <c r="B119" s="209">
        <v>-4928.51</v>
      </c>
      <c r="C119" s="209">
        <f t="shared" ref="C119:C124" si="21">B119+A119</f>
        <v>92564.38</v>
      </c>
      <c r="D119" s="209">
        <f t="shared" ref="D119:D124" si="22">C119/20</f>
        <v>4628.2190000000001</v>
      </c>
      <c r="E119" s="209">
        <v>5121.07</v>
      </c>
      <c r="F119" s="28"/>
      <c r="G119" s="212"/>
    </row>
    <row r="120" spans="1:7" x14ac:dyDescent="0.2">
      <c r="A120" s="311">
        <v>19312.509999999998</v>
      </c>
      <c r="B120" s="209">
        <v>-976.3</v>
      </c>
      <c r="C120" s="209">
        <f t="shared" si="21"/>
        <v>18336.21</v>
      </c>
      <c r="D120" s="209">
        <f t="shared" si="22"/>
        <v>916.81049999999993</v>
      </c>
      <c r="E120" s="209">
        <v>1014.44</v>
      </c>
      <c r="F120" s="28"/>
      <c r="G120" s="212"/>
    </row>
    <row r="121" spans="1:7" x14ac:dyDescent="0.2">
      <c r="A121" s="311">
        <v>47037.77</v>
      </c>
      <c r="B121" s="209">
        <v>-2377.88</v>
      </c>
      <c r="C121" s="209">
        <f t="shared" si="21"/>
        <v>44659.89</v>
      </c>
      <c r="D121" s="209">
        <f t="shared" si="22"/>
        <v>2232.9944999999998</v>
      </c>
      <c r="E121" s="209">
        <v>2470.7800000000002</v>
      </c>
      <c r="F121" s="28"/>
      <c r="G121" s="212"/>
    </row>
    <row r="122" spans="1:7" x14ac:dyDescent="0.2">
      <c r="A122" s="311">
        <v>10744.98</v>
      </c>
      <c r="B122" s="209">
        <v>-513.19000000000005</v>
      </c>
      <c r="C122" s="209">
        <f t="shared" si="21"/>
        <v>10231.789999999999</v>
      </c>
      <c r="D122" s="209">
        <f t="shared" si="22"/>
        <v>511.58949999999993</v>
      </c>
      <c r="E122" s="209">
        <v>564.41</v>
      </c>
      <c r="F122" s="28"/>
      <c r="G122" s="212"/>
    </row>
    <row r="123" spans="1:7" x14ac:dyDescent="0.2">
      <c r="A123" s="311">
        <v>32234.04</v>
      </c>
      <c r="B123" s="209">
        <v>-1629.56</v>
      </c>
      <c r="C123" s="209">
        <f t="shared" si="21"/>
        <v>30604.48</v>
      </c>
      <c r="D123" s="209">
        <f t="shared" si="22"/>
        <v>1530.2239999999999</v>
      </c>
      <c r="E123" s="209">
        <v>1693.22</v>
      </c>
      <c r="F123" s="28"/>
      <c r="G123" s="212"/>
    </row>
    <row r="124" spans="1:7" x14ac:dyDescent="0.2">
      <c r="A124" s="311">
        <v>5112.0200000000004</v>
      </c>
      <c r="B124" s="209">
        <v>-258.43</v>
      </c>
      <c r="C124" s="209">
        <f t="shared" si="21"/>
        <v>4853.59</v>
      </c>
      <c r="D124" s="209">
        <f t="shared" si="22"/>
        <v>242.67950000000002</v>
      </c>
      <c r="E124" s="209">
        <v>268.52</v>
      </c>
      <c r="F124" s="28"/>
      <c r="G124" s="212"/>
    </row>
    <row r="125" spans="1:7" x14ac:dyDescent="0.2">
      <c r="A125" s="311">
        <f>SUM(A119:A124)</f>
        <v>211934.21</v>
      </c>
      <c r="B125" s="209">
        <f>SUM(B119:B124)</f>
        <v>-10683.87</v>
      </c>
      <c r="C125" s="209">
        <f>SUM(C119:C124)</f>
        <v>201250.34</v>
      </c>
      <c r="D125" s="209">
        <f>SUM(D119:D124)</f>
        <v>10062.517</v>
      </c>
      <c r="E125" s="209">
        <f>SUM(E119:E124)</f>
        <v>11132.44</v>
      </c>
      <c r="F125" s="28"/>
      <c r="G125" s="212"/>
    </row>
    <row r="126" spans="1:7" x14ac:dyDescent="0.2">
      <c r="A126" s="311"/>
      <c r="B126" s="209"/>
      <c r="C126" s="209"/>
      <c r="D126" s="209">
        <f>D125*20</f>
        <v>201250.34</v>
      </c>
      <c r="E126" s="209">
        <f>E125*20</f>
        <v>222648.80000000002</v>
      </c>
      <c r="F126" s="28"/>
      <c r="G126" s="212"/>
    </row>
    <row r="127" spans="1:7" x14ac:dyDescent="0.2">
      <c r="A127" s="311"/>
      <c r="B127" s="209"/>
      <c r="C127" s="209"/>
      <c r="D127" s="209"/>
      <c r="E127" s="209"/>
      <c r="F127" s="28"/>
      <c r="G127" s="212"/>
    </row>
    <row r="128" spans="1:7" ht="13.5" thickBot="1" x14ac:dyDescent="0.25">
      <c r="A128" s="312"/>
      <c r="B128" s="308"/>
      <c r="C128" s="308"/>
      <c r="D128" s="308"/>
      <c r="E128" s="308"/>
      <c r="F128" s="213"/>
      <c r="G128" s="214"/>
    </row>
    <row r="129" spans="1:5" x14ac:dyDescent="0.2">
      <c r="A129" s="209"/>
      <c r="B129" s="209"/>
      <c r="C129" s="209"/>
      <c r="D129" s="209"/>
      <c r="E129" s="209"/>
    </row>
  </sheetData>
  <customSheetViews>
    <customSheetView guid="{6086CA2F-D319-4FB4-8773-987A9787386E}" scale="75" showRuler="0" topLeftCell="A33">
      <selection sqref="A1:IV65536"/>
      <rowBreaks count="1" manualBreakCount="1">
        <brk id="33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8">
    <mergeCell ref="N34:X34"/>
    <mergeCell ref="E41:F41"/>
    <mergeCell ref="A63:J63"/>
    <mergeCell ref="E69:F69"/>
    <mergeCell ref="C1:F1"/>
    <mergeCell ref="H1:K1"/>
    <mergeCell ref="A34:B34"/>
    <mergeCell ref="A36:J36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&amp;C&amp;A&amp;RAttachment 4
WP- Schedule 22
(Based on Aug. 26, 2013 Offer of Settlement)
Page &amp;P of &amp;N</oddHeader>
  </headerFooter>
  <rowBreaks count="2" manualBreakCount="2">
    <brk id="34" max="16383" man="1"/>
    <brk id="91" max="16383" man="1"/>
  </rowBreaks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J56"/>
  <sheetViews>
    <sheetView view="pageLayout" zoomScaleNormal="85" workbookViewId="0">
      <selection activeCell="K3" sqref="K3"/>
    </sheetView>
  </sheetViews>
  <sheetFormatPr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1.42578125" style="21" customWidth="1"/>
    <col min="10" max="10" width="19.85546875" style="21" bestFit="1" customWidth="1"/>
    <col min="11" max="16384" width="9.140625" style="21"/>
  </cols>
  <sheetData>
    <row r="1" spans="1:10" ht="51" x14ac:dyDescent="0.2">
      <c r="A1" s="35"/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38604</v>
      </c>
      <c r="D2" s="12">
        <v>183000</v>
      </c>
      <c r="E2" s="12">
        <v>0</v>
      </c>
      <c r="F2" s="12">
        <v>0</v>
      </c>
      <c r="G2" s="37">
        <f t="shared" ref="G2:G7" si="0">SUM(D2:F2)</f>
        <v>183000</v>
      </c>
    </row>
    <row r="3" spans="1:10" x14ac:dyDescent="0.2">
      <c r="B3" s="32">
        <v>2</v>
      </c>
      <c r="C3" s="10">
        <v>38610</v>
      </c>
      <c r="D3" s="33">
        <v>378000</v>
      </c>
      <c r="E3" s="36">
        <v>0</v>
      </c>
      <c r="F3" s="36">
        <v>0</v>
      </c>
      <c r="G3" s="37">
        <f t="shared" si="0"/>
        <v>378000</v>
      </c>
    </row>
    <row r="4" spans="1:10" x14ac:dyDescent="0.2">
      <c r="B4" s="32">
        <v>3</v>
      </c>
      <c r="C4" s="10">
        <v>38701</v>
      </c>
      <c r="D4" s="33">
        <v>685000</v>
      </c>
      <c r="E4" s="36">
        <v>0</v>
      </c>
      <c r="F4" s="36">
        <v>0</v>
      </c>
      <c r="G4" s="37">
        <f t="shared" si="0"/>
        <v>685000</v>
      </c>
      <c r="J4" s="37"/>
    </row>
    <row r="5" spans="1:10" x14ac:dyDescent="0.2">
      <c r="B5" s="32">
        <v>4</v>
      </c>
      <c r="C5" s="10">
        <v>38791</v>
      </c>
      <c r="D5" s="33">
        <v>611000</v>
      </c>
      <c r="E5" s="36">
        <v>0</v>
      </c>
      <c r="F5" s="36">
        <v>0</v>
      </c>
      <c r="G5" s="37">
        <f t="shared" si="0"/>
        <v>611000</v>
      </c>
    </row>
    <row r="6" spans="1:10" x14ac:dyDescent="0.2">
      <c r="B6" s="32">
        <v>5</v>
      </c>
      <c r="C6" s="10">
        <v>38883</v>
      </c>
      <c r="D6" s="33">
        <v>1397000</v>
      </c>
      <c r="E6" s="36">
        <v>0</v>
      </c>
      <c r="F6" s="36">
        <v>0</v>
      </c>
      <c r="G6" s="37">
        <f t="shared" si="0"/>
        <v>1397000</v>
      </c>
      <c r="J6" s="38"/>
    </row>
    <row r="7" spans="1:10" x14ac:dyDescent="0.2">
      <c r="B7" s="43">
        <v>6</v>
      </c>
      <c r="C7" s="17">
        <v>38975</v>
      </c>
      <c r="D7" s="44">
        <v>1291000</v>
      </c>
      <c r="E7" s="37">
        <v>0</v>
      </c>
      <c r="F7" s="37">
        <v>0</v>
      </c>
      <c r="G7" s="37">
        <f t="shared" si="0"/>
        <v>1291000</v>
      </c>
    </row>
    <row r="8" spans="1:10" x14ac:dyDescent="0.2">
      <c r="B8" s="43">
        <v>7</v>
      </c>
      <c r="C8" s="17">
        <v>38976</v>
      </c>
      <c r="D8" s="44">
        <v>439000</v>
      </c>
      <c r="E8" s="37">
        <v>0</v>
      </c>
      <c r="F8" s="37">
        <v>0</v>
      </c>
      <c r="G8" s="37">
        <f>SUM(D8:F8)</f>
        <v>439000</v>
      </c>
    </row>
    <row r="9" spans="1:10" x14ac:dyDescent="0.2">
      <c r="C9" s="274" t="s">
        <v>0</v>
      </c>
      <c r="D9" s="38">
        <f>SUM(D2:D8)</f>
        <v>4984000</v>
      </c>
      <c r="E9" s="38">
        <f>SUM(E2:E8)</f>
        <v>0</v>
      </c>
      <c r="F9" s="38">
        <f>SUM(F2:F8)</f>
        <v>0</v>
      </c>
      <c r="G9" s="38">
        <f>SUM(G2:G8)</f>
        <v>4984000</v>
      </c>
    </row>
    <row r="11" spans="1:10" x14ac:dyDescent="0.2">
      <c r="A11" s="340" t="s">
        <v>68</v>
      </c>
      <c r="B11" s="340"/>
      <c r="C11" s="16">
        <v>39991</v>
      </c>
      <c r="D11" s="21" t="s">
        <v>70</v>
      </c>
    </row>
    <row r="13" spans="1:10" x14ac:dyDescent="0.2">
      <c r="A13" s="341" t="s">
        <v>62</v>
      </c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0" x14ac:dyDescent="0.2">
      <c r="A14" s="2" t="s">
        <v>7</v>
      </c>
      <c r="B14" s="2" t="s">
        <v>8</v>
      </c>
      <c r="C14" s="2" t="s">
        <v>9</v>
      </c>
      <c r="D14" s="2" t="s">
        <v>10</v>
      </c>
      <c r="E14" s="2" t="s">
        <v>11</v>
      </c>
      <c r="F14" s="2" t="s">
        <v>12</v>
      </c>
      <c r="G14" s="2" t="s">
        <v>13</v>
      </c>
      <c r="H14" s="2"/>
      <c r="I14" s="2"/>
      <c r="J14" s="2" t="s">
        <v>14</v>
      </c>
    </row>
    <row r="15" spans="1:10" ht="51" x14ac:dyDescent="0.2">
      <c r="A15" s="5" t="s">
        <v>15</v>
      </c>
      <c r="B15" s="5" t="s">
        <v>16</v>
      </c>
      <c r="C15" s="5" t="s">
        <v>17</v>
      </c>
      <c r="D15" s="5" t="s">
        <v>18</v>
      </c>
      <c r="E15" s="5" t="s">
        <v>19</v>
      </c>
      <c r="F15" s="5" t="s">
        <v>20</v>
      </c>
      <c r="G15" s="5" t="s">
        <v>98</v>
      </c>
      <c r="H15" s="5" t="s">
        <v>31</v>
      </c>
      <c r="I15" s="5" t="s">
        <v>99</v>
      </c>
      <c r="J15" s="5" t="s">
        <v>21</v>
      </c>
    </row>
    <row r="16" spans="1:10" x14ac:dyDescent="0.2">
      <c r="A16" s="148" t="s">
        <v>84</v>
      </c>
      <c r="B16" s="122">
        <v>39991</v>
      </c>
      <c r="C16" s="122">
        <v>40086</v>
      </c>
      <c r="D16" s="161">
        <f>+C16-B16+1</f>
        <v>96</v>
      </c>
      <c r="E16" s="162">
        <v>3.25</v>
      </c>
      <c r="F16" s="124">
        <f>D9</f>
        <v>4984000</v>
      </c>
      <c r="G16" s="163">
        <f>D16/365*E16/100*F16</f>
        <v>42602.958904109582</v>
      </c>
      <c r="H16" s="189">
        <f t="shared" ref="H16:H25" si="1">D$9/20</f>
        <v>249200</v>
      </c>
      <c r="I16" s="190"/>
      <c r="J16" s="35"/>
    </row>
    <row r="17" spans="1:10" x14ac:dyDescent="0.2">
      <c r="A17" s="148" t="s">
        <v>74</v>
      </c>
      <c r="B17" s="122">
        <f>C16+1</f>
        <v>40087</v>
      </c>
      <c r="C17" s="122">
        <v>40178</v>
      </c>
      <c r="D17" s="161">
        <f>+C17-B17+1</f>
        <v>92</v>
      </c>
      <c r="E17" s="162">
        <v>3.25</v>
      </c>
      <c r="F17" s="124">
        <f>F16-H16</f>
        <v>4734800</v>
      </c>
      <c r="G17" s="163">
        <f>D17/365*E17/100*F17</f>
        <v>38786.443835616439</v>
      </c>
      <c r="H17" s="189">
        <f t="shared" si="1"/>
        <v>249200</v>
      </c>
      <c r="I17" s="190"/>
      <c r="J17" s="35"/>
    </row>
    <row r="18" spans="1:10" x14ac:dyDescent="0.2">
      <c r="A18" s="148" t="s">
        <v>85</v>
      </c>
      <c r="B18" s="122">
        <f>C17+1</f>
        <v>40179</v>
      </c>
      <c r="C18" s="186">
        <v>40268</v>
      </c>
      <c r="D18" s="136">
        <f t="shared" ref="D18:D38" si="2">+C18-B18+1</f>
        <v>90</v>
      </c>
      <c r="E18" s="203">
        <v>3.25</v>
      </c>
      <c r="F18" s="124">
        <f>F17-H17</f>
        <v>4485600</v>
      </c>
      <c r="G18" s="139">
        <f>+D18/365*E18/100*F18</f>
        <v>35946.246575342462</v>
      </c>
      <c r="H18" s="189">
        <f t="shared" si="1"/>
        <v>249200</v>
      </c>
      <c r="I18" s="313"/>
      <c r="J18" s="187">
        <f>F18-H18</f>
        <v>4236400</v>
      </c>
    </row>
    <row r="19" spans="1:10" x14ac:dyDescent="0.2">
      <c r="A19" s="148" t="s">
        <v>86</v>
      </c>
      <c r="B19" s="122">
        <f>C18+1</f>
        <v>40269</v>
      </c>
      <c r="C19" s="188">
        <v>40359</v>
      </c>
      <c r="D19" s="123">
        <f t="shared" si="2"/>
        <v>91</v>
      </c>
      <c r="E19" s="162">
        <v>3.25</v>
      </c>
      <c r="F19" s="124">
        <f t="shared" ref="F19:F24" si="3">F18-H18</f>
        <v>4236400</v>
      </c>
      <c r="G19" s="139">
        <f>+D19/365*E19/100*F19</f>
        <v>34326.446575342467</v>
      </c>
      <c r="H19" s="189">
        <f t="shared" si="1"/>
        <v>249200</v>
      </c>
      <c r="I19" s="314"/>
      <c r="J19" s="315"/>
    </row>
    <row r="20" spans="1:10" x14ac:dyDescent="0.2">
      <c r="A20" s="148" t="s">
        <v>87</v>
      </c>
      <c r="B20" s="122">
        <f>C19+1</f>
        <v>40360</v>
      </c>
      <c r="C20" s="122">
        <v>40451</v>
      </c>
      <c r="D20" s="161">
        <f t="shared" si="2"/>
        <v>92</v>
      </c>
      <c r="E20" s="162">
        <v>3.25</v>
      </c>
      <c r="F20" s="124">
        <f t="shared" si="3"/>
        <v>3987200</v>
      </c>
      <c r="G20" s="139">
        <f>+D20/365*E20/100*F20</f>
        <v>32662.268493150688</v>
      </c>
      <c r="H20" s="189">
        <f t="shared" si="1"/>
        <v>249200</v>
      </c>
      <c r="I20" s="190"/>
      <c r="J20" s="35"/>
    </row>
    <row r="21" spans="1:10" x14ac:dyDescent="0.2">
      <c r="A21" s="148" t="s">
        <v>75</v>
      </c>
      <c r="B21" s="122">
        <f t="shared" ref="B21:B38" si="4">C20+1</f>
        <v>40452</v>
      </c>
      <c r="C21" s="122">
        <v>40543</v>
      </c>
      <c r="D21" s="161">
        <f t="shared" si="2"/>
        <v>92</v>
      </c>
      <c r="E21" s="162">
        <v>3.25</v>
      </c>
      <c r="F21" s="124">
        <f t="shared" si="3"/>
        <v>3738000</v>
      </c>
      <c r="G21" s="139">
        <f>+D21/365*E21/100*F21</f>
        <v>30620.876712328769</v>
      </c>
      <c r="H21" s="189">
        <f t="shared" si="1"/>
        <v>249200</v>
      </c>
      <c r="I21" s="190"/>
      <c r="J21" s="35"/>
    </row>
    <row r="22" spans="1:10" x14ac:dyDescent="0.2">
      <c r="A22" s="148" t="s">
        <v>88</v>
      </c>
      <c r="B22" s="122">
        <f t="shared" si="4"/>
        <v>40544</v>
      </c>
      <c r="C22" s="186">
        <v>40633</v>
      </c>
      <c r="D22" s="161">
        <f t="shared" si="2"/>
        <v>90</v>
      </c>
      <c r="E22" s="162">
        <v>3.25</v>
      </c>
      <c r="F22" s="124">
        <f t="shared" si="3"/>
        <v>3488800</v>
      </c>
      <c r="G22" s="163">
        <f>D22/365*E22/100*F22</f>
        <v>27958.191780821915</v>
      </c>
      <c r="H22" s="189">
        <f t="shared" si="1"/>
        <v>249200</v>
      </c>
      <c r="I22" s="190"/>
      <c r="J22" s="35"/>
    </row>
    <row r="23" spans="1:10" x14ac:dyDescent="0.2">
      <c r="A23" s="148" t="s">
        <v>89</v>
      </c>
      <c r="B23" s="122">
        <f t="shared" si="4"/>
        <v>40634</v>
      </c>
      <c r="C23" s="188">
        <v>40724</v>
      </c>
      <c r="D23" s="161">
        <f t="shared" si="2"/>
        <v>91</v>
      </c>
      <c r="E23" s="162">
        <v>3.25</v>
      </c>
      <c r="F23" s="124">
        <f t="shared" si="3"/>
        <v>3239600</v>
      </c>
      <c r="G23" s="163">
        <f>D23/365*E23/100*F23</f>
        <v>26249.635616438358</v>
      </c>
      <c r="H23" s="189">
        <f t="shared" si="1"/>
        <v>249200</v>
      </c>
      <c r="I23" s="190"/>
      <c r="J23" s="35"/>
    </row>
    <row r="24" spans="1:10" x14ac:dyDescent="0.2">
      <c r="A24" s="148" t="s">
        <v>90</v>
      </c>
      <c r="B24" s="122">
        <f t="shared" si="4"/>
        <v>40725</v>
      </c>
      <c r="C24" s="122">
        <v>40816</v>
      </c>
      <c r="D24" s="161">
        <f t="shared" si="2"/>
        <v>92</v>
      </c>
      <c r="E24" s="162">
        <v>3.25</v>
      </c>
      <c r="F24" s="124">
        <f t="shared" si="3"/>
        <v>2990400</v>
      </c>
      <c r="G24" s="163">
        <f>D24/365*E24/100*F24</f>
        <v>24496.701369863014</v>
      </c>
      <c r="H24" s="189">
        <f t="shared" si="1"/>
        <v>249200</v>
      </c>
      <c r="I24" s="190"/>
      <c r="J24" s="35"/>
    </row>
    <row r="25" spans="1:10" x14ac:dyDescent="0.2">
      <c r="A25" s="148" t="s">
        <v>76</v>
      </c>
      <c r="B25" s="122">
        <f t="shared" si="4"/>
        <v>40817</v>
      </c>
      <c r="C25" s="122">
        <v>40908</v>
      </c>
      <c r="D25" s="161">
        <f t="shared" si="2"/>
        <v>92</v>
      </c>
      <c r="E25" s="162">
        <v>3.25</v>
      </c>
      <c r="F25" s="124">
        <f t="shared" ref="F25:F37" si="5">F24-H24</f>
        <v>2741200</v>
      </c>
      <c r="G25" s="163">
        <f>D25/365*E25/100*F25</f>
        <v>22455.309589041099</v>
      </c>
      <c r="H25" s="189">
        <f t="shared" si="1"/>
        <v>249200</v>
      </c>
      <c r="I25" s="190"/>
      <c r="J25" s="35"/>
    </row>
    <row r="26" spans="1:10" x14ac:dyDescent="0.2">
      <c r="A26" s="148" t="s">
        <v>83</v>
      </c>
      <c r="B26" s="122">
        <f t="shared" si="4"/>
        <v>40909</v>
      </c>
      <c r="C26" s="186">
        <v>40999</v>
      </c>
      <c r="D26" s="161">
        <f t="shared" si="2"/>
        <v>91</v>
      </c>
      <c r="E26" s="162">
        <v>3.25</v>
      </c>
      <c r="F26" s="124">
        <f t="shared" si="5"/>
        <v>2492000</v>
      </c>
      <c r="G26" s="163">
        <f>D26/366*E26/100*F26</f>
        <v>20136.857923497268</v>
      </c>
      <c r="H26" s="189">
        <f t="shared" ref="H26:H35" si="6">D$9/20</f>
        <v>249200</v>
      </c>
      <c r="I26" s="190"/>
      <c r="J26" s="35"/>
    </row>
    <row r="27" spans="1:10" x14ac:dyDescent="0.2">
      <c r="A27" s="148" t="s">
        <v>91</v>
      </c>
      <c r="B27" s="122">
        <f t="shared" si="4"/>
        <v>41000</v>
      </c>
      <c r="C27" s="188">
        <v>41090</v>
      </c>
      <c r="D27" s="161">
        <f t="shared" si="2"/>
        <v>91</v>
      </c>
      <c r="E27" s="162">
        <v>3.25</v>
      </c>
      <c r="F27" s="124">
        <f t="shared" si="5"/>
        <v>2242800</v>
      </c>
      <c r="G27" s="163">
        <f>D27/366*E27/100*F27</f>
        <v>18123.172131147541</v>
      </c>
      <c r="H27" s="189">
        <f t="shared" si="6"/>
        <v>249200</v>
      </c>
      <c r="I27" s="190"/>
      <c r="J27" s="35"/>
    </row>
    <row r="28" spans="1:10" x14ac:dyDescent="0.2">
      <c r="A28" s="148" t="s">
        <v>92</v>
      </c>
      <c r="B28" s="122">
        <f t="shared" si="4"/>
        <v>41091</v>
      </c>
      <c r="C28" s="122">
        <v>41182</v>
      </c>
      <c r="D28" s="161">
        <f t="shared" si="2"/>
        <v>92</v>
      </c>
      <c r="E28" s="162">
        <v>3.25</v>
      </c>
      <c r="F28" s="124">
        <f t="shared" si="5"/>
        <v>1993600</v>
      </c>
      <c r="G28" s="163">
        <f>D28/366*E28/100*F28</f>
        <v>16286.513661202187</v>
      </c>
      <c r="H28" s="189">
        <f t="shared" si="6"/>
        <v>249200</v>
      </c>
      <c r="I28" s="190"/>
      <c r="J28" s="35"/>
    </row>
    <row r="29" spans="1:10" x14ac:dyDescent="0.2">
      <c r="A29" s="148" t="s">
        <v>77</v>
      </c>
      <c r="B29" s="122">
        <f t="shared" si="4"/>
        <v>41183</v>
      </c>
      <c r="C29" s="122">
        <v>41274</v>
      </c>
      <c r="D29" s="161">
        <f t="shared" si="2"/>
        <v>92</v>
      </c>
      <c r="E29" s="162">
        <v>3.25</v>
      </c>
      <c r="F29" s="124">
        <f t="shared" si="5"/>
        <v>1744400</v>
      </c>
      <c r="G29" s="163">
        <f>D29/366*E29/100*F29</f>
        <v>14250.699453551913</v>
      </c>
      <c r="H29" s="189">
        <f t="shared" si="6"/>
        <v>249200</v>
      </c>
      <c r="I29" s="190"/>
      <c r="J29" s="35"/>
    </row>
    <row r="30" spans="1:10" x14ac:dyDescent="0.2">
      <c r="A30" s="148" t="s">
        <v>109</v>
      </c>
      <c r="B30" s="122">
        <f t="shared" si="4"/>
        <v>41275</v>
      </c>
      <c r="C30" s="186">
        <v>41364</v>
      </c>
      <c r="D30" s="161">
        <f t="shared" si="2"/>
        <v>90</v>
      </c>
      <c r="E30" s="162">
        <v>3.25</v>
      </c>
      <c r="F30" s="124">
        <f t="shared" si="5"/>
        <v>1495200</v>
      </c>
      <c r="G30" s="163">
        <f t="shared" ref="G30:G37" si="7">D30/365*E30/100*F30</f>
        <v>11982.082191780821</v>
      </c>
      <c r="H30" s="189">
        <f t="shared" si="6"/>
        <v>249200</v>
      </c>
      <c r="I30" s="190"/>
      <c r="J30" s="35"/>
    </row>
    <row r="31" spans="1:10" x14ac:dyDescent="0.2">
      <c r="A31" s="148" t="s">
        <v>110</v>
      </c>
      <c r="B31" s="122">
        <f t="shared" si="4"/>
        <v>41365</v>
      </c>
      <c r="C31" s="188">
        <v>41455</v>
      </c>
      <c r="D31" s="161">
        <f t="shared" si="2"/>
        <v>91</v>
      </c>
      <c r="E31" s="162">
        <v>3.25</v>
      </c>
      <c r="F31" s="124">
        <f t="shared" si="5"/>
        <v>1246000</v>
      </c>
      <c r="G31" s="163">
        <f t="shared" si="7"/>
        <v>10096.013698630137</v>
      </c>
      <c r="H31" s="189">
        <f t="shared" si="6"/>
        <v>249200</v>
      </c>
      <c r="I31" s="190"/>
      <c r="J31" s="35"/>
    </row>
    <row r="32" spans="1:10" x14ac:dyDescent="0.2">
      <c r="A32" s="148" t="s">
        <v>111</v>
      </c>
      <c r="B32" s="122">
        <f t="shared" si="4"/>
        <v>41456</v>
      </c>
      <c r="C32" s="122">
        <v>41547</v>
      </c>
      <c r="D32" s="161">
        <f t="shared" si="2"/>
        <v>92</v>
      </c>
      <c r="E32" s="162">
        <v>3.25</v>
      </c>
      <c r="F32" s="124">
        <f t="shared" si="5"/>
        <v>996800</v>
      </c>
      <c r="G32" s="163">
        <f t="shared" si="7"/>
        <v>8165.5671232876721</v>
      </c>
      <c r="H32" s="189">
        <f t="shared" si="6"/>
        <v>249200</v>
      </c>
      <c r="I32" s="190"/>
      <c r="J32" s="35"/>
    </row>
    <row r="33" spans="1:10" x14ac:dyDescent="0.2">
      <c r="A33" s="148" t="s">
        <v>112</v>
      </c>
      <c r="B33" s="122">
        <f t="shared" si="4"/>
        <v>41548</v>
      </c>
      <c r="C33" s="122">
        <v>41639</v>
      </c>
      <c r="D33" s="161">
        <f t="shared" si="2"/>
        <v>92</v>
      </c>
      <c r="E33" s="162">
        <v>3.25</v>
      </c>
      <c r="F33" s="124">
        <f t="shared" si="5"/>
        <v>747600</v>
      </c>
      <c r="G33" s="163">
        <f t="shared" si="7"/>
        <v>6124.1753424657536</v>
      </c>
      <c r="H33" s="189">
        <f t="shared" si="6"/>
        <v>249200</v>
      </c>
      <c r="I33" s="190"/>
      <c r="J33" s="35"/>
    </row>
    <row r="34" spans="1:10" x14ac:dyDescent="0.2">
      <c r="A34" s="148" t="s">
        <v>113</v>
      </c>
      <c r="B34" s="122">
        <f t="shared" si="4"/>
        <v>41640</v>
      </c>
      <c r="C34" s="186">
        <v>41729</v>
      </c>
      <c r="D34" s="161">
        <f t="shared" si="2"/>
        <v>90</v>
      </c>
      <c r="E34" s="162">
        <v>3.25</v>
      </c>
      <c r="F34" s="124">
        <f t="shared" si="5"/>
        <v>498400</v>
      </c>
      <c r="G34" s="163">
        <f t="shared" si="7"/>
        <v>3994.0273972602736</v>
      </c>
      <c r="H34" s="189">
        <f t="shared" si="6"/>
        <v>249200</v>
      </c>
      <c r="I34" s="190"/>
      <c r="J34" s="35"/>
    </row>
    <row r="35" spans="1:10" x14ac:dyDescent="0.2">
      <c r="A35" s="148" t="s">
        <v>114</v>
      </c>
      <c r="B35" s="122">
        <f t="shared" si="4"/>
        <v>41730</v>
      </c>
      <c r="C35" s="188">
        <v>41820</v>
      </c>
      <c r="D35" s="161">
        <f t="shared" si="2"/>
        <v>91</v>
      </c>
      <c r="E35" s="162">
        <v>3.25</v>
      </c>
      <c r="F35" s="124">
        <f t="shared" si="5"/>
        <v>249200</v>
      </c>
      <c r="G35" s="163">
        <f t="shared" si="7"/>
        <v>2019.2027397260274</v>
      </c>
      <c r="H35" s="189">
        <f t="shared" si="6"/>
        <v>249200</v>
      </c>
      <c r="I35" s="190"/>
      <c r="J35" s="35"/>
    </row>
    <row r="36" spans="1:10" x14ac:dyDescent="0.2">
      <c r="A36" s="148" t="s">
        <v>115</v>
      </c>
      <c r="B36" s="122">
        <f t="shared" si="4"/>
        <v>41821</v>
      </c>
      <c r="C36" s="122">
        <v>41912</v>
      </c>
      <c r="D36" s="161">
        <f t="shared" si="2"/>
        <v>92</v>
      </c>
      <c r="E36" s="162">
        <v>3.25</v>
      </c>
      <c r="F36" s="124">
        <f t="shared" si="5"/>
        <v>0</v>
      </c>
      <c r="G36" s="163">
        <f t="shared" si="7"/>
        <v>0</v>
      </c>
      <c r="H36" s="189"/>
      <c r="I36" s="190"/>
      <c r="J36" s="35"/>
    </row>
    <row r="37" spans="1:10" x14ac:dyDescent="0.2">
      <c r="A37" s="148" t="s">
        <v>116</v>
      </c>
      <c r="B37" s="122">
        <f t="shared" si="4"/>
        <v>41913</v>
      </c>
      <c r="C37" s="122">
        <v>42004</v>
      </c>
      <c r="D37" s="161">
        <f t="shared" si="2"/>
        <v>92</v>
      </c>
      <c r="E37" s="162">
        <v>3.25</v>
      </c>
      <c r="F37" s="124">
        <f t="shared" si="5"/>
        <v>0</v>
      </c>
      <c r="G37" s="163">
        <f t="shared" si="7"/>
        <v>0</v>
      </c>
      <c r="H37" s="189"/>
      <c r="I37" s="190"/>
      <c r="J37" s="35"/>
    </row>
    <row r="38" spans="1:10" x14ac:dyDescent="0.2">
      <c r="A38" s="148" t="s">
        <v>117</v>
      </c>
      <c r="B38" s="122">
        <f t="shared" si="4"/>
        <v>42005</v>
      </c>
      <c r="C38" s="186">
        <v>42094</v>
      </c>
      <c r="D38" s="161">
        <f t="shared" si="2"/>
        <v>90</v>
      </c>
      <c r="E38" s="162">
        <v>3.25</v>
      </c>
      <c r="F38" s="124"/>
      <c r="G38" s="163"/>
      <c r="H38" s="189"/>
      <c r="I38" s="190"/>
      <c r="J38" s="35"/>
    </row>
    <row r="39" spans="1:10" x14ac:dyDescent="0.2">
      <c r="A39" s="128"/>
      <c r="B39" s="129"/>
      <c r="C39" s="129"/>
      <c r="D39" s="165"/>
      <c r="E39" s="184"/>
      <c r="F39" s="124"/>
      <c r="G39" s="166"/>
      <c r="H39" s="191"/>
      <c r="I39" s="192"/>
      <c r="J39" s="35"/>
    </row>
    <row r="40" spans="1:10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&amp;C&amp;A&amp;RAttachment 4
WP- Schedule 22
(Based on Aug. 26, 2013 Offer of Settlement)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 enableFormatConditionsCalculation="0"/>
  <dimension ref="A1:Q93"/>
  <sheetViews>
    <sheetView view="pageLayout" topLeftCell="A58" zoomScaleNormal="85" workbookViewId="0">
      <selection activeCell="I66" sqref="I66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2.85546875" style="35" bestFit="1" customWidth="1"/>
    <col min="10" max="10" width="19.85546875" style="35" bestFit="1" customWidth="1"/>
    <col min="11" max="11" width="14.28515625" style="35" bestFit="1" customWidth="1"/>
    <col min="12" max="16" width="9.140625" style="35"/>
    <col min="17" max="17" width="10.28515625" style="35" bestFit="1" customWidth="1"/>
    <col min="18" max="16384" width="9.140625" style="35"/>
  </cols>
  <sheetData>
    <row r="1" spans="2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  <c r="J1" s="287"/>
    </row>
    <row r="2" spans="2:10" x14ac:dyDescent="0.2">
      <c r="B2" s="7">
        <v>1</v>
      </c>
      <c r="C2" s="11">
        <v>39574</v>
      </c>
      <c r="D2" s="12">
        <v>13000</v>
      </c>
      <c r="E2" s="12">
        <v>0</v>
      </c>
      <c r="F2" s="12">
        <v>2500</v>
      </c>
      <c r="G2" s="156">
        <f t="shared" ref="G2:G26" si="0">SUM(D2:F2)</f>
        <v>15500</v>
      </c>
      <c r="J2" s="287"/>
    </row>
    <row r="3" spans="2:10" x14ac:dyDescent="0.2">
      <c r="B3" s="32">
        <v>2</v>
      </c>
      <c r="C3" s="10">
        <v>39657</v>
      </c>
      <c r="D3" s="33">
        <v>26000</v>
      </c>
      <c r="E3" s="157">
        <v>0</v>
      </c>
      <c r="F3" s="157">
        <v>0</v>
      </c>
      <c r="G3" s="156">
        <f t="shared" si="0"/>
        <v>26000</v>
      </c>
      <c r="J3" s="287"/>
    </row>
    <row r="4" spans="2:10" x14ac:dyDescent="0.2">
      <c r="B4" s="32">
        <v>3</v>
      </c>
      <c r="C4" s="10">
        <v>39661</v>
      </c>
      <c r="D4" s="33">
        <v>39000</v>
      </c>
      <c r="E4" s="157">
        <v>0</v>
      </c>
      <c r="F4" s="157">
        <v>0</v>
      </c>
      <c r="G4" s="156">
        <f t="shared" si="0"/>
        <v>39000</v>
      </c>
      <c r="J4" s="316"/>
    </row>
    <row r="5" spans="2:10" ht="12.75" customHeight="1" x14ac:dyDescent="0.2">
      <c r="B5" s="32">
        <v>4</v>
      </c>
      <c r="C5" s="10">
        <v>39666</v>
      </c>
      <c r="D5" s="33">
        <v>757000</v>
      </c>
      <c r="E5" s="157">
        <v>0</v>
      </c>
      <c r="F5" s="157">
        <v>0</v>
      </c>
      <c r="G5" s="156">
        <f t="shared" si="0"/>
        <v>757000</v>
      </c>
      <c r="J5" s="316"/>
    </row>
    <row r="6" spans="2:10" x14ac:dyDescent="0.2">
      <c r="B6" s="32">
        <v>5</v>
      </c>
      <c r="C6" s="10">
        <v>39743</v>
      </c>
      <c r="D6" s="33">
        <v>757000</v>
      </c>
      <c r="E6" s="157">
        <v>0</v>
      </c>
      <c r="F6" s="157">
        <v>0</v>
      </c>
      <c r="G6" s="156">
        <f t="shared" ref="G6:G13" si="1">SUM(D6:F6)</f>
        <v>757000</v>
      </c>
      <c r="J6" s="316"/>
    </row>
    <row r="7" spans="2:10" x14ac:dyDescent="0.2">
      <c r="B7" s="43">
        <v>6</v>
      </c>
      <c r="C7" s="17">
        <v>39743</v>
      </c>
      <c r="D7" s="44">
        <v>767000</v>
      </c>
      <c r="E7" s="156">
        <v>0</v>
      </c>
      <c r="F7" s="156">
        <v>0</v>
      </c>
      <c r="G7" s="156">
        <f t="shared" si="1"/>
        <v>767000</v>
      </c>
      <c r="J7" s="316"/>
    </row>
    <row r="8" spans="2:10" x14ac:dyDescent="0.2">
      <c r="B8" s="32">
        <v>7</v>
      </c>
      <c r="C8" s="10">
        <v>39743</v>
      </c>
      <c r="D8" s="33">
        <v>501300</v>
      </c>
      <c r="E8" s="157">
        <v>0</v>
      </c>
      <c r="F8" s="157">
        <v>0</v>
      </c>
      <c r="G8" s="156">
        <f t="shared" si="1"/>
        <v>501300</v>
      </c>
      <c r="J8" s="316"/>
    </row>
    <row r="9" spans="2:10" x14ac:dyDescent="0.2">
      <c r="B9" s="32">
        <v>8</v>
      </c>
      <c r="C9" s="10">
        <v>39797</v>
      </c>
      <c r="D9" s="33">
        <v>671000</v>
      </c>
      <c r="E9" s="157">
        <v>0</v>
      </c>
      <c r="F9" s="157">
        <v>0</v>
      </c>
      <c r="G9" s="156">
        <f t="shared" si="1"/>
        <v>671000</v>
      </c>
      <c r="J9" s="316"/>
    </row>
    <row r="10" spans="2:10" x14ac:dyDescent="0.2">
      <c r="B10" s="43">
        <v>9</v>
      </c>
      <c r="C10" s="17">
        <v>39799</v>
      </c>
      <c r="D10" s="44">
        <v>505000</v>
      </c>
      <c r="E10" s="156">
        <v>0</v>
      </c>
      <c r="F10" s="156">
        <v>0</v>
      </c>
      <c r="G10" s="156">
        <f t="shared" si="1"/>
        <v>505000</v>
      </c>
      <c r="J10" s="316"/>
    </row>
    <row r="11" spans="2:10" x14ac:dyDescent="0.2">
      <c r="B11" s="43">
        <v>10</v>
      </c>
      <c r="C11" s="17">
        <v>39862</v>
      </c>
      <c r="D11" s="44">
        <v>728000</v>
      </c>
      <c r="E11" s="156">
        <v>0</v>
      </c>
      <c r="F11" s="156">
        <v>0</v>
      </c>
      <c r="G11" s="156">
        <f t="shared" si="1"/>
        <v>728000</v>
      </c>
      <c r="J11" s="316"/>
    </row>
    <row r="12" spans="2:10" x14ac:dyDescent="0.2">
      <c r="B12" s="43">
        <v>11</v>
      </c>
      <c r="C12" s="17">
        <v>39870</v>
      </c>
      <c r="D12" s="44">
        <v>817000</v>
      </c>
      <c r="E12" s="156">
        <v>0</v>
      </c>
      <c r="F12" s="156">
        <v>0</v>
      </c>
      <c r="G12" s="156">
        <f t="shared" si="1"/>
        <v>817000</v>
      </c>
      <c r="J12" s="316"/>
    </row>
    <row r="13" spans="2:10" x14ac:dyDescent="0.2">
      <c r="B13" s="43">
        <v>12</v>
      </c>
      <c r="C13" s="17">
        <v>39912</v>
      </c>
      <c r="D13" s="44">
        <v>728000</v>
      </c>
      <c r="E13" s="156">
        <v>0</v>
      </c>
      <c r="F13" s="156">
        <v>0</v>
      </c>
      <c r="G13" s="156">
        <f t="shared" si="1"/>
        <v>728000</v>
      </c>
      <c r="J13" s="316"/>
    </row>
    <row r="14" spans="2:10" x14ac:dyDescent="0.2">
      <c r="B14" s="32">
        <v>13</v>
      </c>
      <c r="C14" s="10">
        <v>39948</v>
      </c>
      <c r="D14" s="33">
        <v>693000</v>
      </c>
      <c r="E14" s="157">
        <v>0</v>
      </c>
      <c r="F14" s="157">
        <v>0</v>
      </c>
      <c r="G14" s="156">
        <f t="shared" si="0"/>
        <v>693000</v>
      </c>
      <c r="J14" s="316"/>
    </row>
    <row r="15" spans="2:10" x14ac:dyDescent="0.2">
      <c r="B15" s="32">
        <v>14</v>
      </c>
      <c r="C15" s="10">
        <v>39993</v>
      </c>
      <c r="D15" s="33">
        <v>565000</v>
      </c>
      <c r="E15" s="157">
        <v>0</v>
      </c>
      <c r="F15" s="157">
        <v>0</v>
      </c>
      <c r="G15" s="156">
        <f t="shared" si="0"/>
        <v>565000</v>
      </c>
      <c r="J15" s="316"/>
    </row>
    <row r="16" spans="2:10" x14ac:dyDescent="0.2">
      <c r="B16" s="32">
        <v>15</v>
      </c>
      <c r="C16" s="10">
        <v>40002</v>
      </c>
      <c r="D16" s="33">
        <v>475000</v>
      </c>
      <c r="E16" s="157">
        <v>0</v>
      </c>
      <c r="F16" s="157">
        <v>0</v>
      </c>
      <c r="G16" s="156">
        <f t="shared" si="0"/>
        <v>475000</v>
      </c>
      <c r="J16" s="316"/>
    </row>
    <row r="17" spans="1:10" x14ac:dyDescent="0.2">
      <c r="B17" s="43">
        <v>16</v>
      </c>
      <c r="C17" s="17">
        <v>40044</v>
      </c>
      <c r="D17" s="44">
        <v>371000</v>
      </c>
      <c r="E17" s="156">
        <v>0</v>
      </c>
      <c r="F17" s="156">
        <v>0</v>
      </c>
      <c r="G17" s="156">
        <f t="shared" si="0"/>
        <v>371000</v>
      </c>
      <c r="J17" s="316"/>
    </row>
    <row r="18" spans="1:10" x14ac:dyDescent="0.2">
      <c r="B18" s="32">
        <v>17</v>
      </c>
      <c r="C18" s="10">
        <v>40057</v>
      </c>
      <c r="D18" s="33">
        <v>364000</v>
      </c>
      <c r="E18" s="157">
        <v>0</v>
      </c>
      <c r="F18" s="157">
        <v>0</v>
      </c>
      <c r="G18" s="156">
        <f t="shared" si="0"/>
        <v>364000</v>
      </c>
      <c r="J18" s="258"/>
    </row>
    <row r="19" spans="1:10" x14ac:dyDescent="0.2">
      <c r="B19" s="32">
        <v>18</v>
      </c>
      <c r="C19" s="10">
        <v>40072</v>
      </c>
      <c r="D19" s="33">
        <v>355000</v>
      </c>
      <c r="E19" s="157">
        <v>0</v>
      </c>
      <c r="F19" s="157">
        <v>0</v>
      </c>
      <c r="G19" s="156">
        <f t="shared" si="0"/>
        <v>355000</v>
      </c>
      <c r="J19" s="258"/>
    </row>
    <row r="20" spans="1:10" x14ac:dyDescent="0.2">
      <c r="B20" s="43">
        <v>19</v>
      </c>
      <c r="C20" s="17">
        <v>40112</v>
      </c>
      <c r="D20" s="44">
        <v>344000</v>
      </c>
      <c r="E20" s="156">
        <v>0</v>
      </c>
      <c r="F20" s="156">
        <v>0</v>
      </c>
      <c r="G20" s="156">
        <f t="shared" si="0"/>
        <v>344000</v>
      </c>
      <c r="J20" s="258"/>
    </row>
    <row r="21" spans="1:10" x14ac:dyDescent="0.2">
      <c r="B21" s="43">
        <v>20</v>
      </c>
      <c r="C21" s="17">
        <v>40142</v>
      </c>
      <c r="D21" s="44">
        <v>332000</v>
      </c>
      <c r="E21" s="156">
        <v>0</v>
      </c>
      <c r="F21" s="156">
        <v>0</v>
      </c>
      <c r="G21" s="156">
        <f t="shared" si="0"/>
        <v>332000</v>
      </c>
      <c r="J21" s="258"/>
    </row>
    <row r="22" spans="1:10" x14ac:dyDescent="0.2">
      <c r="B22" s="43">
        <v>21</v>
      </c>
      <c r="C22" s="17">
        <v>40177</v>
      </c>
      <c r="D22" s="44">
        <v>312000</v>
      </c>
      <c r="E22" s="156">
        <v>0</v>
      </c>
      <c r="F22" s="156">
        <v>0</v>
      </c>
      <c r="G22" s="156">
        <f t="shared" si="0"/>
        <v>312000</v>
      </c>
    </row>
    <row r="23" spans="1:10" x14ac:dyDescent="0.2">
      <c r="B23" s="43">
        <v>22</v>
      </c>
      <c r="C23" s="17">
        <v>40211</v>
      </c>
      <c r="D23" s="44">
        <v>201000</v>
      </c>
      <c r="E23" s="156">
        <v>0</v>
      </c>
      <c r="F23" s="156">
        <v>0</v>
      </c>
      <c r="G23" s="156">
        <f t="shared" si="0"/>
        <v>201000</v>
      </c>
    </row>
    <row r="24" spans="1:10" x14ac:dyDescent="0.2">
      <c r="B24" s="32">
        <v>23</v>
      </c>
      <c r="C24" s="10">
        <v>40239</v>
      </c>
      <c r="D24" s="33">
        <v>185000</v>
      </c>
      <c r="E24" s="157">
        <v>0</v>
      </c>
      <c r="F24" s="157">
        <v>0</v>
      </c>
      <c r="G24" s="156">
        <f>SUM(D24:F24)</f>
        <v>185000</v>
      </c>
    </row>
    <row r="25" spans="1:10" x14ac:dyDescent="0.2">
      <c r="B25" s="43">
        <v>24</v>
      </c>
      <c r="C25" s="17">
        <v>40254</v>
      </c>
      <c r="D25" s="44">
        <v>138000</v>
      </c>
      <c r="E25" s="156">
        <v>0</v>
      </c>
      <c r="F25" s="156">
        <v>0</v>
      </c>
      <c r="G25" s="156">
        <f t="shared" si="0"/>
        <v>138000</v>
      </c>
    </row>
    <row r="26" spans="1:10" x14ac:dyDescent="0.2">
      <c r="B26" s="43">
        <v>25</v>
      </c>
      <c r="C26" s="17">
        <v>40284</v>
      </c>
      <c r="D26" s="44">
        <v>14976000</v>
      </c>
      <c r="E26" s="156">
        <v>0</v>
      </c>
      <c r="F26" s="44">
        <v>0</v>
      </c>
      <c r="G26" s="156">
        <f t="shared" si="0"/>
        <v>14976000</v>
      </c>
    </row>
    <row r="27" spans="1:10" x14ac:dyDescent="0.2">
      <c r="A27" s="35" t="s">
        <v>131</v>
      </c>
      <c r="B27" s="43">
        <v>26</v>
      </c>
      <c r="C27" s="17">
        <v>40302</v>
      </c>
      <c r="D27" s="44">
        <v>600000</v>
      </c>
      <c r="E27" s="156">
        <v>0</v>
      </c>
      <c r="F27" s="156">
        <v>0</v>
      </c>
      <c r="G27" s="156">
        <f>SUM(D27:F27)</f>
        <v>600000</v>
      </c>
    </row>
    <row r="28" spans="1:10" x14ac:dyDescent="0.2">
      <c r="B28" s="43">
        <v>27</v>
      </c>
      <c r="C28" s="17">
        <v>40331</v>
      </c>
      <c r="D28" s="44">
        <v>231700</v>
      </c>
      <c r="E28" s="156">
        <v>0</v>
      </c>
      <c r="F28" s="156">
        <v>0</v>
      </c>
      <c r="G28" s="156">
        <f>SUM(D28:F28)</f>
        <v>231700</v>
      </c>
    </row>
    <row r="29" spans="1:10" x14ac:dyDescent="0.2">
      <c r="C29" s="274" t="s">
        <v>0</v>
      </c>
      <c r="D29" s="158">
        <f>SUM(D2:D28)</f>
        <v>26452000</v>
      </c>
      <c r="E29" s="158">
        <f>SUM(E2:E26)</f>
        <v>0</v>
      </c>
      <c r="F29" s="158">
        <f>SUM(F2:F28)</f>
        <v>2500</v>
      </c>
      <c r="G29" s="158">
        <f>SUM(G2:G28)</f>
        <v>26454500</v>
      </c>
      <c r="I29" s="223"/>
    </row>
    <row r="30" spans="1:10" x14ac:dyDescent="0.2">
      <c r="A30" s="223" t="s">
        <v>153</v>
      </c>
      <c r="D30" s="220">
        <f>D29-1697049.67</f>
        <v>24754950.329999998</v>
      </c>
      <c r="E30" s="220">
        <v>0</v>
      </c>
      <c r="F30" s="220">
        <f>F29-0</f>
        <v>2500</v>
      </c>
      <c r="G30" s="158">
        <f>SUM(D30:F30)</f>
        <v>24757450.329999998</v>
      </c>
      <c r="H30" s="158">
        <f>G29-G30</f>
        <v>1697049.6700000018</v>
      </c>
      <c r="I30" s="157">
        <v>273106.8</v>
      </c>
    </row>
    <row r="31" spans="1:10" x14ac:dyDescent="0.2">
      <c r="A31" s="340" t="s">
        <v>68</v>
      </c>
      <c r="B31" s="340"/>
      <c r="C31" s="16">
        <v>40340</v>
      </c>
      <c r="D31" s="225" t="s">
        <v>122</v>
      </c>
    </row>
    <row r="33" spans="1:11" x14ac:dyDescent="0.2">
      <c r="A33" s="341" t="s">
        <v>62</v>
      </c>
      <c r="B33" s="341"/>
      <c r="C33" s="341"/>
      <c r="D33" s="341"/>
      <c r="E33" s="341"/>
      <c r="F33" s="341"/>
      <c r="G33" s="341"/>
      <c r="H33" s="341"/>
      <c r="I33" s="341"/>
      <c r="J33" s="341"/>
    </row>
    <row r="34" spans="1:11" x14ac:dyDescent="0.2">
      <c r="A34" s="2" t="s">
        <v>7</v>
      </c>
      <c r="B34" s="2" t="s">
        <v>8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/>
      <c r="I34" s="2"/>
      <c r="J34" s="2" t="s">
        <v>14</v>
      </c>
    </row>
    <row r="35" spans="1:11" ht="38.25" x14ac:dyDescent="0.2">
      <c r="A35" s="5" t="s">
        <v>15</v>
      </c>
      <c r="B35" s="5" t="s">
        <v>16</v>
      </c>
      <c r="C35" s="5" t="s">
        <v>17</v>
      </c>
      <c r="D35" s="5" t="s">
        <v>18</v>
      </c>
      <c r="E35" s="5" t="s">
        <v>19</v>
      </c>
      <c r="F35" s="5" t="s">
        <v>20</v>
      </c>
      <c r="G35" s="5" t="s">
        <v>124</v>
      </c>
      <c r="H35" s="5" t="s">
        <v>31</v>
      </c>
      <c r="I35" s="5" t="s">
        <v>99</v>
      </c>
      <c r="J35" s="5" t="s">
        <v>21</v>
      </c>
    </row>
    <row r="36" spans="1:11" s="1" customFormat="1" x14ac:dyDescent="0.2">
      <c r="A36" s="127" t="s">
        <v>86</v>
      </c>
      <c r="B36" s="122">
        <f>C31</f>
        <v>40340</v>
      </c>
      <c r="C36" s="188">
        <v>40359</v>
      </c>
      <c r="D36" s="123">
        <f>+C36-B36+1</f>
        <v>20</v>
      </c>
      <c r="E36" s="162">
        <v>3.25</v>
      </c>
      <c r="F36" s="226">
        <f>D29</f>
        <v>26452000</v>
      </c>
      <c r="G36" s="226">
        <f>+D36/365*E36/100*F36</f>
        <v>47106.301369863009</v>
      </c>
      <c r="H36" s="157">
        <f>D29/20</f>
        <v>1322600</v>
      </c>
      <c r="I36" s="227"/>
      <c r="J36" s="228">
        <f t="shared" ref="J36:J55" si="2">F36-H36</f>
        <v>25129400</v>
      </c>
    </row>
    <row r="37" spans="1:11" x14ac:dyDescent="0.2">
      <c r="A37" s="127" t="s">
        <v>87</v>
      </c>
      <c r="B37" s="122">
        <v>40360</v>
      </c>
      <c r="C37" s="188">
        <v>40451</v>
      </c>
      <c r="D37" s="123">
        <f>+C37-B37+1</f>
        <v>92</v>
      </c>
      <c r="E37" s="162">
        <v>3.25</v>
      </c>
      <c r="F37" s="226">
        <f t="shared" ref="F37:F55" si="3">J36</f>
        <v>25129400</v>
      </c>
      <c r="G37" s="226">
        <f>+D37/365*E37/100*F37</f>
        <v>205854.53698630139</v>
      </c>
      <c r="H37" s="157">
        <f>D29/20</f>
        <v>1322600</v>
      </c>
      <c r="I37" s="227"/>
      <c r="J37" s="228">
        <f>F37-H37</f>
        <v>23806800</v>
      </c>
    </row>
    <row r="38" spans="1:11" x14ac:dyDescent="0.2">
      <c r="A38" s="127" t="s">
        <v>75</v>
      </c>
      <c r="B38" s="122">
        <f>C37+1</f>
        <v>40452</v>
      </c>
      <c r="C38" s="188">
        <v>40543</v>
      </c>
      <c r="D38" s="123">
        <f>+C38-B38+1</f>
        <v>92</v>
      </c>
      <c r="E38" s="162">
        <v>3.25</v>
      </c>
      <c r="F38" s="226">
        <f t="shared" si="3"/>
        <v>23806800</v>
      </c>
      <c r="G38" s="226">
        <f>+D38/365*E38/100*F38</f>
        <v>195020.0876712329</v>
      </c>
      <c r="H38" s="157">
        <f>H37</f>
        <v>1322600</v>
      </c>
      <c r="I38" s="227"/>
      <c r="J38" s="228">
        <f t="shared" si="2"/>
        <v>22484200</v>
      </c>
    </row>
    <row r="39" spans="1:11" x14ac:dyDescent="0.2">
      <c r="A39" s="127" t="s">
        <v>88</v>
      </c>
      <c r="B39" s="122">
        <f>C38+1</f>
        <v>40544</v>
      </c>
      <c r="C39" s="122">
        <v>40633</v>
      </c>
      <c r="D39" s="161">
        <f t="shared" ref="D39:D55" si="4">+C39-B39+1</f>
        <v>90</v>
      </c>
      <c r="E39" s="161">
        <v>3.25</v>
      </c>
      <c r="F39" s="226">
        <f t="shared" si="3"/>
        <v>22484200</v>
      </c>
      <c r="G39" s="226">
        <f>+D39/365*E39/100*F39</f>
        <v>180181.60273972602</v>
      </c>
      <c r="H39" s="157">
        <f>H38</f>
        <v>1322600</v>
      </c>
      <c r="I39" s="227"/>
      <c r="J39" s="228">
        <f t="shared" si="2"/>
        <v>21161600</v>
      </c>
    </row>
    <row r="40" spans="1:11" x14ac:dyDescent="0.2">
      <c r="A40" s="127" t="s">
        <v>89</v>
      </c>
      <c r="B40" s="122">
        <f t="shared" ref="B40:B55" si="5">C39+1</f>
        <v>40634</v>
      </c>
      <c r="C40" s="122">
        <v>40724</v>
      </c>
      <c r="D40" s="161">
        <f t="shared" si="4"/>
        <v>91</v>
      </c>
      <c r="E40" s="161">
        <v>3.25</v>
      </c>
      <c r="F40" s="226">
        <f t="shared" si="3"/>
        <v>21161600</v>
      </c>
      <c r="G40" s="226">
        <f t="shared" ref="G40:G55" si="6">+D40/365*E40/100*F40</f>
        <v>171466.93698630139</v>
      </c>
      <c r="H40" s="157">
        <f>H39</f>
        <v>1322600</v>
      </c>
      <c r="I40" s="227"/>
      <c r="J40" s="228">
        <f t="shared" si="2"/>
        <v>19839000</v>
      </c>
    </row>
    <row r="41" spans="1:11" x14ac:dyDescent="0.2">
      <c r="A41" s="127" t="s">
        <v>90</v>
      </c>
      <c r="B41" s="122">
        <f t="shared" si="5"/>
        <v>40725</v>
      </c>
      <c r="C41" s="122">
        <v>40816</v>
      </c>
      <c r="D41" s="161">
        <f t="shared" si="4"/>
        <v>92</v>
      </c>
      <c r="E41" s="161">
        <v>3.25</v>
      </c>
      <c r="F41" s="226">
        <f t="shared" si="3"/>
        <v>19839000</v>
      </c>
      <c r="G41" s="226">
        <f>+D41/365*E41/100*F41</f>
        <v>162516.73972602742</v>
      </c>
      <c r="H41" s="226">
        <f>(D30-SUM(H36:H40))/15+H30</f>
        <v>2906513.0253333347</v>
      </c>
      <c r="I41" s="227"/>
      <c r="J41" s="228">
        <f t="shared" si="2"/>
        <v>16932486.974666666</v>
      </c>
    </row>
    <row r="42" spans="1:11" x14ac:dyDescent="0.2">
      <c r="A42" s="127" t="s">
        <v>76</v>
      </c>
      <c r="B42" s="122">
        <f t="shared" si="5"/>
        <v>40817</v>
      </c>
      <c r="C42" s="122">
        <v>40908</v>
      </c>
      <c r="D42" s="161">
        <f t="shared" si="4"/>
        <v>92</v>
      </c>
      <c r="E42" s="161">
        <v>3.25</v>
      </c>
      <c r="F42" s="226">
        <f t="shared" si="3"/>
        <v>16932486.974666666</v>
      </c>
      <c r="G42" s="226">
        <f t="shared" si="6"/>
        <v>138707.22206644749</v>
      </c>
      <c r="H42" s="226">
        <f>($D$30-SUM(H36:H40))/15</f>
        <v>1209463.3553333331</v>
      </c>
      <c r="I42" s="227"/>
      <c r="J42" s="228">
        <f t="shared" si="2"/>
        <v>15723023.619333332</v>
      </c>
    </row>
    <row r="43" spans="1:11" x14ac:dyDescent="0.2">
      <c r="A43" s="127" t="s">
        <v>83</v>
      </c>
      <c r="B43" s="122">
        <f t="shared" si="5"/>
        <v>40909</v>
      </c>
      <c r="C43" s="122">
        <v>40999</v>
      </c>
      <c r="D43" s="161">
        <f t="shared" si="4"/>
        <v>91</v>
      </c>
      <c r="E43" s="162">
        <v>3.25</v>
      </c>
      <c r="F43" s="226">
        <f t="shared" si="3"/>
        <v>15723023.619333332</v>
      </c>
      <c r="G43" s="226">
        <f>+D43/366*E43/100*F43</f>
        <v>127051.4818420173</v>
      </c>
      <c r="H43" s="226">
        <f>H42</f>
        <v>1209463.3553333331</v>
      </c>
      <c r="I43" s="227"/>
      <c r="J43" s="228">
        <f t="shared" si="2"/>
        <v>14513560.263999999</v>
      </c>
    </row>
    <row r="44" spans="1:11" x14ac:dyDescent="0.2">
      <c r="A44" s="127" t="s">
        <v>91</v>
      </c>
      <c r="B44" s="122">
        <f t="shared" si="5"/>
        <v>41000</v>
      </c>
      <c r="C44" s="122">
        <v>41090</v>
      </c>
      <c r="D44" s="161">
        <f t="shared" si="4"/>
        <v>91</v>
      </c>
      <c r="E44" s="162">
        <v>3.25</v>
      </c>
      <c r="F44" s="226">
        <f t="shared" si="3"/>
        <v>14513560.263999999</v>
      </c>
      <c r="G44" s="226">
        <f>+D44/366*E44/100*F44</f>
        <v>117278.29093109288</v>
      </c>
      <c r="H44" s="226">
        <f>H43</f>
        <v>1209463.3553333331</v>
      </c>
      <c r="I44" s="227"/>
      <c r="J44" s="228">
        <f t="shared" si="2"/>
        <v>13304096.908666665</v>
      </c>
    </row>
    <row r="45" spans="1:11" x14ac:dyDescent="0.2">
      <c r="A45" s="127" t="s">
        <v>92</v>
      </c>
      <c r="B45" s="122">
        <f t="shared" si="5"/>
        <v>41091</v>
      </c>
      <c r="C45" s="122">
        <v>41182</v>
      </c>
      <c r="D45" s="161">
        <f t="shared" si="4"/>
        <v>92</v>
      </c>
      <c r="E45" s="162">
        <v>3.25</v>
      </c>
      <c r="F45" s="226">
        <f t="shared" si="3"/>
        <v>13304096.908666665</v>
      </c>
      <c r="G45" s="226">
        <f>+D45/366*E45/100*F45</f>
        <v>108686.47474566483</v>
      </c>
      <c r="H45" s="226">
        <f>H44+I30</f>
        <v>1482570.1553333332</v>
      </c>
      <c r="I45" s="227"/>
      <c r="J45" s="228">
        <f>F45-H45</f>
        <v>11821526.753333332</v>
      </c>
      <c r="K45" s="158"/>
    </row>
    <row r="46" spans="1:11" x14ac:dyDescent="0.2">
      <c r="A46" s="127" t="s">
        <v>77</v>
      </c>
      <c r="B46" s="122">
        <f t="shared" si="5"/>
        <v>41183</v>
      </c>
      <c r="C46" s="122">
        <v>41274</v>
      </c>
      <c r="D46" s="161">
        <f t="shared" si="4"/>
        <v>92</v>
      </c>
      <c r="E46" s="162">
        <v>3.25</v>
      </c>
      <c r="F46" s="226">
        <f>J45</f>
        <v>11821526.753333332</v>
      </c>
      <c r="G46" s="226">
        <f>+D46/366*E46/100*F46</f>
        <v>96574.767738979965</v>
      </c>
      <c r="H46" s="226">
        <f>J45/10</f>
        <v>1182152.6753333332</v>
      </c>
      <c r="I46" s="227"/>
      <c r="J46" s="228">
        <f>F46-H46</f>
        <v>10639374.077999998</v>
      </c>
      <c r="K46" s="158"/>
    </row>
    <row r="47" spans="1:11" x14ac:dyDescent="0.2">
      <c r="A47" s="127" t="s">
        <v>109</v>
      </c>
      <c r="B47" s="122">
        <f t="shared" si="5"/>
        <v>41275</v>
      </c>
      <c r="C47" s="122">
        <v>41364</v>
      </c>
      <c r="D47" s="161">
        <f t="shared" si="4"/>
        <v>90</v>
      </c>
      <c r="E47" s="161">
        <v>3.25</v>
      </c>
      <c r="F47" s="226">
        <f>J46</f>
        <v>10639374.077999998</v>
      </c>
      <c r="G47" s="226">
        <f t="shared" si="6"/>
        <v>85260.737474383539</v>
      </c>
      <c r="H47" s="226">
        <f t="shared" ref="H47:H55" si="7">H46</f>
        <v>1182152.6753333332</v>
      </c>
      <c r="I47" s="227"/>
      <c r="J47" s="228">
        <f>F47-H47</f>
        <v>9457221.4026666656</v>
      </c>
    </row>
    <row r="48" spans="1:11" x14ac:dyDescent="0.2">
      <c r="A48" s="127" t="s">
        <v>110</v>
      </c>
      <c r="B48" s="122">
        <f t="shared" si="5"/>
        <v>41365</v>
      </c>
      <c r="C48" s="122">
        <v>41455</v>
      </c>
      <c r="D48" s="161">
        <f t="shared" si="4"/>
        <v>91</v>
      </c>
      <c r="E48" s="161">
        <v>3.25</v>
      </c>
      <c r="F48" s="226">
        <f t="shared" si="3"/>
        <v>9457221.4026666656</v>
      </c>
      <c r="G48" s="226">
        <f t="shared" si="6"/>
        <v>76629.403557223734</v>
      </c>
      <c r="H48" s="226">
        <f t="shared" si="7"/>
        <v>1182152.6753333332</v>
      </c>
      <c r="I48" s="227"/>
      <c r="J48" s="228">
        <f t="shared" si="2"/>
        <v>8275068.7273333324</v>
      </c>
    </row>
    <row r="49" spans="1:10" x14ac:dyDescent="0.2">
      <c r="A49" s="127" t="s">
        <v>111</v>
      </c>
      <c r="B49" s="122">
        <f t="shared" si="5"/>
        <v>41456</v>
      </c>
      <c r="C49" s="122">
        <v>41547</v>
      </c>
      <c r="D49" s="161">
        <f t="shared" si="4"/>
        <v>92</v>
      </c>
      <c r="E49" s="161">
        <v>3.25</v>
      </c>
      <c r="F49" s="226">
        <f t="shared" si="3"/>
        <v>8275068.7273333324</v>
      </c>
      <c r="G49" s="226">
        <f t="shared" si="6"/>
        <v>67787.549300621002</v>
      </c>
      <c r="H49" s="226">
        <f t="shared" si="7"/>
        <v>1182152.6753333332</v>
      </c>
      <c r="I49" s="227"/>
      <c r="J49" s="228">
        <f t="shared" si="2"/>
        <v>7092916.0519999992</v>
      </c>
    </row>
    <row r="50" spans="1:10" x14ac:dyDescent="0.2">
      <c r="A50" s="127" t="s">
        <v>112</v>
      </c>
      <c r="B50" s="122">
        <f t="shared" si="5"/>
        <v>41548</v>
      </c>
      <c r="C50" s="122">
        <v>41639</v>
      </c>
      <c r="D50" s="161">
        <f t="shared" si="4"/>
        <v>92</v>
      </c>
      <c r="E50" s="161">
        <v>3.25</v>
      </c>
      <c r="F50" s="226">
        <f t="shared" si="3"/>
        <v>7092916.0519999992</v>
      </c>
      <c r="G50" s="226">
        <f t="shared" si="6"/>
        <v>58103.613686246572</v>
      </c>
      <c r="H50" s="226">
        <f t="shared" si="7"/>
        <v>1182152.6753333332</v>
      </c>
      <c r="I50" s="227"/>
      <c r="J50" s="228">
        <f t="shared" si="2"/>
        <v>5910763.376666666</v>
      </c>
    </row>
    <row r="51" spans="1:10" x14ac:dyDescent="0.2">
      <c r="A51" s="127" t="s">
        <v>113</v>
      </c>
      <c r="B51" s="122">
        <f t="shared" si="5"/>
        <v>41640</v>
      </c>
      <c r="C51" s="122">
        <v>41729</v>
      </c>
      <c r="D51" s="161">
        <f t="shared" si="4"/>
        <v>90</v>
      </c>
      <c r="E51" s="162">
        <v>3.25</v>
      </c>
      <c r="F51" s="226">
        <f t="shared" si="3"/>
        <v>5910763.376666666</v>
      </c>
      <c r="G51" s="226">
        <f t="shared" si="6"/>
        <v>47367.076374657525</v>
      </c>
      <c r="H51" s="226">
        <f t="shared" si="7"/>
        <v>1182152.6753333332</v>
      </c>
      <c r="I51" s="227"/>
      <c r="J51" s="228">
        <f t="shared" si="2"/>
        <v>4728610.7013333328</v>
      </c>
    </row>
    <row r="52" spans="1:10" x14ac:dyDescent="0.2">
      <c r="A52" s="127" t="s">
        <v>114</v>
      </c>
      <c r="B52" s="122">
        <f t="shared" si="5"/>
        <v>41730</v>
      </c>
      <c r="C52" s="122">
        <v>41820</v>
      </c>
      <c r="D52" s="161">
        <f t="shared" si="4"/>
        <v>91</v>
      </c>
      <c r="E52" s="162">
        <v>3.25</v>
      </c>
      <c r="F52" s="226">
        <f t="shared" si="3"/>
        <v>4728610.7013333328</v>
      </c>
      <c r="G52" s="226">
        <f t="shared" si="6"/>
        <v>38314.701778611867</v>
      </c>
      <c r="H52" s="226">
        <f t="shared" si="7"/>
        <v>1182152.6753333332</v>
      </c>
      <c r="I52" s="227"/>
      <c r="J52" s="228">
        <f t="shared" si="2"/>
        <v>3546458.0259999996</v>
      </c>
    </row>
    <row r="53" spans="1:10" x14ac:dyDescent="0.2">
      <c r="A53" s="168" t="s">
        <v>115</v>
      </c>
      <c r="B53" s="122">
        <f t="shared" si="5"/>
        <v>41821</v>
      </c>
      <c r="C53" s="122">
        <v>41912</v>
      </c>
      <c r="D53" s="161">
        <f t="shared" si="4"/>
        <v>92</v>
      </c>
      <c r="E53" s="162">
        <v>3.25</v>
      </c>
      <c r="F53" s="226">
        <f t="shared" si="3"/>
        <v>3546458.0259999996</v>
      </c>
      <c r="G53" s="226">
        <f t="shared" si="6"/>
        <v>29051.806843123286</v>
      </c>
      <c r="H53" s="226">
        <f t="shared" si="7"/>
        <v>1182152.6753333332</v>
      </c>
      <c r="I53" s="227"/>
      <c r="J53" s="228">
        <f t="shared" si="2"/>
        <v>2364305.3506666664</v>
      </c>
    </row>
    <row r="54" spans="1:10" x14ac:dyDescent="0.2">
      <c r="A54" s="8" t="s">
        <v>116</v>
      </c>
      <c r="B54" s="317">
        <f t="shared" si="5"/>
        <v>41913</v>
      </c>
      <c r="C54" s="122">
        <v>42004</v>
      </c>
      <c r="D54" s="161">
        <f t="shared" si="4"/>
        <v>92</v>
      </c>
      <c r="E54" s="162">
        <v>3.25</v>
      </c>
      <c r="F54" s="226">
        <f t="shared" si="3"/>
        <v>2364305.3506666664</v>
      </c>
      <c r="G54" s="226">
        <f t="shared" si="6"/>
        <v>19367.87122874886</v>
      </c>
      <c r="H54" s="226">
        <f t="shared" si="7"/>
        <v>1182152.6753333332</v>
      </c>
      <c r="I54" s="227"/>
      <c r="J54" s="228">
        <f t="shared" si="2"/>
        <v>1182152.6753333332</v>
      </c>
    </row>
    <row r="55" spans="1:10" x14ac:dyDescent="0.2">
      <c r="A55" s="169" t="s">
        <v>117</v>
      </c>
      <c r="B55" s="122">
        <f t="shared" si="5"/>
        <v>42005</v>
      </c>
      <c r="C55" s="122">
        <v>42094</v>
      </c>
      <c r="D55" s="161">
        <f t="shared" si="4"/>
        <v>90</v>
      </c>
      <c r="E55" s="161">
        <v>3.25</v>
      </c>
      <c r="F55" s="226">
        <f t="shared" si="3"/>
        <v>1182152.6753333332</v>
      </c>
      <c r="G55" s="226">
        <f t="shared" si="6"/>
        <v>9473.4152749315053</v>
      </c>
      <c r="H55" s="226">
        <f t="shared" si="7"/>
        <v>1182152.6753333332</v>
      </c>
      <c r="I55" s="227"/>
      <c r="J55" s="228">
        <f t="shared" si="2"/>
        <v>0</v>
      </c>
    </row>
    <row r="56" spans="1:10" x14ac:dyDescent="0.2">
      <c r="A56" s="168"/>
      <c r="B56" s="122"/>
      <c r="C56" s="122"/>
      <c r="D56" s="161"/>
      <c r="E56" s="162"/>
      <c r="F56" s="226"/>
      <c r="G56" s="226"/>
      <c r="H56" s="226"/>
      <c r="I56" s="227"/>
      <c r="J56" s="228"/>
    </row>
    <row r="57" spans="1:10" x14ac:dyDescent="0.2">
      <c r="A57" s="127"/>
      <c r="B57" s="122"/>
      <c r="C57" s="122"/>
      <c r="D57" s="161"/>
      <c r="E57" s="161"/>
      <c r="F57" s="124"/>
      <c r="G57" s="125"/>
      <c r="H57" s="125"/>
      <c r="I57" s="126"/>
      <c r="J57" s="187"/>
    </row>
    <row r="59" spans="1:10" x14ac:dyDescent="0.2">
      <c r="A59" s="326" t="s">
        <v>121</v>
      </c>
      <c r="B59" s="327"/>
      <c r="C59" s="327"/>
      <c r="D59" s="327"/>
      <c r="E59" s="327"/>
      <c r="F59" s="327"/>
      <c r="G59" s="327"/>
      <c r="H59" s="327"/>
      <c r="I59" s="327"/>
      <c r="J59" s="328"/>
    </row>
    <row r="60" spans="1:10" x14ac:dyDescent="0.2">
      <c r="A60" s="2" t="s">
        <v>7</v>
      </c>
      <c r="B60" s="2" t="s">
        <v>8</v>
      </c>
      <c r="C60" s="2" t="s">
        <v>9</v>
      </c>
      <c r="D60" s="2" t="s">
        <v>10</v>
      </c>
      <c r="E60" s="2" t="s">
        <v>11</v>
      </c>
      <c r="F60" s="2" t="s">
        <v>12</v>
      </c>
      <c r="G60" s="2" t="s">
        <v>13</v>
      </c>
      <c r="H60" s="2"/>
      <c r="I60" s="2"/>
      <c r="J60" s="2" t="s">
        <v>14</v>
      </c>
    </row>
    <row r="61" spans="1:10" ht="51" x14ac:dyDescent="0.2">
      <c r="A61" s="5" t="s">
        <v>15</v>
      </c>
      <c r="B61" s="5" t="s">
        <v>16</v>
      </c>
      <c r="C61" s="193" t="s">
        <v>17</v>
      </c>
      <c r="D61" s="193" t="s">
        <v>18</v>
      </c>
      <c r="E61" s="193" t="s">
        <v>19</v>
      </c>
      <c r="F61" s="193" t="s">
        <v>20</v>
      </c>
      <c r="G61" s="193" t="s">
        <v>98</v>
      </c>
      <c r="H61" s="193" t="s">
        <v>31</v>
      </c>
      <c r="I61" s="193" t="s">
        <v>99</v>
      </c>
      <c r="J61" s="193" t="s">
        <v>21</v>
      </c>
    </row>
    <row r="62" spans="1:10" x14ac:dyDescent="0.2">
      <c r="A62" s="148" t="s">
        <v>79</v>
      </c>
      <c r="B62" s="135">
        <f>C2</f>
        <v>39574</v>
      </c>
      <c r="C62" s="188">
        <v>39629</v>
      </c>
      <c r="D62" s="123">
        <f>+C62-B62+1</f>
        <v>56</v>
      </c>
      <c r="E62" s="162">
        <v>6.77</v>
      </c>
      <c r="F62" s="124">
        <f>F29</f>
        <v>2500</v>
      </c>
      <c r="G62" s="125">
        <f>+D62/366*E62/100*F62</f>
        <v>25.896174863387976</v>
      </c>
      <c r="H62" s="125"/>
      <c r="I62" s="125"/>
      <c r="J62" s="163">
        <f>F62+G62</f>
        <v>2525.8961748633878</v>
      </c>
    </row>
    <row r="63" spans="1:10" x14ac:dyDescent="0.2">
      <c r="A63" s="127" t="s">
        <v>80</v>
      </c>
      <c r="B63" s="122">
        <f>C62+1</f>
        <v>39630</v>
      </c>
      <c r="C63" s="188">
        <v>39721</v>
      </c>
      <c r="D63" s="123">
        <f>+C63-B63+1</f>
        <v>92</v>
      </c>
      <c r="E63" s="162">
        <v>5.3</v>
      </c>
      <c r="F63" s="124">
        <f>+J62</f>
        <v>2525.8961748633878</v>
      </c>
      <c r="G63" s="125">
        <f>+D63/366*E63/100*F63</f>
        <v>33.651010242169072</v>
      </c>
      <c r="H63" s="125"/>
      <c r="I63" s="125"/>
      <c r="J63" s="163">
        <f t="shared" ref="J63:J69" si="8">+F63+G63</f>
        <v>2559.5471851055568</v>
      </c>
    </row>
    <row r="64" spans="1:10" x14ac:dyDescent="0.2">
      <c r="A64" s="127" t="s">
        <v>73</v>
      </c>
      <c r="B64" s="122">
        <v>39722</v>
      </c>
      <c r="C64" s="122">
        <v>39813</v>
      </c>
      <c r="D64" s="161">
        <f t="shared" ref="D64:D70" si="9">+C64-B64+1</f>
        <v>92</v>
      </c>
      <c r="E64" s="162">
        <v>5</v>
      </c>
      <c r="F64" s="163">
        <f t="shared" ref="F64:F69" si="10">+J63</f>
        <v>2559.5471851055568</v>
      </c>
      <c r="G64" s="163">
        <f>+D64/366*E64/100*F64</f>
        <v>32.169172271818475</v>
      </c>
      <c r="H64" s="163"/>
      <c r="I64" s="194"/>
      <c r="J64" s="195">
        <f t="shared" si="8"/>
        <v>2591.7163573773751</v>
      </c>
    </row>
    <row r="65" spans="1:17" x14ac:dyDescent="0.2">
      <c r="A65" s="127" t="s">
        <v>81</v>
      </c>
      <c r="B65" s="122">
        <f t="shared" ref="B65:B70" si="11">C64+1</f>
        <v>39814</v>
      </c>
      <c r="C65" s="122">
        <v>39903</v>
      </c>
      <c r="D65" s="161">
        <f t="shared" si="9"/>
        <v>90</v>
      </c>
      <c r="E65" s="162">
        <v>4.5199999999999996</v>
      </c>
      <c r="F65" s="163">
        <f t="shared" si="10"/>
        <v>2591.7163573773751</v>
      </c>
      <c r="G65" s="163">
        <f t="shared" ref="G65:G70" si="12">+D65/365*E65/100*F65</f>
        <v>28.885211347427841</v>
      </c>
      <c r="H65" s="163"/>
      <c r="I65" s="194"/>
      <c r="J65" s="195">
        <f t="shared" si="8"/>
        <v>2620.6015687248027</v>
      </c>
    </row>
    <row r="66" spans="1:17" x14ac:dyDescent="0.2">
      <c r="A66" s="127" t="s">
        <v>82</v>
      </c>
      <c r="B66" s="122">
        <f t="shared" si="11"/>
        <v>39904</v>
      </c>
      <c r="C66" s="122">
        <v>39994</v>
      </c>
      <c r="D66" s="161">
        <f t="shared" si="9"/>
        <v>91</v>
      </c>
      <c r="E66" s="162">
        <v>3.37</v>
      </c>
      <c r="F66" s="163">
        <f t="shared" si="10"/>
        <v>2620.6015687248027</v>
      </c>
      <c r="G66" s="163">
        <f t="shared" si="12"/>
        <v>22.018078988516034</v>
      </c>
      <c r="H66" s="163"/>
      <c r="I66" s="194"/>
      <c r="J66" s="195">
        <f t="shared" si="8"/>
        <v>2642.619647713319</v>
      </c>
    </row>
    <row r="67" spans="1:17" x14ac:dyDescent="0.2">
      <c r="A67" s="127" t="s">
        <v>84</v>
      </c>
      <c r="B67" s="122">
        <f t="shared" si="11"/>
        <v>39995</v>
      </c>
      <c r="C67" s="122">
        <v>40086</v>
      </c>
      <c r="D67" s="161">
        <f t="shared" si="9"/>
        <v>92</v>
      </c>
      <c r="E67" s="162">
        <v>3.25</v>
      </c>
      <c r="F67" s="163">
        <f t="shared" si="10"/>
        <v>2642.619647713319</v>
      </c>
      <c r="G67" s="163">
        <f t="shared" si="12"/>
        <v>21.647760949761164</v>
      </c>
      <c r="H67" s="163"/>
      <c r="I67" s="194"/>
      <c r="J67" s="195">
        <f t="shared" si="8"/>
        <v>2664.26740866308</v>
      </c>
    </row>
    <row r="68" spans="1:17" x14ac:dyDescent="0.2">
      <c r="A68" s="127" t="s">
        <v>74</v>
      </c>
      <c r="B68" s="122">
        <f t="shared" si="11"/>
        <v>40087</v>
      </c>
      <c r="C68" s="122">
        <v>40178</v>
      </c>
      <c r="D68" s="161">
        <f t="shared" si="9"/>
        <v>92</v>
      </c>
      <c r="E68" s="162">
        <v>3.25</v>
      </c>
      <c r="F68" s="163">
        <f t="shared" si="10"/>
        <v>2664.26740866308</v>
      </c>
      <c r="G68" s="163">
        <f t="shared" si="12"/>
        <v>21.825094662746878</v>
      </c>
      <c r="H68" s="163"/>
      <c r="I68" s="194"/>
      <c r="J68" s="195">
        <f t="shared" si="8"/>
        <v>2686.0925033258268</v>
      </c>
    </row>
    <row r="69" spans="1:17" x14ac:dyDescent="0.2">
      <c r="A69" s="127" t="s">
        <v>85</v>
      </c>
      <c r="B69" s="122">
        <f t="shared" si="11"/>
        <v>40179</v>
      </c>
      <c r="C69" s="122">
        <v>40268</v>
      </c>
      <c r="D69" s="161">
        <f t="shared" si="9"/>
        <v>90</v>
      </c>
      <c r="E69" s="162">
        <v>3.25</v>
      </c>
      <c r="F69" s="163">
        <f t="shared" si="10"/>
        <v>2686.0925033258268</v>
      </c>
      <c r="G69" s="163">
        <f t="shared" si="12"/>
        <v>21.525535814323405</v>
      </c>
      <c r="H69" s="163"/>
      <c r="I69" s="194"/>
      <c r="J69" s="195">
        <f t="shared" si="8"/>
        <v>2707.6180391401504</v>
      </c>
    </row>
    <row r="70" spans="1:17" x14ac:dyDescent="0.2">
      <c r="A70" s="127" t="s">
        <v>86</v>
      </c>
      <c r="B70" s="122">
        <f t="shared" si="11"/>
        <v>40269</v>
      </c>
      <c r="C70" s="122">
        <v>40359</v>
      </c>
      <c r="D70" s="161">
        <f t="shared" si="9"/>
        <v>91</v>
      </c>
      <c r="E70" s="162">
        <v>3.25</v>
      </c>
      <c r="F70" s="163">
        <f>+J69</f>
        <v>2707.6180391401504</v>
      </c>
      <c r="G70" s="163">
        <f t="shared" si="12"/>
        <v>21.9391242486493</v>
      </c>
      <c r="H70" s="163">
        <f>F$62/20</f>
        <v>125</v>
      </c>
      <c r="I70" s="194">
        <f>G$71/20</f>
        <v>11.477858169440006</v>
      </c>
      <c r="J70" s="195">
        <f>+F70+G70-H70-I70</f>
        <v>2593.0793052193599</v>
      </c>
      <c r="K70" s="35" t="s">
        <v>123</v>
      </c>
    </row>
    <row r="71" spans="1:17" x14ac:dyDescent="0.2">
      <c r="A71" s="159"/>
      <c r="B71" s="160"/>
      <c r="C71" s="160"/>
      <c r="D71" s="160"/>
      <c r="E71" s="335" t="s">
        <v>100</v>
      </c>
      <c r="F71" s="335"/>
      <c r="G71" s="150">
        <f>SUM(G62:G70)</f>
        <v>229.55716338880012</v>
      </c>
      <c r="H71" s="160"/>
      <c r="I71" s="160"/>
      <c r="J71" s="195"/>
    </row>
    <row r="72" spans="1:17" x14ac:dyDescent="0.2">
      <c r="A72" s="127" t="s">
        <v>87</v>
      </c>
      <c r="B72" s="122">
        <f>C70+1</f>
        <v>40360</v>
      </c>
      <c r="C72" s="122">
        <v>40451</v>
      </c>
      <c r="D72" s="161">
        <f>+C72-B72+1</f>
        <v>92</v>
      </c>
      <c r="E72" s="162">
        <v>3.25</v>
      </c>
      <c r="F72" s="163">
        <f>+J70</f>
        <v>2593.0793052193599</v>
      </c>
      <c r="G72" s="163">
        <f t="shared" ref="G72:G77" si="13">+D72/365*E72/100*F72</f>
        <v>21.24193732220791</v>
      </c>
      <c r="H72" s="163">
        <f>F$62/20</f>
        <v>125</v>
      </c>
      <c r="I72" s="194">
        <f t="shared" ref="I72:I90" si="14">G$71/20</f>
        <v>11.477858169440006</v>
      </c>
      <c r="J72" s="195">
        <f>+F72-H72-I72</f>
        <v>2456.6014470499199</v>
      </c>
    </row>
    <row r="73" spans="1:17" x14ac:dyDescent="0.2">
      <c r="A73" s="127" t="s">
        <v>75</v>
      </c>
      <c r="B73" s="122">
        <f>C72+1</f>
        <v>40452</v>
      </c>
      <c r="C73" s="122">
        <v>40543</v>
      </c>
      <c r="D73" s="161">
        <f t="shared" ref="D73:D82" si="15">+C73-B73+1</f>
        <v>92</v>
      </c>
      <c r="E73" s="162">
        <v>3.25</v>
      </c>
      <c r="F73" s="163">
        <f>J72</f>
        <v>2456.6014470499199</v>
      </c>
      <c r="G73" s="163">
        <f t="shared" si="13"/>
        <v>20.123940621039072</v>
      </c>
      <c r="H73" s="163">
        <f t="shared" ref="H73:H87" si="16">F$62/20</f>
        <v>125</v>
      </c>
      <c r="I73" s="194">
        <f t="shared" si="14"/>
        <v>11.477858169440006</v>
      </c>
      <c r="J73" s="195">
        <f t="shared" ref="J73:J89" si="17">+F73-H73-I73</f>
        <v>2320.1235888804799</v>
      </c>
    </row>
    <row r="74" spans="1:17" x14ac:dyDescent="0.2">
      <c r="A74" s="127" t="s">
        <v>88</v>
      </c>
      <c r="B74" s="122">
        <f t="shared" ref="B74:B82" si="18">C73+1</f>
        <v>40544</v>
      </c>
      <c r="C74" s="122">
        <v>40633</v>
      </c>
      <c r="D74" s="161">
        <f t="shared" si="15"/>
        <v>90</v>
      </c>
      <c r="E74" s="162">
        <v>3.25</v>
      </c>
      <c r="F74" s="163">
        <f t="shared" ref="F74:F90" si="19">J73</f>
        <v>2320.1235888804799</v>
      </c>
      <c r="G74" s="163">
        <f t="shared" si="13"/>
        <v>18.592771225960011</v>
      </c>
      <c r="H74" s="163">
        <f t="shared" si="16"/>
        <v>125</v>
      </c>
      <c r="I74" s="194">
        <f t="shared" si="14"/>
        <v>11.477858169440006</v>
      </c>
      <c r="J74" s="195">
        <f t="shared" si="17"/>
        <v>2183.64573071104</v>
      </c>
    </row>
    <row r="75" spans="1:17" x14ac:dyDescent="0.2">
      <c r="A75" s="127" t="s">
        <v>89</v>
      </c>
      <c r="B75" s="122">
        <f t="shared" si="18"/>
        <v>40634</v>
      </c>
      <c r="C75" s="122">
        <v>40724</v>
      </c>
      <c r="D75" s="161">
        <f t="shared" si="15"/>
        <v>91</v>
      </c>
      <c r="E75" s="162">
        <v>3.25</v>
      </c>
      <c r="F75" s="163">
        <f t="shared" si="19"/>
        <v>2183.64573071104</v>
      </c>
      <c r="G75" s="163">
        <f t="shared" si="13"/>
        <v>17.693513009802469</v>
      </c>
      <c r="H75" s="163">
        <f t="shared" si="16"/>
        <v>125</v>
      </c>
      <c r="I75" s="194">
        <f t="shared" si="14"/>
        <v>11.477858169440006</v>
      </c>
      <c r="J75" s="195">
        <f t="shared" si="17"/>
        <v>2047.1678725416</v>
      </c>
      <c r="Q75" s="257"/>
    </row>
    <row r="76" spans="1:17" x14ac:dyDescent="0.2">
      <c r="A76" s="127" t="s">
        <v>90</v>
      </c>
      <c r="B76" s="122">
        <f t="shared" si="18"/>
        <v>40725</v>
      </c>
      <c r="C76" s="122">
        <v>40816</v>
      </c>
      <c r="D76" s="161">
        <f t="shared" si="15"/>
        <v>92</v>
      </c>
      <c r="E76" s="162">
        <v>3.25</v>
      </c>
      <c r="F76" s="163">
        <f t="shared" si="19"/>
        <v>2047.1678725416</v>
      </c>
      <c r="G76" s="163">
        <f t="shared" si="13"/>
        <v>16.76995051753256</v>
      </c>
      <c r="H76" s="163">
        <f t="shared" si="16"/>
        <v>125</v>
      </c>
      <c r="I76" s="194">
        <f t="shared" si="14"/>
        <v>11.477858169440006</v>
      </c>
      <c r="J76" s="195">
        <f t="shared" si="17"/>
        <v>1910.69001437216</v>
      </c>
      <c r="Q76" s="257"/>
    </row>
    <row r="77" spans="1:17" x14ac:dyDescent="0.2">
      <c r="A77" s="127" t="s">
        <v>76</v>
      </c>
      <c r="B77" s="122">
        <f t="shared" si="18"/>
        <v>40817</v>
      </c>
      <c r="C77" s="122">
        <v>40908</v>
      </c>
      <c r="D77" s="161">
        <f t="shared" si="15"/>
        <v>92</v>
      </c>
      <c r="E77" s="162">
        <v>3.25</v>
      </c>
      <c r="F77" s="163">
        <f t="shared" si="19"/>
        <v>1910.69001437216</v>
      </c>
      <c r="G77" s="163">
        <f t="shared" si="13"/>
        <v>15.651953816363724</v>
      </c>
      <c r="H77" s="163">
        <f t="shared" si="16"/>
        <v>125</v>
      </c>
      <c r="I77" s="194">
        <f t="shared" si="14"/>
        <v>11.477858169440006</v>
      </c>
      <c r="J77" s="195">
        <f t="shared" si="17"/>
        <v>1774.2121562027201</v>
      </c>
    </row>
    <row r="78" spans="1:17" x14ac:dyDescent="0.2">
      <c r="A78" s="127" t="s">
        <v>83</v>
      </c>
      <c r="B78" s="122">
        <f t="shared" si="18"/>
        <v>40909</v>
      </c>
      <c r="C78" s="122">
        <v>40999</v>
      </c>
      <c r="D78" s="161">
        <f t="shared" si="15"/>
        <v>91</v>
      </c>
      <c r="E78" s="162">
        <v>3.25</v>
      </c>
      <c r="F78" s="163">
        <f t="shared" si="19"/>
        <v>1774.2121562027201</v>
      </c>
      <c r="G78" s="163">
        <f>+D78/366*E78/100*F78</f>
        <v>14.336700688441379</v>
      </c>
      <c r="H78" s="163">
        <f t="shared" si="16"/>
        <v>125</v>
      </c>
      <c r="I78" s="194">
        <f t="shared" si="14"/>
        <v>11.477858169440006</v>
      </c>
      <c r="J78" s="195">
        <f t="shared" si="17"/>
        <v>1637.7342980332801</v>
      </c>
    </row>
    <row r="79" spans="1:17" x14ac:dyDescent="0.2">
      <c r="A79" s="168" t="s">
        <v>91</v>
      </c>
      <c r="B79" s="122">
        <f t="shared" si="18"/>
        <v>41000</v>
      </c>
      <c r="C79" s="122">
        <v>41090</v>
      </c>
      <c r="D79" s="161">
        <f t="shared" si="15"/>
        <v>91</v>
      </c>
      <c r="E79" s="162">
        <v>3.25</v>
      </c>
      <c r="F79" s="163">
        <f t="shared" si="19"/>
        <v>1637.7342980332801</v>
      </c>
      <c r="G79" s="163">
        <f>+D79/366*E79/100*F79</f>
        <v>13.233877558561273</v>
      </c>
      <c r="H79" s="163">
        <f t="shared" si="16"/>
        <v>125</v>
      </c>
      <c r="I79" s="194">
        <f t="shared" si="14"/>
        <v>11.477858169440006</v>
      </c>
      <c r="J79" s="195">
        <f t="shared" si="17"/>
        <v>1501.2564398638401</v>
      </c>
    </row>
    <row r="80" spans="1:17" x14ac:dyDescent="0.2">
      <c r="A80" s="8" t="s">
        <v>92</v>
      </c>
      <c r="B80" s="317">
        <f t="shared" si="18"/>
        <v>41091</v>
      </c>
      <c r="C80" s="122">
        <v>41182</v>
      </c>
      <c r="D80" s="161">
        <f t="shared" si="15"/>
        <v>92</v>
      </c>
      <c r="E80" s="162">
        <v>3.25</v>
      </c>
      <c r="F80" s="163">
        <f t="shared" si="19"/>
        <v>1501.2564398638401</v>
      </c>
      <c r="G80" s="163">
        <f>+D80/366*E80/100*F80</f>
        <v>12.264362719106236</v>
      </c>
      <c r="H80" s="163">
        <f t="shared" si="16"/>
        <v>125</v>
      </c>
      <c r="I80" s="194">
        <f t="shared" si="14"/>
        <v>11.477858169440006</v>
      </c>
      <c r="J80" s="195">
        <f t="shared" si="17"/>
        <v>1364.7785816944001</v>
      </c>
    </row>
    <row r="81" spans="1:10" x14ac:dyDescent="0.2">
      <c r="A81" s="169" t="s">
        <v>77</v>
      </c>
      <c r="B81" s="122">
        <f t="shared" si="18"/>
        <v>41183</v>
      </c>
      <c r="C81" s="122">
        <v>41274</v>
      </c>
      <c r="D81" s="161">
        <f t="shared" si="15"/>
        <v>92</v>
      </c>
      <c r="E81" s="162">
        <v>3.25</v>
      </c>
      <c r="F81" s="163">
        <f t="shared" si="19"/>
        <v>1364.7785816944001</v>
      </c>
      <c r="G81" s="163">
        <f>+D81/366*E81/100*F81</f>
        <v>11.149420653732943</v>
      </c>
      <c r="H81" s="163">
        <f t="shared" si="16"/>
        <v>125</v>
      </c>
      <c r="I81" s="194">
        <f t="shared" si="14"/>
        <v>11.477858169440006</v>
      </c>
      <c r="J81" s="195">
        <f t="shared" si="17"/>
        <v>1228.3007235249602</v>
      </c>
    </row>
    <row r="82" spans="1:10" x14ac:dyDescent="0.2">
      <c r="A82" s="127" t="s">
        <v>109</v>
      </c>
      <c r="B82" s="122">
        <f t="shared" si="18"/>
        <v>41275</v>
      </c>
      <c r="C82" s="122">
        <v>41364</v>
      </c>
      <c r="D82" s="161">
        <f t="shared" si="15"/>
        <v>90</v>
      </c>
      <c r="E82" s="162">
        <v>3.25</v>
      </c>
      <c r="F82" s="163">
        <f t="shared" si="19"/>
        <v>1228.3007235249602</v>
      </c>
      <c r="G82" s="163">
        <f t="shared" ref="G82:G90" si="20">+D82/365*E82/100*F82</f>
        <v>9.8432318255082425</v>
      </c>
      <c r="H82" s="163">
        <f t="shared" si="16"/>
        <v>125</v>
      </c>
      <c r="I82" s="194">
        <f t="shared" si="14"/>
        <v>11.477858169440006</v>
      </c>
      <c r="J82" s="195">
        <f t="shared" si="17"/>
        <v>1091.8228653555202</v>
      </c>
    </row>
    <row r="83" spans="1:10" x14ac:dyDescent="0.2">
      <c r="A83" s="127" t="s">
        <v>110</v>
      </c>
      <c r="B83" s="122">
        <f>C82+1</f>
        <v>41365</v>
      </c>
      <c r="C83" s="122">
        <v>41455</v>
      </c>
      <c r="D83" s="161">
        <f>+C83-B83+1</f>
        <v>91</v>
      </c>
      <c r="E83" s="162">
        <v>3.25</v>
      </c>
      <c r="F83" s="163">
        <f t="shared" si="19"/>
        <v>1091.8228653555202</v>
      </c>
      <c r="G83" s="163">
        <f t="shared" si="20"/>
        <v>8.8467565049012364</v>
      </c>
      <c r="H83" s="163">
        <f t="shared" si="16"/>
        <v>125</v>
      </c>
      <c r="I83" s="194">
        <f t="shared" si="14"/>
        <v>11.477858169440006</v>
      </c>
      <c r="J83" s="195">
        <f t="shared" si="17"/>
        <v>955.34500718608024</v>
      </c>
    </row>
    <row r="84" spans="1:10" x14ac:dyDescent="0.2">
      <c r="A84" s="127" t="s">
        <v>111</v>
      </c>
      <c r="B84" s="122">
        <f t="shared" ref="B84:B90" si="21">C83+1</f>
        <v>41456</v>
      </c>
      <c r="C84" s="122">
        <v>41547</v>
      </c>
      <c r="D84" s="161">
        <f t="shared" ref="D84:D90" si="22">+C84-B84+1</f>
        <v>92</v>
      </c>
      <c r="E84" s="162">
        <v>3.25</v>
      </c>
      <c r="F84" s="163">
        <f t="shared" si="19"/>
        <v>955.34500718608024</v>
      </c>
      <c r="G84" s="163">
        <f t="shared" si="20"/>
        <v>7.8259769081818638</v>
      </c>
      <c r="H84" s="163">
        <f t="shared" si="16"/>
        <v>125</v>
      </c>
      <c r="I84" s="194">
        <f t="shared" si="14"/>
        <v>11.477858169440006</v>
      </c>
      <c r="J84" s="195">
        <f t="shared" si="17"/>
        <v>818.86714901664027</v>
      </c>
    </row>
    <row r="85" spans="1:10" x14ac:dyDescent="0.2">
      <c r="A85" s="127" t="s">
        <v>112</v>
      </c>
      <c r="B85" s="122">
        <f t="shared" si="21"/>
        <v>41548</v>
      </c>
      <c r="C85" s="122">
        <v>41639</v>
      </c>
      <c r="D85" s="161">
        <f t="shared" si="22"/>
        <v>92</v>
      </c>
      <c r="E85" s="162">
        <v>3.25</v>
      </c>
      <c r="F85" s="163">
        <f t="shared" si="19"/>
        <v>818.86714901664027</v>
      </c>
      <c r="G85" s="163">
        <f t="shared" si="20"/>
        <v>6.7079802070130263</v>
      </c>
      <c r="H85" s="163">
        <f t="shared" si="16"/>
        <v>125</v>
      </c>
      <c r="I85" s="194">
        <f t="shared" si="14"/>
        <v>11.477858169440006</v>
      </c>
      <c r="J85" s="195">
        <f t="shared" si="17"/>
        <v>682.3892908472003</v>
      </c>
    </row>
    <row r="86" spans="1:10" x14ac:dyDescent="0.2">
      <c r="A86" s="127" t="s">
        <v>113</v>
      </c>
      <c r="B86" s="122">
        <f t="shared" si="21"/>
        <v>41640</v>
      </c>
      <c r="C86" s="122">
        <v>41729</v>
      </c>
      <c r="D86" s="161">
        <f t="shared" si="22"/>
        <v>90</v>
      </c>
      <c r="E86" s="162">
        <v>3.25</v>
      </c>
      <c r="F86" s="163">
        <f t="shared" si="19"/>
        <v>682.3892908472003</v>
      </c>
      <c r="G86" s="163">
        <f t="shared" si="20"/>
        <v>5.4684621252823584</v>
      </c>
      <c r="H86" s="163">
        <f t="shared" si="16"/>
        <v>125</v>
      </c>
      <c r="I86" s="194">
        <f t="shared" si="14"/>
        <v>11.477858169440006</v>
      </c>
      <c r="J86" s="195">
        <f t="shared" si="17"/>
        <v>545.91143267776033</v>
      </c>
    </row>
    <row r="87" spans="1:10" x14ac:dyDescent="0.2">
      <c r="A87" s="127" t="s">
        <v>114</v>
      </c>
      <c r="B87" s="122">
        <f t="shared" si="21"/>
        <v>41730</v>
      </c>
      <c r="C87" s="122">
        <v>41820</v>
      </c>
      <c r="D87" s="161">
        <f t="shared" si="22"/>
        <v>91</v>
      </c>
      <c r="E87" s="162">
        <v>3.25</v>
      </c>
      <c r="F87" s="163">
        <f t="shared" si="19"/>
        <v>545.91143267776033</v>
      </c>
      <c r="G87" s="163">
        <f t="shared" si="20"/>
        <v>4.42337825245062</v>
      </c>
      <c r="H87" s="163">
        <f t="shared" si="16"/>
        <v>125</v>
      </c>
      <c r="I87" s="194">
        <f t="shared" si="14"/>
        <v>11.477858169440006</v>
      </c>
      <c r="J87" s="195">
        <f t="shared" si="17"/>
        <v>409.43357450832031</v>
      </c>
    </row>
    <row r="88" spans="1:10" x14ac:dyDescent="0.2">
      <c r="A88" s="168" t="s">
        <v>115</v>
      </c>
      <c r="B88" s="122">
        <f t="shared" si="21"/>
        <v>41821</v>
      </c>
      <c r="C88" s="122">
        <v>41912</v>
      </c>
      <c r="D88" s="161">
        <f t="shared" si="22"/>
        <v>92</v>
      </c>
      <c r="E88" s="162">
        <v>3.25</v>
      </c>
      <c r="F88" s="163">
        <f t="shared" si="19"/>
        <v>409.43357450832031</v>
      </c>
      <c r="G88" s="163">
        <f t="shared" si="20"/>
        <v>3.3539901035065145</v>
      </c>
      <c r="H88" s="163">
        <f>F$62/20</f>
        <v>125</v>
      </c>
      <c r="I88" s="194">
        <f t="shared" si="14"/>
        <v>11.477858169440006</v>
      </c>
      <c r="J88" s="195">
        <f t="shared" si="17"/>
        <v>272.95571633888028</v>
      </c>
    </row>
    <row r="89" spans="1:10" x14ac:dyDescent="0.2">
      <c r="A89" s="8" t="s">
        <v>116</v>
      </c>
      <c r="B89" s="317">
        <f t="shared" si="21"/>
        <v>41913</v>
      </c>
      <c r="C89" s="122">
        <v>42004</v>
      </c>
      <c r="D89" s="161">
        <f t="shared" si="22"/>
        <v>92</v>
      </c>
      <c r="E89" s="162">
        <v>3.25</v>
      </c>
      <c r="F89" s="163">
        <f t="shared" si="19"/>
        <v>272.95571633888028</v>
      </c>
      <c r="G89" s="163">
        <f t="shared" si="20"/>
        <v>2.2359934023376771</v>
      </c>
      <c r="H89" s="163">
        <f>F$62/20</f>
        <v>125</v>
      </c>
      <c r="I89" s="194">
        <f t="shared" si="14"/>
        <v>11.477858169440006</v>
      </c>
      <c r="J89" s="195">
        <f t="shared" si="17"/>
        <v>136.47785816944028</v>
      </c>
    </row>
    <row r="90" spans="1:10" x14ac:dyDescent="0.2">
      <c r="A90" s="169" t="s">
        <v>117</v>
      </c>
      <c r="B90" s="122">
        <f t="shared" si="21"/>
        <v>42005</v>
      </c>
      <c r="C90" s="122">
        <v>42094</v>
      </c>
      <c r="D90" s="161">
        <f t="shared" si="22"/>
        <v>90</v>
      </c>
      <c r="E90" s="162">
        <v>3.25</v>
      </c>
      <c r="F90" s="163">
        <f t="shared" si="19"/>
        <v>136.47785816944028</v>
      </c>
      <c r="G90" s="163">
        <f t="shared" si="20"/>
        <v>1.0936924250564735</v>
      </c>
      <c r="H90" s="163">
        <f>F$62/20</f>
        <v>125</v>
      </c>
      <c r="I90" s="194">
        <f t="shared" si="14"/>
        <v>11.477858169440006</v>
      </c>
      <c r="J90" s="195">
        <f>+F90-H90-I90</f>
        <v>2.7533531010703882E-13</v>
      </c>
    </row>
    <row r="91" spans="1:10" x14ac:dyDescent="0.2">
      <c r="A91" s="127"/>
      <c r="B91" s="122"/>
      <c r="C91" s="122"/>
      <c r="D91" s="161"/>
      <c r="E91" s="162"/>
      <c r="F91" s="163"/>
      <c r="G91" s="163"/>
      <c r="H91" s="163"/>
      <c r="I91" s="194"/>
      <c r="J91" s="195"/>
    </row>
    <row r="92" spans="1:10" x14ac:dyDescent="0.2">
      <c r="A92" s="127"/>
      <c r="B92" s="122"/>
      <c r="C92" s="122"/>
      <c r="D92" s="161"/>
      <c r="E92" s="162"/>
      <c r="F92" s="163"/>
      <c r="G92" s="163"/>
      <c r="H92" s="163"/>
      <c r="I92" s="194"/>
      <c r="J92" s="195"/>
    </row>
    <row r="93" spans="1:10" x14ac:dyDescent="0.2">
      <c r="A93" s="128"/>
      <c r="B93" s="129"/>
      <c r="C93" s="122"/>
      <c r="D93" s="161"/>
      <c r="E93" s="162"/>
      <c r="F93" s="196"/>
      <c r="G93" s="196"/>
      <c r="H93" s="196"/>
      <c r="I93" s="194"/>
      <c r="J93" s="160"/>
    </row>
  </sheetData>
  <mergeCells count="4">
    <mergeCell ref="E71:F71"/>
    <mergeCell ref="A31:B31"/>
    <mergeCell ref="A33:J33"/>
    <mergeCell ref="A59:J59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&amp;C&amp;A&amp;RAttachment 4
WP- Schedule 22
(Based on Aug. 26, 2013 Offer of Settlement)
Page &amp;P of &amp;N</oddHeader>
  </headerFooter>
  <rowBreaks count="2" manualBreakCount="2">
    <brk id="32" max="9" man="1"/>
    <brk id="57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 enableFormatConditionsCalculation="0"/>
  <dimension ref="A1:J55"/>
  <sheetViews>
    <sheetView view="pageLayout" zoomScaleNormal="85" workbookViewId="0">
      <selection activeCell="L2" sqref="L2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1.42578125" style="35" customWidth="1"/>
    <col min="10" max="10" width="19.85546875" style="35" bestFit="1" customWidth="1"/>
    <col min="11" max="16384" width="9.140625" style="35"/>
  </cols>
  <sheetData>
    <row r="1" spans="1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41004</v>
      </c>
      <c r="D2" s="12">
        <v>300000</v>
      </c>
      <c r="E2" s="12">
        <v>0</v>
      </c>
      <c r="F2" s="12">
        <v>7000</v>
      </c>
      <c r="G2" s="156">
        <f>SUM(D2:F2)</f>
        <v>307000</v>
      </c>
    </row>
    <row r="3" spans="1:10" x14ac:dyDescent="0.2">
      <c r="C3" s="274" t="s">
        <v>0</v>
      </c>
      <c r="D3" s="158">
        <f>SUM(D2:D2)</f>
        <v>300000</v>
      </c>
      <c r="E3" s="158">
        <f>SUM(E2:E2)</f>
        <v>0</v>
      </c>
      <c r="F3" s="158">
        <f>SUM(F2:F2)</f>
        <v>7000</v>
      </c>
      <c r="G3" s="158">
        <f>SUM(G2:G2)</f>
        <v>307000</v>
      </c>
    </row>
    <row r="5" spans="1:10" x14ac:dyDescent="0.2">
      <c r="A5" s="340" t="s">
        <v>68</v>
      </c>
      <c r="B5" s="340"/>
      <c r="C5" s="16">
        <v>40962</v>
      </c>
      <c r="D5" s="35" t="s">
        <v>130</v>
      </c>
    </row>
    <row r="7" spans="1:10" x14ac:dyDescent="0.2">
      <c r="A7" s="341" t="s">
        <v>62</v>
      </c>
      <c r="B7" s="341"/>
      <c r="C7" s="341"/>
      <c r="D7" s="341"/>
      <c r="E7" s="341"/>
      <c r="F7" s="341"/>
      <c r="G7" s="341"/>
      <c r="H7" s="341"/>
      <c r="I7" s="341"/>
      <c r="J7" s="341"/>
    </row>
    <row r="8" spans="1:10" x14ac:dyDescent="0.2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2"/>
      <c r="I8" s="2"/>
      <c r="J8" s="2" t="s">
        <v>14</v>
      </c>
    </row>
    <row r="9" spans="1:10" ht="51" x14ac:dyDescent="0.2">
      <c r="A9" s="5" t="s">
        <v>15</v>
      </c>
      <c r="B9" s="5" t="s">
        <v>16</v>
      </c>
      <c r="C9" s="5" t="s">
        <v>17</v>
      </c>
      <c r="D9" s="5" t="s">
        <v>18</v>
      </c>
      <c r="E9" s="5" t="s">
        <v>19</v>
      </c>
      <c r="F9" s="5" t="s">
        <v>20</v>
      </c>
      <c r="G9" s="5" t="s">
        <v>98</v>
      </c>
      <c r="H9" s="5" t="s">
        <v>31</v>
      </c>
      <c r="I9" s="5" t="s">
        <v>99</v>
      </c>
      <c r="J9" s="5" t="s">
        <v>21</v>
      </c>
    </row>
    <row r="10" spans="1:10" x14ac:dyDescent="0.2">
      <c r="A10" s="185" t="s">
        <v>83</v>
      </c>
      <c r="B10" s="197">
        <f>C5</f>
        <v>40962</v>
      </c>
      <c r="C10" s="197">
        <v>40999</v>
      </c>
      <c r="D10" s="199">
        <f t="shared" ref="D10:D30" si="0">+C10-B10+1</f>
        <v>38</v>
      </c>
      <c r="E10" s="200">
        <v>3.25</v>
      </c>
      <c r="F10" s="198">
        <f>D3</f>
        <v>300000</v>
      </c>
      <c r="G10" s="198">
        <f t="shared" ref="G10:G24" si="1">D10/365*E10/100*F10</f>
        <v>1015.068493150685</v>
      </c>
      <c r="H10" s="201">
        <f>D3/20</f>
        <v>15000</v>
      </c>
      <c r="I10" s="201"/>
      <c r="J10" s="202"/>
    </row>
    <row r="11" spans="1:10" x14ac:dyDescent="0.2">
      <c r="A11" s="185" t="s">
        <v>91</v>
      </c>
      <c r="B11" s="197">
        <f t="shared" ref="B11:B30" si="2">C10+1</f>
        <v>41000</v>
      </c>
      <c r="C11" s="197">
        <v>41090</v>
      </c>
      <c r="D11" s="199">
        <f t="shared" si="0"/>
        <v>91</v>
      </c>
      <c r="E11" s="200">
        <v>3.25</v>
      </c>
      <c r="F11" s="198">
        <f t="shared" ref="F11:F24" si="3">F10-H10</f>
        <v>285000</v>
      </c>
      <c r="G11" s="198">
        <f t="shared" si="1"/>
        <v>2309.2808219178082</v>
      </c>
      <c r="H11" s="201">
        <f t="shared" ref="H11:H29" si="4">H10</f>
        <v>15000</v>
      </c>
      <c r="I11" s="201"/>
      <c r="J11" s="202"/>
    </row>
    <row r="12" spans="1:10" x14ac:dyDescent="0.2">
      <c r="A12" s="185" t="s">
        <v>92</v>
      </c>
      <c r="B12" s="197">
        <f t="shared" si="2"/>
        <v>41091</v>
      </c>
      <c r="C12" s="197">
        <v>41182</v>
      </c>
      <c r="D12" s="199">
        <f t="shared" si="0"/>
        <v>92</v>
      </c>
      <c r="E12" s="200">
        <v>3.25</v>
      </c>
      <c r="F12" s="198">
        <f t="shared" si="3"/>
        <v>270000</v>
      </c>
      <c r="G12" s="198">
        <f t="shared" si="1"/>
        <v>2211.7808219178082</v>
      </c>
      <c r="H12" s="201">
        <f t="shared" si="4"/>
        <v>15000</v>
      </c>
      <c r="I12" s="201"/>
      <c r="J12" s="202"/>
    </row>
    <row r="13" spans="1:10" x14ac:dyDescent="0.2">
      <c r="A13" s="185" t="s">
        <v>77</v>
      </c>
      <c r="B13" s="197">
        <f t="shared" si="2"/>
        <v>41183</v>
      </c>
      <c r="C13" s="197">
        <v>41274</v>
      </c>
      <c r="D13" s="199">
        <f t="shared" si="0"/>
        <v>92</v>
      </c>
      <c r="E13" s="200">
        <v>3.25</v>
      </c>
      <c r="F13" s="198">
        <f t="shared" si="3"/>
        <v>255000</v>
      </c>
      <c r="G13" s="198">
        <f t="shared" si="1"/>
        <v>2088.9041095890411</v>
      </c>
      <c r="H13" s="201">
        <f t="shared" si="4"/>
        <v>15000</v>
      </c>
      <c r="I13" s="201"/>
      <c r="J13" s="202"/>
    </row>
    <row r="14" spans="1:10" ht="12" customHeight="1" x14ac:dyDescent="0.2">
      <c r="A14" s="185" t="s">
        <v>109</v>
      </c>
      <c r="B14" s="197">
        <f t="shared" si="2"/>
        <v>41275</v>
      </c>
      <c r="C14" s="197">
        <v>41364</v>
      </c>
      <c r="D14" s="199">
        <f t="shared" si="0"/>
        <v>90</v>
      </c>
      <c r="E14" s="200">
        <v>3.25</v>
      </c>
      <c r="F14" s="198">
        <f t="shared" si="3"/>
        <v>240000</v>
      </c>
      <c r="G14" s="198">
        <f t="shared" si="1"/>
        <v>1923.2876712328766</v>
      </c>
      <c r="H14" s="201">
        <f t="shared" si="4"/>
        <v>15000</v>
      </c>
      <c r="I14" s="201"/>
    </row>
    <row r="15" spans="1:10" x14ac:dyDescent="0.2">
      <c r="A15" s="185" t="s">
        <v>110</v>
      </c>
      <c r="B15" s="197">
        <f t="shared" si="2"/>
        <v>41365</v>
      </c>
      <c r="C15" s="197">
        <v>41455</v>
      </c>
      <c r="D15" s="199">
        <f t="shared" si="0"/>
        <v>91</v>
      </c>
      <c r="E15" s="200">
        <v>3.25</v>
      </c>
      <c r="F15" s="198">
        <f t="shared" si="3"/>
        <v>225000</v>
      </c>
      <c r="G15" s="198">
        <f t="shared" si="1"/>
        <v>1823.1164383561645</v>
      </c>
      <c r="H15" s="201">
        <f t="shared" si="4"/>
        <v>15000</v>
      </c>
      <c r="I15" s="201"/>
    </row>
    <row r="16" spans="1:10" x14ac:dyDescent="0.2">
      <c r="A16" s="185" t="s">
        <v>111</v>
      </c>
      <c r="B16" s="197">
        <f t="shared" si="2"/>
        <v>41456</v>
      </c>
      <c r="C16" s="197">
        <v>41547</v>
      </c>
      <c r="D16" s="199">
        <f t="shared" si="0"/>
        <v>92</v>
      </c>
      <c r="E16" s="200">
        <v>3.25</v>
      </c>
      <c r="F16" s="198">
        <f t="shared" si="3"/>
        <v>210000</v>
      </c>
      <c r="G16" s="198">
        <f t="shared" si="1"/>
        <v>1720.2739726027398</v>
      </c>
      <c r="H16" s="201">
        <f t="shared" si="4"/>
        <v>15000</v>
      </c>
      <c r="I16" s="201"/>
    </row>
    <row r="17" spans="1:10" x14ac:dyDescent="0.2">
      <c r="A17" s="185" t="s">
        <v>112</v>
      </c>
      <c r="B17" s="197">
        <f t="shared" si="2"/>
        <v>41548</v>
      </c>
      <c r="C17" s="197">
        <v>41639</v>
      </c>
      <c r="D17" s="199">
        <f t="shared" si="0"/>
        <v>92</v>
      </c>
      <c r="E17" s="200">
        <v>3.25</v>
      </c>
      <c r="F17" s="198">
        <f t="shared" si="3"/>
        <v>195000</v>
      </c>
      <c r="G17" s="198">
        <f t="shared" si="1"/>
        <v>1597.3972602739727</v>
      </c>
      <c r="H17" s="201">
        <f t="shared" si="4"/>
        <v>15000</v>
      </c>
      <c r="I17" s="201"/>
    </row>
    <row r="18" spans="1:10" x14ac:dyDescent="0.2">
      <c r="A18" s="185" t="s">
        <v>113</v>
      </c>
      <c r="B18" s="197">
        <f t="shared" si="2"/>
        <v>41640</v>
      </c>
      <c r="C18" s="197">
        <v>41729</v>
      </c>
      <c r="D18" s="199">
        <f t="shared" si="0"/>
        <v>90</v>
      </c>
      <c r="E18" s="200">
        <v>3.25</v>
      </c>
      <c r="F18" s="198">
        <f t="shared" si="3"/>
        <v>180000</v>
      </c>
      <c r="G18" s="198">
        <f t="shared" si="1"/>
        <v>1442.4657534246574</v>
      </c>
      <c r="H18" s="201">
        <f t="shared" si="4"/>
        <v>15000</v>
      </c>
      <c r="I18" s="201"/>
    </row>
    <row r="19" spans="1:10" x14ac:dyDescent="0.2">
      <c r="A19" s="185" t="s">
        <v>114</v>
      </c>
      <c r="B19" s="197">
        <f t="shared" si="2"/>
        <v>41730</v>
      </c>
      <c r="C19" s="197">
        <v>41820</v>
      </c>
      <c r="D19" s="199">
        <f t="shared" si="0"/>
        <v>91</v>
      </c>
      <c r="E19" s="200">
        <v>3.25</v>
      </c>
      <c r="F19" s="198">
        <f t="shared" si="3"/>
        <v>165000</v>
      </c>
      <c r="G19" s="198">
        <f t="shared" si="1"/>
        <v>1336.9520547945206</v>
      </c>
      <c r="H19" s="201">
        <f t="shared" si="4"/>
        <v>15000</v>
      </c>
      <c r="I19" s="201"/>
    </row>
    <row r="20" spans="1:10" x14ac:dyDescent="0.2">
      <c r="A20" s="185" t="s">
        <v>115</v>
      </c>
      <c r="B20" s="197">
        <f t="shared" si="2"/>
        <v>41821</v>
      </c>
      <c r="C20" s="197">
        <v>41912</v>
      </c>
      <c r="D20" s="199">
        <f t="shared" si="0"/>
        <v>92</v>
      </c>
      <c r="E20" s="200">
        <v>3.25</v>
      </c>
      <c r="F20" s="198">
        <f t="shared" si="3"/>
        <v>150000</v>
      </c>
      <c r="G20" s="198">
        <f t="shared" si="1"/>
        <v>1228.7671232876714</v>
      </c>
      <c r="H20" s="201">
        <f t="shared" si="4"/>
        <v>15000</v>
      </c>
      <c r="I20" s="201"/>
    </row>
    <row r="21" spans="1:10" x14ac:dyDescent="0.2">
      <c r="A21" s="185" t="s">
        <v>116</v>
      </c>
      <c r="B21" s="197">
        <f t="shared" si="2"/>
        <v>41913</v>
      </c>
      <c r="C21" s="197">
        <v>42004</v>
      </c>
      <c r="D21" s="199">
        <f t="shared" si="0"/>
        <v>92</v>
      </c>
      <c r="E21" s="200">
        <v>3.25</v>
      </c>
      <c r="F21" s="198">
        <f t="shared" si="3"/>
        <v>135000</v>
      </c>
      <c r="G21" s="198">
        <f t="shared" si="1"/>
        <v>1105.8904109589041</v>
      </c>
      <c r="H21" s="201">
        <f t="shared" si="4"/>
        <v>15000</v>
      </c>
      <c r="I21" s="201"/>
    </row>
    <row r="22" spans="1:10" x14ac:dyDescent="0.2">
      <c r="A22" s="185" t="s">
        <v>117</v>
      </c>
      <c r="B22" s="197">
        <f t="shared" si="2"/>
        <v>42005</v>
      </c>
      <c r="C22" s="197">
        <v>42094</v>
      </c>
      <c r="D22" s="199">
        <f t="shared" si="0"/>
        <v>90</v>
      </c>
      <c r="E22" s="200">
        <v>3.25</v>
      </c>
      <c r="F22" s="198">
        <f t="shared" si="3"/>
        <v>120000</v>
      </c>
      <c r="G22" s="198">
        <f t="shared" si="1"/>
        <v>961.64383561643831</v>
      </c>
      <c r="H22" s="201">
        <f t="shared" si="4"/>
        <v>15000</v>
      </c>
      <c r="I22" s="201"/>
    </row>
    <row r="23" spans="1:10" x14ac:dyDescent="0.2">
      <c r="A23" s="185" t="s">
        <v>118</v>
      </c>
      <c r="B23" s="197">
        <f t="shared" si="2"/>
        <v>42095</v>
      </c>
      <c r="C23" s="197">
        <v>42185</v>
      </c>
      <c r="D23" s="199">
        <f t="shared" si="0"/>
        <v>91</v>
      </c>
      <c r="E23" s="200">
        <v>3.25</v>
      </c>
      <c r="F23" s="198">
        <f t="shared" si="3"/>
        <v>105000</v>
      </c>
      <c r="G23" s="198">
        <f t="shared" si="1"/>
        <v>850.78767123287673</v>
      </c>
      <c r="H23" s="201">
        <f t="shared" si="4"/>
        <v>15000</v>
      </c>
      <c r="I23" s="201"/>
    </row>
    <row r="24" spans="1:10" x14ac:dyDescent="0.2">
      <c r="A24" s="185" t="s">
        <v>119</v>
      </c>
      <c r="B24" s="197">
        <f t="shared" si="2"/>
        <v>42186</v>
      </c>
      <c r="C24" s="197">
        <v>42277</v>
      </c>
      <c r="D24" s="199">
        <f t="shared" si="0"/>
        <v>92</v>
      </c>
      <c r="E24" s="200">
        <v>3.25</v>
      </c>
      <c r="F24" s="198">
        <f t="shared" si="3"/>
        <v>90000</v>
      </c>
      <c r="G24" s="198">
        <f t="shared" si="1"/>
        <v>737.26027397260282</v>
      </c>
      <c r="H24" s="201">
        <f t="shared" si="4"/>
        <v>15000</v>
      </c>
      <c r="I24" s="201"/>
    </row>
    <row r="25" spans="1:10" x14ac:dyDescent="0.2">
      <c r="A25" s="185" t="s">
        <v>120</v>
      </c>
      <c r="B25" s="197">
        <f t="shared" si="2"/>
        <v>42278</v>
      </c>
      <c r="C25" s="197">
        <v>42369</v>
      </c>
      <c r="D25" s="199">
        <f t="shared" si="0"/>
        <v>92</v>
      </c>
      <c r="E25" s="200">
        <v>3.25</v>
      </c>
      <c r="F25" s="198">
        <f t="shared" ref="F25:F30" si="5">F24-H24</f>
        <v>75000</v>
      </c>
      <c r="G25" s="198">
        <f t="shared" ref="G25:G30" si="6">D25/365*E25/100*F25</f>
        <v>614.38356164383572</v>
      </c>
      <c r="H25" s="201">
        <f t="shared" si="4"/>
        <v>15000</v>
      </c>
      <c r="I25" s="201"/>
    </row>
    <row r="26" spans="1:10" x14ac:dyDescent="0.2">
      <c r="A26" s="185" t="s">
        <v>125</v>
      </c>
      <c r="B26" s="197">
        <f t="shared" si="2"/>
        <v>42370</v>
      </c>
      <c r="C26" s="197">
        <v>42460</v>
      </c>
      <c r="D26" s="199">
        <f t="shared" si="0"/>
        <v>91</v>
      </c>
      <c r="E26" s="200">
        <v>3.25</v>
      </c>
      <c r="F26" s="198">
        <f t="shared" si="5"/>
        <v>60000</v>
      </c>
      <c r="G26" s="198">
        <f t="shared" si="6"/>
        <v>486.16438356164383</v>
      </c>
      <c r="H26" s="201">
        <f t="shared" si="4"/>
        <v>15000</v>
      </c>
      <c r="I26" s="201"/>
    </row>
    <row r="27" spans="1:10" x14ac:dyDescent="0.2">
      <c r="A27" s="185" t="s">
        <v>126</v>
      </c>
      <c r="B27" s="197">
        <f t="shared" si="2"/>
        <v>42461</v>
      </c>
      <c r="C27" s="197">
        <v>42551</v>
      </c>
      <c r="D27" s="199">
        <f t="shared" si="0"/>
        <v>91</v>
      </c>
      <c r="E27" s="200">
        <v>3.25</v>
      </c>
      <c r="F27" s="198">
        <f t="shared" si="5"/>
        <v>45000</v>
      </c>
      <c r="G27" s="198">
        <f t="shared" si="6"/>
        <v>364.6232876712329</v>
      </c>
      <c r="H27" s="201">
        <f t="shared" si="4"/>
        <v>15000</v>
      </c>
      <c r="I27" s="201"/>
    </row>
    <row r="28" spans="1:10" x14ac:dyDescent="0.2">
      <c r="A28" s="185" t="s">
        <v>127</v>
      </c>
      <c r="B28" s="197">
        <f t="shared" si="2"/>
        <v>42552</v>
      </c>
      <c r="C28" s="197">
        <v>42643</v>
      </c>
      <c r="D28" s="199">
        <f t="shared" si="0"/>
        <v>92</v>
      </c>
      <c r="E28" s="200">
        <v>3.25</v>
      </c>
      <c r="F28" s="198">
        <f t="shared" si="5"/>
        <v>30000</v>
      </c>
      <c r="G28" s="198">
        <f t="shared" si="6"/>
        <v>245.75342465753428</v>
      </c>
      <c r="H28" s="201">
        <f t="shared" si="4"/>
        <v>15000</v>
      </c>
      <c r="I28" s="201"/>
    </row>
    <row r="29" spans="1:10" x14ac:dyDescent="0.2">
      <c r="A29" s="185" t="s">
        <v>128</v>
      </c>
      <c r="B29" s="197">
        <f t="shared" si="2"/>
        <v>42644</v>
      </c>
      <c r="C29" s="197">
        <v>42735</v>
      </c>
      <c r="D29" s="199">
        <f t="shared" si="0"/>
        <v>92</v>
      </c>
      <c r="E29" s="200">
        <v>3.25</v>
      </c>
      <c r="F29" s="198">
        <f t="shared" si="5"/>
        <v>15000</v>
      </c>
      <c r="G29" s="198">
        <f t="shared" si="6"/>
        <v>122.87671232876714</v>
      </c>
      <c r="H29" s="201">
        <f t="shared" si="4"/>
        <v>15000</v>
      </c>
      <c r="I29" s="201"/>
    </row>
    <row r="30" spans="1:10" x14ac:dyDescent="0.2">
      <c r="A30" s="185" t="s">
        <v>129</v>
      </c>
      <c r="B30" s="197">
        <f t="shared" si="2"/>
        <v>42736</v>
      </c>
      <c r="C30" s="197">
        <v>42825</v>
      </c>
      <c r="D30" s="199">
        <f t="shared" si="0"/>
        <v>90</v>
      </c>
      <c r="E30" s="200">
        <v>3.25</v>
      </c>
      <c r="F30" s="198">
        <f t="shared" si="5"/>
        <v>0</v>
      </c>
      <c r="G30" s="198">
        <f t="shared" si="6"/>
        <v>0</v>
      </c>
      <c r="H30" s="201">
        <v>0</v>
      </c>
    </row>
    <row r="32" spans="1:10" x14ac:dyDescent="0.2">
      <c r="A32" s="341" t="s">
        <v>132</v>
      </c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x14ac:dyDescent="0.2">
      <c r="A33" s="2" t="s">
        <v>7</v>
      </c>
      <c r="B33" s="2" t="s">
        <v>8</v>
      </c>
      <c r="C33" s="2" t="s">
        <v>9</v>
      </c>
      <c r="D33" s="2" t="s">
        <v>10</v>
      </c>
      <c r="E33" s="2" t="s">
        <v>11</v>
      </c>
      <c r="F33" s="2" t="s">
        <v>12</v>
      </c>
      <c r="G33" s="2" t="s">
        <v>13</v>
      </c>
      <c r="H33" s="2"/>
      <c r="I33" s="2"/>
      <c r="J33" s="2" t="s">
        <v>14</v>
      </c>
    </row>
    <row r="34" spans="1:10" ht="51" x14ac:dyDescent="0.2">
      <c r="A34" s="5" t="s">
        <v>15</v>
      </c>
      <c r="B34" s="5" t="s">
        <v>16</v>
      </c>
      <c r="C34" s="5" t="s">
        <v>17</v>
      </c>
      <c r="D34" s="5" t="s">
        <v>18</v>
      </c>
      <c r="E34" s="5" t="s">
        <v>19</v>
      </c>
      <c r="F34" s="5" t="s">
        <v>20</v>
      </c>
      <c r="G34" s="5" t="s">
        <v>98</v>
      </c>
      <c r="H34" s="5" t="s">
        <v>31</v>
      </c>
      <c r="I34" s="5" t="s">
        <v>99</v>
      </c>
      <c r="J34" s="5" t="s">
        <v>21</v>
      </c>
    </row>
    <row r="35" spans="1:10" x14ac:dyDescent="0.2">
      <c r="A35" s="185" t="s">
        <v>83</v>
      </c>
      <c r="B35" s="197">
        <f>C5</f>
        <v>40962</v>
      </c>
      <c r="C35" s="197">
        <v>40999</v>
      </c>
      <c r="D35" s="199">
        <f t="shared" ref="D35:D55" si="7">+C35-B35+1</f>
        <v>38</v>
      </c>
      <c r="E35" s="200">
        <v>3.25</v>
      </c>
      <c r="F35" s="198">
        <f>F3</f>
        <v>7000</v>
      </c>
      <c r="G35" s="198">
        <f t="shared" ref="G35:G55" si="8">D35/365*E35/100*F35</f>
        <v>23.684931506849317</v>
      </c>
      <c r="H35" s="201">
        <f>F3/20</f>
        <v>350</v>
      </c>
      <c r="I35" s="201"/>
      <c r="J35" s="202"/>
    </row>
    <row r="36" spans="1:10" x14ac:dyDescent="0.2">
      <c r="A36" s="185" t="s">
        <v>91</v>
      </c>
      <c r="B36" s="197">
        <f t="shared" ref="B36:B55" si="9">C35+1</f>
        <v>41000</v>
      </c>
      <c r="C36" s="197">
        <v>41090</v>
      </c>
      <c r="D36" s="199">
        <f t="shared" si="7"/>
        <v>91</v>
      </c>
      <c r="E36" s="200">
        <v>3.25</v>
      </c>
      <c r="F36" s="198">
        <f t="shared" ref="F36:F55" si="10">F35-H35</f>
        <v>6650</v>
      </c>
      <c r="G36" s="198">
        <f t="shared" si="8"/>
        <v>53.883219178082193</v>
      </c>
      <c r="H36" s="201">
        <f t="shared" ref="H36:H54" si="11">H35</f>
        <v>350</v>
      </c>
      <c r="I36" s="201"/>
      <c r="J36" s="202"/>
    </row>
    <row r="37" spans="1:10" x14ac:dyDescent="0.2">
      <c r="A37" s="185" t="s">
        <v>92</v>
      </c>
      <c r="B37" s="197">
        <f t="shared" si="9"/>
        <v>41091</v>
      </c>
      <c r="C37" s="197">
        <v>41182</v>
      </c>
      <c r="D37" s="199">
        <f t="shared" si="7"/>
        <v>92</v>
      </c>
      <c r="E37" s="200">
        <v>3.25</v>
      </c>
      <c r="F37" s="198">
        <f t="shared" si="10"/>
        <v>6300</v>
      </c>
      <c r="G37" s="198">
        <f t="shared" si="8"/>
        <v>51.608219178082194</v>
      </c>
      <c r="H37" s="201">
        <f t="shared" si="11"/>
        <v>350</v>
      </c>
      <c r="I37" s="201"/>
      <c r="J37" s="202"/>
    </row>
    <row r="38" spans="1:10" x14ac:dyDescent="0.2">
      <c r="A38" s="185" t="s">
        <v>77</v>
      </c>
      <c r="B38" s="197">
        <f t="shared" si="9"/>
        <v>41183</v>
      </c>
      <c r="C38" s="197">
        <v>41274</v>
      </c>
      <c r="D38" s="199">
        <f t="shared" si="7"/>
        <v>92</v>
      </c>
      <c r="E38" s="200">
        <v>3.25</v>
      </c>
      <c r="F38" s="198">
        <f t="shared" si="10"/>
        <v>5950</v>
      </c>
      <c r="G38" s="198">
        <f t="shared" si="8"/>
        <v>48.741095890410961</v>
      </c>
      <c r="H38" s="201">
        <f t="shared" si="11"/>
        <v>350</v>
      </c>
      <c r="I38" s="201"/>
      <c r="J38" s="202"/>
    </row>
    <row r="39" spans="1:10" x14ac:dyDescent="0.2">
      <c r="A39" s="185" t="s">
        <v>109</v>
      </c>
      <c r="B39" s="197">
        <f t="shared" si="9"/>
        <v>41275</v>
      </c>
      <c r="C39" s="197">
        <v>41364</v>
      </c>
      <c r="D39" s="199">
        <f t="shared" si="7"/>
        <v>90</v>
      </c>
      <c r="E39" s="200">
        <v>3.25</v>
      </c>
      <c r="F39" s="198">
        <f t="shared" si="10"/>
        <v>5600</v>
      </c>
      <c r="G39" s="198">
        <f t="shared" si="8"/>
        <v>44.87671232876712</v>
      </c>
      <c r="H39" s="201">
        <f t="shared" si="11"/>
        <v>350</v>
      </c>
      <c r="I39" s="201"/>
    </row>
    <row r="40" spans="1:10" x14ac:dyDescent="0.2">
      <c r="A40" s="185" t="s">
        <v>110</v>
      </c>
      <c r="B40" s="197">
        <f t="shared" si="9"/>
        <v>41365</v>
      </c>
      <c r="C40" s="197">
        <v>41455</v>
      </c>
      <c r="D40" s="199">
        <f t="shared" si="7"/>
        <v>91</v>
      </c>
      <c r="E40" s="200">
        <v>3.25</v>
      </c>
      <c r="F40" s="198">
        <f t="shared" si="10"/>
        <v>5250</v>
      </c>
      <c r="G40" s="198">
        <f t="shared" si="8"/>
        <v>42.539383561643838</v>
      </c>
      <c r="H40" s="201">
        <f t="shared" si="11"/>
        <v>350</v>
      </c>
      <c r="I40" s="201"/>
    </row>
    <row r="41" spans="1:10" x14ac:dyDescent="0.2">
      <c r="A41" s="185" t="s">
        <v>111</v>
      </c>
      <c r="B41" s="197">
        <f t="shared" si="9"/>
        <v>41456</v>
      </c>
      <c r="C41" s="197">
        <v>41547</v>
      </c>
      <c r="D41" s="199">
        <f t="shared" si="7"/>
        <v>92</v>
      </c>
      <c r="E41" s="200">
        <v>3.25</v>
      </c>
      <c r="F41" s="198">
        <f t="shared" si="10"/>
        <v>4900</v>
      </c>
      <c r="G41" s="198">
        <f t="shared" si="8"/>
        <v>40.139726027397266</v>
      </c>
      <c r="H41" s="201">
        <f t="shared" si="11"/>
        <v>350</v>
      </c>
      <c r="I41" s="201"/>
    </row>
    <row r="42" spans="1:10" x14ac:dyDescent="0.2">
      <c r="A42" s="185" t="s">
        <v>112</v>
      </c>
      <c r="B42" s="197">
        <f t="shared" si="9"/>
        <v>41548</v>
      </c>
      <c r="C42" s="197">
        <v>41639</v>
      </c>
      <c r="D42" s="199">
        <f t="shared" si="7"/>
        <v>92</v>
      </c>
      <c r="E42" s="200">
        <v>3.25</v>
      </c>
      <c r="F42" s="198">
        <f t="shared" si="10"/>
        <v>4550</v>
      </c>
      <c r="G42" s="198">
        <f t="shared" si="8"/>
        <v>37.272602739726032</v>
      </c>
      <c r="H42" s="201">
        <f t="shared" si="11"/>
        <v>350</v>
      </c>
      <c r="I42" s="164"/>
    </row>
    <row r="43" spans="1:10" x14ac:dyDescent="0.2">
      <c r="A43" s="185" t="s">
        <v>113</v>
      </c>
      <c r="B43" s="197">
        <f t="shared" si="9"/>
        <v>41640</v>
      </c>
      <c r="C43" s="197">
        <v>41729</v>
      </c>
      <c r="D43" s="199">
        <f t="shared" si="7"/>
        <v>90</v>
      </c>
      <c r="E43" s="200">
        <v>3.25</v>
      </c>
      <c r="F43" s="198">
        <f t="shared" si="10"/>
        <v>4200</v>
      </c>
      <c r="G43" s="198">
        <f t="shared" si="8"/>
        <v>33.657534246575338</v>
      </c>
      <c r="H43" s="201">
        <f t="shared" si="11"/>
        <v>350</v>
      </c>
      <c r="I43" s="164"/>
    </row>
    <row r="44" spans="1:10" x14ac:dyDescent="0.2">
      <c r="A44" s="185" t="s">
        <v>114</v>
      </c>
      <c r="B44" s="197">
        <f t="shared" si="9"/>
        <v>41730</v>
      </c>
      <c r="C44" s="197">
        <v>41820</v>
      </c>
      <c r="D44" s="199">
        <f t="shared" si="7"/>
        <v>91</v>
      </c>
      <c r="E44" s="200">
        <v>3.25</v>
      </c>
      <c r="F44" s="198">
        <f t="shared" si="10"/>
        <v>3850</v>
      </c>
      <c r="G44" s="198">
        <f t="shared" si="8"/>
        <v>31.19554794520548</v>
      </c>
      <c r="H44" s="201">
        <f t="shared" si="11"/>
        <v>350</v>
      </c>
      <c r="I44" s="164"/>
    </row>
    <row r="45" spans="1:10" x14ac:dyDescent="0.2">
      <c r="A45" s="185" t="s">
        <v>115</v>
      </c>
      <c r="B45" s="197">
        <f t="shared" si="9"/>
        <v>41821</v>
      </c>
      <c r="C45" s="197">
        <v>41912</v>
      </c>
      <c r="D45" s="199">
        <f t="shared" si="7"/>
        <v>92</v>
      </c>
      <c r="E45" s="200">
        <v>3.25</v>
      </c>
      <c r="F45" s="198">
        <f t="shared" si="10"/>
        <v>3500</v>
      </c>
      <c r="G45" s="198">
        <f t="shared" si="8"/>
        <v>28.671232876712331</v>
      </c>
      <c r="H45" s="201">
        <f t="shared" si="11"/>
        <v>350</v>
      </c>
      <c r="I45" s="164"/>
    </row>
    <row r="46" spans="1:10" x14ac:dyDescent="0.2">
      <c r="A46" s="185" t="s">
        <v>116</v>
      </c>
      <c r="B46" s="197">
        <f t="shared" si="9"/>
        <v>41913</v>
      </c>
      <c r="C46" s="197">
        <v>42004</v>
      </c>
      <c r="D46" s="199">
        <f t="shared" si="7"/>
        <v>92</v>
      </c>
      <c r="E46" s="200">
        <v>3.25</v>
      </c>
      <c r="F46" s="198">
        <f t="shared" si="10"/>
        <v>3150</v>
      </c>
      <c r="G46" s="198">
        <f t="shared" si="8"/>
        <v>25.804109589041097</v>
      </c>
      <c r="H46" s="201">
        <f t="shared" si="11"/>
        <v>350</v>
      </c>
      <c r="I46" s="164"/>
    </row>
    <row r="47" spans="1:10" x14ac:dyDescent="0.2">
      <c r="A47" s="185" t="s">
        <v>117</v>
      </c>
      <c r="B47" s="197">
        <f t="shared" si="9"/>
        <v>42005</v>
      </c>
      <c r="C47" s="197">
        <v>42094</v>
      </c>
      <c r="D47" s="199">
        <f t="shared" si="7"/>
        <v>90</v>
      </c>
      <c r="E47" s="200">
        <v>3.25</v>
      </c>
      <c r="F47" s="198">
        <f t="shared" si="10"/>
        <v>2800</v>
      </c>
      <c r="G47" s="198">
        <f t="shared" si="8"/>
        <v>22.43835616438356</v>
      </c>
      <c r="H47" s="201">
        <f t="shared" si="11"/>
        <v>350</v>
      </c>
    </row>
    <row r="48" spans="1:10" x14ac:dyDescent="0.2">
      <c r="A48" s="185" t="s">
        <v>118</v>
      </c>
      <c r="B48" s="197">
        <f t="shared" si="9"/>
        <v>42095</v>
      </c>
      <c r="C48" s="197">
        <v>42185</v>
      </c>
      <c r="D48" s="199">
        <f t="shared" si="7"/>
        <v>91</v>
      </c>
      <c r="E48" s="200">
        <v>3.25</v>
      </c>
      <c r="F48" s="198">
        <f t="shared" si="10"/>
        <v>2450</v>
      </c>
      <c r="G48" s="198">
        <f t="shared" si="8"/>
        <v>19.851712328767125</v>
      </c>
      <c r="H48" s="201">
        <f t="shared" si="11"/>
        <v>350</v>
      </c>
      <c r="I48" s="164"/>
    </row>
    <row r="49" spans="1:9" x14ac:dyDescent="0.2">
      <c r="A49" s="185" t="s">
        <v>119</v>
      </c>
      <c r="B49" s="197">
        <f t="shared" si="9"/>
        <v>42186</v>
      </c>
      <c r="C49" s="197">
        <v>42277</v>
      </c>
      <c r="D49" s="199">
        <f t="shared" si="7"/>
        <v>92</v>
      </c>
      <c r="E49" s="200">
        <v>3.25</v>
      </c>
      <c r="F49" s="198">
        <f t="shared" si="10"/>
        <v>2100</v>
      </c>
      <c r="G49" s="198">
        <f t="shared" si="8"/>
        <v>17.202739726027399</v>
      </c>
      <c r="H49" s="201">
        <f t="shared" si="11"/>
        <v>350</v>
      </c>
      <c r="I49" s="164"/>
    </row>
    <row r="50" spans="1:9" x14ac:dyDescent="0.2">
      <c r="A50" s="185" t="s">
        <v>120</v>
      </c>
      <c r="B50" s="197">
        <f t="shared" si="9"/>
        <v>42278</v>
      </c>
      <c r="C50" s="197">
        <v>42369</v>
      </c>
      <c r="D50" s="199">
        <f t="shared" si="7"/>
        <v>92</v>
      </c>
      <c r="E50" s="200">
        <v>3.25</v>
      </c>
      <c r="F50" s="198">
        <f t="shared" si="10"/>
        <v>1750</v>
      </c>
      <c r="G50" s="198">
        <f t="shared" si="8"/>
        <v>14.335616438356166</v>
      </c>
      <c r="H50" s="201">
        <f t="shared" si="11"/>
        <v>350</v>
      </c>
      <c r="I50" s="164"/>
    </row>
    <row r="51" spans="1:9" x14ac:dyDescent="0.2">
      <c r="A51" s="185" t="s">
        <v>125</v>
      </c>
      <c r="B51" s="197">
        <f t="shared" si="9"/>
        <v>42370</v>
      </c>
      <c r="C51" s="197">
        <v>42460</v>
      </c>
      <c r="D51" s="199">
        <f t="shared" si="7"/>
        <v>91</v>
      </c>
      <c r="E51" s="200">
        <v>3.25</v>
      </c>
      <c r="F51" s="198">
        <f t="shared" si="10"/>
        <v>1400</v>
      </c>
      <c r="G51" s="198">
        <f t="shared" si="8"/>
        <v>11.343835616438357</v>
      </c>
      <c r="H51" s="201">
        <f t="shared" si="11"/>
        <v>350</v>
      </c>
    </row>
    <row r="52" spans="1:9" x14ac:dyDescent="0.2">
      <c r="A52" s="185" t="s">
        <v>126</v>
      </c>
      <c r="B52" s="197">
        <f t="shared" si="9"/>
        <v>42461</v>
      </c>
      <c r="C52" s="197">
        <v>42551</v>
      </c>
      <c r="D52" s="199">
        <f t="shared" si="7"/>
        <v>91</v>
      </c>
      <c r="E52" s="200">
        <v>3.25</v>
      </c>
      <c r="F52" s="198">
        <f t="shared" si="10"/>
        <v>1050</v>
      </c>
      <c r="G52" s="198">
        <f t="shared" si="8"/>
        <v>8.507876712328768</v>
      </c>
      <c r="H52" s="201">
        <f t="shared" si="11"/>
        <v>350</v>
      </c>
      <c r="I52" s="164"/>
    </row>
    <row r="53" spans="1:9" x14ac:dyDescent="0.2">
      <c r="A53" s="185" t="s">
        <v>127</v>
      </c>
      <c r="B53" s="197">
        <f t="shared" si="9"/>
        <v>42552</v>
      </c>
      <c r="C53" s="197">
        <v>42643</v>
      </c>
      <c r="D53" s="199">
        <f t="shared" si="7"/>
        <v>92</v>
      </c>
      <c r="E53" s="200">
        <v>3.25</v>
      </c>
      <c r="F53" s="198">
        <f t="shared" si="10"/>
        <v>700</v>
      </c>
      <c r="G53" s="198">
        <f t="shared" si="8"/>
        <v>5.7342465753424667</v>
      </c>
      <c r="H53" s="201">
        <f t="shared" si="11"/>
        <v>350</v>
      </c>
      <c r="I53" s="164"/>
    </row>
    <row r="54" spans="1:9" x14ac:dyDescent="0.2">
      <c r="A54" s="185" t="s">
        <v>128</v>
      </c>
      <c r="B54" s="197">
        <f t="shared" si="9"/>
        <v>42644</v>
      </c>
      <c r="C54" s="197">
        <v>42735</v>
      </c>
      <c r="D54" s="199">
        <f t="shared" si="7"/>
        <v>92</v>
      </c>
      <c r="E54" s="200">
        <v>3.25</v>
      </c>
      <c r="F54" s="198">
        <f t="shared" si="10"/>
        <v>350</v>
      </c>
      <c r="G54" s="198">
        <f t="shared" si="8"/>
        <v>2.8671232876712334</v>
      </c>
      <c r="H54" s="201">
        <f t="shared" si="11"/>
        <v>350</v>
      </c>
      <c r="I54" s="164"/>
    </row>
    <row r="55" spans="1:9" x14ac:dyDescent="0.2">
      <c r="A55" s="185" t="s">
        <v>129</v>
      </c>
      <c r="B55" s="197">
        <f t="shared" si="9"/>
        <v>42736</v>
      </c>
      <c r="C55" s="197">
        <v>42825</v>
      </c>
      <c r="D55" s="199">
        <f t="shared" si="7"/>
        <v>90</v>
      </c>
      <c r="E55" s="200">
        <v>3.25</v>
      </c>
      <c r="F55" s="198">
        <f t="shared" si="10"/>
        <v>0</v>
      </c>
      <c r="G55" s="198">
        <f t="shared" si="8"/>
        <v>0</v>
      </c>
      <c r="H55" s="201">
        <v>0</v>
      </c>
    </row>
  </sheetData>
  <mergeCells count="3">
    <mergeCell ref="A5:B5"/>
    <mergeCell ref="A7:J7"/>
    <mergeCell ref="A32:J32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&amp;C&amp;A&amp;RAttachment 4
WP- Schedule 22
(Based on Aug. 26, 2013 Offer of Settlement)
Page &amp;P of &amp;N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2012 Quarterly</vt:lpstr>
      <vt:lpstr>2011 Quarterly </vt:lpstr>
      <vt:lpstr>Magnolia</vt:lpstr>
      <vt:lpstr>Mountainview</vt:lpstr>
      <vt:lpstr>Lugo</vt:lpstr>
      <vt:lpstr>Moenkopi</vt:lpstr>
      <vt:lpstr>Inland Empire Energy Center</vt:lpstr>
      <vt:lpstr>Blythe I</vt:lpstr>
      <vt:lpstr>Mountain View IV Project</vt:lpstr>
      <vt:lpstr>'2011 Quarterly '!Print_Area</vt:lpstr>
      <vt:lpstr>'2012 Quarterly'!Print_Area</vt:lpstr>
      <vt:lpstr>'Blythe I'!Print_Area</vt:lpstr>
      <vt:lpstr>Lugo!Print_Area</vt:lpstr>
      <vt:lpstr>Moenkopi!Print_Area</vt:lpstr>
      <vt:lpstr>'2011 Quarterly '!Print_Titles</vt:lpstr>
      <vt:lpstr>'2012 Quarterly'!Print_Titles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Ocegueda, Antonio</cp:lastModifiedBy>
  <cp:lastPrinted>2013-06-12T22:32:55Z</cp:lastPrinted>
  <dcterms:created xsi:type="dcterms:W3CDTF">2006-03-16T23:48:07Z</dcterms:created>
  <dcterms:modified xsi:type="dcterms:W3CDTF">2013-09-05T22:23:30Z</dcterms:modified>
</cp:coreProperties>
</file>