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980" yWindow="-180" windowWidth="8685" windowHeight="8925"/>
  </bookViews>
  <sheets>
    <sheet name="Revenue Forecast Comparison" sheetId="40" r:id="rId1"/>
    <sheet name="Plant Forecast Comparison" sheetId="39" r:id="rId2"/>
    <sheet name="Monthly Entry" sheetId="6" r:id="rId3"/>
    <sheet name="Balancing Acct" sheetId="10" r:id="rId4"/>
    <sheet name="Revenue" sheetId="7" r:id="rId5"/>
    <sheet name="DPV2 Rev Req" sheetId="1" r:id="rId6"/>
    <sheet name="Tehachapi Rev Req" sheetId="8" r:id="rId7"/>
    <sheet name="Rancho Vista Rev Req" sheetId="9" r:id="rId8"/>
    <sheet name="Eldorado Ivanpah Rev Req" sheetId="22" r:id="rId9"/>
    <sheet name="Lugo-Pisgah Rev Req" sheetId="21" r:id="rId10"/>
    <sheet name="Red Bluff Rev Req" sheetId="20" r:id="rId11"/>
    <sheet name="Whirlwind Rev Req" sheetId="32" r:id="rId12"/>
    <sheet name="CR Rev Req" sheetId="31" r:id="rId13"/>
    <sheet name="S of Kramer Rev Req" sheetId="30" r:id="rId14"/>
    <sheet name="W of Devers Rev Req" sheetId="29" r:id="rId15"/>
    <sheet name="DPV2 CWIP Balance" sheetId="11" r:id="rId16"/>
    <sheet name="DPV2 Transfer" sheetId="17" r:id="rId17"/>
    <sheet name="Tehachapi CWIP Balance" sheetId="12" r:id="rId18"/>
    <sheet name="Tehachapi Transfer" sheetId="19" r:id="rId19"/>
    <sheet name="Rancho Vista CWIP Balance" sheetId="13" r:id="rId20"/>
    <sheet name="Rancho Vista Transfer" sheetId="18" r:id="rId21"/>
    <sheet name="Red Bluff CWIP Balance" sheetId="24" r:id="rId22"/>
    <sheet name="Eldorado Ivanpah CWIP Balance" sheetId="28" r:id="rId23"/>
    <sheet name="Lugo-Pisgah CWIP Balance" sheetId="26" r:id="rId24"/>
    <sheet name="CR CWIP Balance" sheetId="35" r:id="rId25"/>
    <sheet name="W. of Devers CWIP Balance" sheetId="33" r:id="rId26"/>
    <sheet name="Whirlwind CWIP Balance" sheetId="36" r:id="rId27"/>
    <sheet name="S. of Kramer CWIP Balance" sheetId="34" r:id="rId28"/>
    <sheet name="Def Tax" sheetId="14" r:id="rId29"/>
    <sheet name="Beg int cap" sheetId="15" r:id="rId30"/>
    <sheet name="Cost of Capital" sheetId="5" r:id="rId31"/>
    <sheet name="Income Tax Rates" sheetId="4" r:id="rId32"/>
  </sheets>
  <externalReferences>
    <externalReference r:id="rId33"/>
    <externalReference r:id="rId34"/>
  </externalReferences>
  <definedNames>
    <definedName name="\A">[1]Compliance!$C$1</definedName>
    <definedName name="\B">[1]Compliance!$C$21</definedName>
    <definedName name="\C">[1]Compliance!$C$40</definedName>
    <definedName name="_Fill" hidden="1">[1]Compliance!$A$1:$A$51</definedName>
    <definedName name="_Order1" hidden="1">255</definedName>
    <definedName name="_Order2" hidden="1">255</definedName>
    <definedName name="abc">'[1]T&amp;D ISO PERCENTAGE'!#REF!</definedName>
    <definedName name="ACRS">#REF!</definedName>
    <definedName name="ALF">#REF!</definedName>
    <definedName name="BK_Retail">#REF!</definedName>
    <definedName name="BK_Wholesale">#REF!</definedName>
    <definedName name="CD">#REF!</definedName>
    <definedName name="CF">#REF!</definedName>
    <definedName name="ch">[1]Exhibit!$A$8:$L$79</definedName>
    <definedName name="Chart">"Chart 3"</definedName>
    <definedName name="Conctr_PolCtl_TaxInc">#REF!</definedName>
    <definedName name="Constr_Inputs">#REF!</definedName>
    <definedName name="Constr_Phase">#REF!</definedName>
    <definedName name="Constr_PollCtl">#REF!</definedName>
    <definedName name="Constr_Tax_IncStm">#REF!</definedName>
    <definedName name="Debt">#REF!</definedName>
    <definedName name="DebtR">#REF!</definedName>
    <definedName name="DepR">#REF!</definedName>
    <definedName name="DisR">#REF!</definedName>
    <definedName name="DR">#REF!</definedName>
    <definedName name="DTaxConst">#REF!</definedName>
    <definedName name="END">[1]Compliance!$C$44</definedName>
    <definedName name="ENG">#REF!</definedName>
    <definedName name="Equity">#REF!</definedName>
    <definedName name="EquityR">#REF!</definedName>
    <definedName name="FACTOR2">'[1]#REF'!$T$11</definedName>
    <definedName name="FACTOR3">'[1]#REF'!$T$12</definedName>
    <definedName name="FACTOR4">'[1]#REF'!$T$13</definedName>
    <definedName name="FIT">#REF!</definedName>
    <definedName name="Fuel">#REF!</definedName>
    <definedName name="IBT">#REF!</definedName>
    <definedName name="IDC">#REF!</definedName>
    <definedName name="InServ_Calc">#REF!</definedName>
    <definedName name="InServ_Inputs">#REF!</definedName>
    <definedName name="InsR">#REF!</definedName>
    <definedName name="INT">#REF!</definedName>
    <definedName name="Life">#REF!</definedName>
    <definedName name="LOCATIONS">[1]Compliance!$A$8:$L$81</definedName>
    <definedName name="MAR">#REF!</definedName>
    <definedName name="MET">#REF!</definedName>
    <definedName name="METc">#REF!</definedName>
    <definedName name="MSBT">#REF!</definedName>
    <definedName name="NP">#REF!</definedName>
    <definedName name="OMkW">#REF!</definedName>
    <definedName name="OMkWh">#REF!</definedName>
    <definedName name="Op_Inc_Stmt">#REF!</definedName>
    <definedName name="PIS">#REF!</definedName>
    <definedName name="Pref">#REF!</definedName>
    <definedName name="PrefR">#REF!</definedName>
    <definedName name="PRINT_ACCT_101">[1]Compliance!$C$24</definedName>
    <definedName name="PRINT_ACCT_106">[1]Compliance!$C$31</definedName>
    <definedName name="PRINT_ALL">[1]Compliance!$C$44</definedName>
    <definedName name="_xlnm.Print_Area" localSheetId="3">'Balancing Acct'!$A$1:$AW$37</definedName>
    <definedName name="_xlnm.Print_Area" localSheetId="29">'Beg int cap'!$A$1:$E$64</definedName>
    <definedName name="_xlnm.Print_Area" localSheetId="30">'Cost of Capital'!$A$113:$H$193</definedName>
    <definedName name="_xlnm.Print_Area" localSheetId="12">'CR Rev Req'!$A$1:$K$69</definedName>
    <definedName name="_xlnm.Print_Area" localSheetId="28">'Def Tax'!$A$7:$G$914</definedName>
    <definedName name="_xlnm.Print_Area" localSheetId="15">'DPV2 CWIP Balance'!$A$1:$E$68</definedName>
    <definedName name="_xlnm.Print_Area" localSheetId="5">'DPV2 Rev Req'!$A$8:$AX$69</definedName>
    <definedName name="_xlnm.Print_Area" localSheetId="16">'DPV2 Transfer'!$A$1:$L$32</definedName>
    <definedName name="_xlnm.Print_Area" localSheetId="8">'Eldorado Ivanpah Rev Req'!$A$1:$AA$69</definedName>
    <definedName name="_xlnm.Print_Area" localSheetId="31">'Income Tax Rates'!$A$1:$L$77</definedName>
    <definedName name="_xlnm.Print_Area" localSheetId="9">'Lugo-Pisgah Rev Req'!$A$1:$O$69</definedName>
    <definedName name="_xlnm.Print_Area" localSheetId="2">'Monthly Entry'!$A$1:$AX$30</definedName>
    <definedName name="_xlnm.Print_Area" localSheetId="19">'Rancho Vista CWIP Balance'!$A$1:$E$68</definedName>
    <definedName name="_xlnm.Print_Area" localSheetId="7">'Rancho Vista Rev Req'!$A$8:$AX$69</definedName>
    <definedName name="_xlnm.Print_Area" localSheetId="20">'Rancho Vista Transfer'!$A$1:$L$26</definedName>
    <definedName name="_xlnm.Print_Area" localSheetId="10">'Red Bluff Rev Req'!$A$1:$O$69</definedName>
    <definedName name="_xlnm.Print_Area" localSheetId="4">Revenue!$A$1:$AX$22</definedName>
    <definedName name="_xlnm.Print_Area" localSheetId="13">'S of Kramer Rev Req'!$A$1:$K$69</definedName>
    <definedName name="_xlnm.Print_Area" localSheetId="17">'Tehachapi CWIP Balance'!$A$1:$E$68</definedName>
    <definedName name="_xlnm.Print_Area" localSheetId="6">'Tehachapi Rev Req'!$A$8:$AX$69</definedName>
    <definedName name="_xlnm.Print_Area" localSheetId="18">'Tehachapi Transfer'!$A$1:$L$33</definedName>
    <definedName name="_xlnm.Print_Area" localSheetId="14">'W of Devers Rev Req'!$A$1:$K$69</definedName>
    <definedName name="_xlnm.Print_Area" localSheetId="11">'Whirlwind Rev Req'!$A$1:$K$69</definedName>
    <definedName name="PRINT_MARCOS">[1]Compliance!$C$38</definedName>
    <definedName name="PRINT_SUBSTATIO">[1]Compliance!$C$17</definedName>
    <definedName name="PRINT_SUMMARY">[1]Compliance!$C$10</definedName>
    <definedName name="PRINT_TDSUM">[1]Compliance!$C$3</definedName>
    <definedName name="_xlnm.Print_Titles" localSheetId="3">'Balancing Acct'!$1:$6</definedName>
    <definedName name="_xlnm.Print_Titles" localSheetId="30">'Cost of Capital'!$1:$3</definedName>
    <definedName name="_xlnm.Print_Titles" localSheetId="28">'Def Tax'!$1:$6</definedName>
    <definedName name="_xlnm.Print_Titles" localSheetId="5">'DPV2 Rev Req'!$1:$7</definedName>
    <definedName name="_xlnm.Print_Titles" localSheetId="7">'Rancho Vista Rev Req'!$1:$7</definedName>
    <definedName name="_xlnm.Print_Titles" localSheetId="6">'Tehachapi Rev Req'!$1:$7</definedName>
    <definedName name="PROD">#REF!</definedName>
    <definedName name="PrSumm">#REF!</definedName>
    <definedName name="PrYrs">#REF!</definedName>
    <definedName name="PTax">#REF!</definedName>
    <definedName name="RB">#REF!</definedName>
    <definedName name="Ret">#REF!</definedName>
    <definedName name="S">#REF!</definedName>
    <definedName name="SIT">#REF!</definedName>
    <definedName name="STD">#REF!</definedName>
    <definedName name="TaxBasis">#REF!</definedName>
    <definedName name="Tr">#REF!</definedName>
    <definedName name="WCOD">#REF!</definedName>
    <definedName name="WtCOD">#REF!</definedName>
  </definedNames>
  <calcPr calcId="145621"/>
</workbook>
</file>

<file path=xl/calcChain.xml><?xml version="1.0" encoding="utf-8"?>
<calcChain xmlns="http://schemas.openxmlformats.org/spreadsheetml/2006/main">
  <c r="O22" i="40" l="1"/>
  <c r="D22" i="40"/>
  <c r="E22" i="40"/>
  <c r="F22" i="40"/>
  <c r="G22" i="40"/>
  <c r="H22" i="40"/>
  <c r="I22" i="40"/>
  <c r="J22" i="40"/>
  <c r="K22" i="40"/>
  <c r="L22" i="40"/>
  <c r="M22" i="40"/>
  <c r="N22" i="40"/>
  <c r="C22" i="40"/>
  <c r="C34" i="39"/>
  <c r="C16" i="40"/>
  <c r="B24" i="34" l="1"/>
  <c r="B23" i="34"/>
  <c r="B22" i="34"/>
  <c r="B21" i="34"/>
  <c r="B20" i="34"/>
  <c r="B19" i="34"/>
  <c r="B18" i="34"/>
  <c r="B17" i="34"/>
  <c r="B16" i="34"/>
  <c r="B15" i="34"/>
  <c r="C25" i="34"/>
  <c r="D25" i="34"/>
  <c r="E25" i="34"/>
  <c r="B25" i="34"/>
  <c r="E25" i="36"/>
  <c r="D25" i="36"/>
  <c r="C25" i="36"/>
  <c r="B25" i="36"/>
  <c r="C25" i="33"/>
  <c r="D25" i="33"/>
  <c r="E25" i="33"/>
  <c r="B25" i="33"/>
  <c r="B25" i="35"/>
  <c r="C25" i="35"/>
  <c r="D25" i="35"/>
  <c r="E25" i="35"/>
  <c r="C29" i="26"/>
  <c r="D29" i="26"/>
  <c r="E29" i="26"/>
  <c r="B29" i="26"/>
  <c r="B29" i="28"/>
  <c r="C29" i="28"/>
  <c r="D29" i="28"/>
  <c r="E29" i="28"/>
  <c r="B29" i="24"/>
  <c r="C29" i="24"/>
  <c r="D29" i="24"/>
  <c r="E29" i="24"/>
  <c r="O19" i="40" l="1"/>
  <c r="O19" i="39" l="1"/>
  <c r="D19" i="39"/>
  <c r="C19" i="39"/>
  <c r="O9" i="39"/>
  <c r="D11" i="40"/>
  <c r="E11" i="40"/>
  <c r="F11" i="40"/>
  <c r="G11" i="40"/>
  <c r="H11" i="40"/>
  <c r="I11" i="40"/>
  <c r="J11" i="40"/>
  <c r="K11" i="40"/>
  <c r="L11" i="40"/>
  <c r="M11" i="40"/>
  <c r="N11" i="40"/>
  <c r="C11" i="40"/>
  <c r="C13" i="40" s="1"/>
  <c r="I24" i="39" l="1"/>
  <c r="O24" i="39"/>
  <c r="N24" i="39"/>
  <c r="M24" i="39"/>
  <c r="M22" i="39"/>
  <c r="L24" i="39"/>
  <c r="L22" i="39"/>
  <c r="K24" i="39"/>
  <c r="K22" i="39"/>
  <c r="J24" i="39"/>
  <c r="J22" i="39"/>
  <c r="I22" i="39"/>
  <c r="H24" i="39"/>
  <c r="H22" i="39"/>
  <c r="G24" i="39"/>
  <c r="G22" i="39"/>
  <c r="F24" i="39"/>
  <c r="F22" i="39"/>
  <c r="E24" i="39"/>
  <c r="E22" i="39"/>
  <c r="D24" i="39"/>
  <c r="D22" i="39"/>
  <c r="C24" i="39"/>
  <c r="C22" i="39"/>
  <c r="N19" i="39"/>
  <c r="M19" i="39"/>
  <c r="L19" i="39"/>
  <c r="K19" i="39"/>
  <c r="J19" i="39"/>
  <c r="I19" i="39"/>
  <c r="H19" i="39"/>
  <c r="G19" i="39"/>
  <c r="F19" i="39"/>
  <c r="E19" i="39"/>
  <c r="O18" i="39"/>
  <c r="O17" i="39"/>
  <c r="O16" i="39"/>
  <c r="O15" i="39"/>
  <c r="O14" i="39"/>
  <c r="O13" i="39"/>
  <c r="O12" i="39"/>
  <c r="O11" i="39"/>
  <c r="O10" i="39"/>
  <c r="D13" i="40"/>
  <c r="E13" i="40"/>
  <c r="F13" i="40"/>
  <c r="G13" i="40"/>
  <c r="H13" i="40"/>
  <c r="I13" i="40"/>
  <c r="J13" i="40"/>
  <c r="K13" i="40"/>
  <c r="L13" i="40"/>
  <c r="M13" i="40"/>
  <c r="N13" i="40"/>
  <c r="C14" i="40"/>
  <c r="D14" i="40"/>
  <c r="E14" i="40"/>
  <c r="F14" i="40"/>
  <c r="G14" i="40"/>
  <c r="H14" i="40"/>
  <c r="I14" i="40"/>
  <c r="J14" i="40"/>
  <c r="K14" i="40"/>
  <c r="L14" i="40"/>
  <c r="M14" i="40"/>
  <c r="N14" i="40"/>
  <c r="C15" i="40"/>
  <c r="D15" i="40"/>
  <c r="E15" i="40"/>
  <c r="F15" i="40"/>
  <c r="G15" i="40"/>
  <c r="H15" i="40"/>
  <c r="I15" i="40"/>
  <c r="J15" i="40"/>
  <c r="K15" i="40"/>
  <c r="L15" i="40"/>
  <c r="M15" i="40"/>
  <c r="N15" i="40"/>
  <c r="G16" i="40"/>
  <c r="I16" i="40"/>
  <c r="K16" i="40"/>
  <c r="M16" i="40"/>
  <c r="N16" i="40" l="1"/>
  <c r="L16" i="40"/>
  <c r="J16" i="40"/>
  <c r="H16" i="40"/>
  <c r="F16" i="40"/>
  <c r="D16" i="40"/>
  <c r="E16" i="40"/>
  <c r="C90" i="5"/>
  <c r="C81" i="5"/>
  <c r="C73" i="5"/>
  <c r="C65" i="5"/>
  <c r="C53" i="5"/>
  <c r="C37" i="5"/>
  <c r="O16" i="40" l="1"/>
  <c r="AX18" i="7"/>
  <c r="C28" i="28"/>
  <c r="C63" i="12"/>
  <c r="C62" i="12"/>
  <c r="C63" i="11"/>
  <c r="E64" i="13" l="1"/>
  <c r="E64" i="12"/>
  <c r="J20" i="18" l="1"/>
  <c r="J19" i="18"/>
  <c r="J23" i="17"/>
  <c r="J21" i="17"/>
  <c r="J20" i="17"/>
  <c r="J19" i="17"/>
  <c r="J23" i="19"/>
  <c r="C10" i="19" l="1"/>
  <c r="D10" i="19" s="1"/>
  <c r="B10" i="19"/>
  <c r="B301" i="14" l="1"/>
  <c r="AW22" i="7"/>
  <c r="AW18" i="7" l="1"/>
  <c r="C62" i="11"/>
  <c r="C61" i="12" l="1"/>
  <c r="C61" i="11"/>
  <c r="D9" i="5" l="1"/>
  <c r="C27" i="5" l="1"/>
  <c r="C11" i="5"/>
  <c r="AV18" i="7"/>
  <c r="C60" i="11" l="1"/>
  <c r="C60" i="12"/>
  <c r="C59" i="11" l="1"/>
  <c r="C58" i="11"/>
  <c r="C57" i="11"/>
  <c r="C56" i="11"/>
  <c r="C55" i="11"/>
  <c r="C54" i="11"/>
  <c r="C53" i="11"/>
  <c r="C51" i="11"/>
  <c r="C52" i="11"/>
  <c r="C50" i="11"/>
  <c r="C48" i="11"/>
  <c r="B10" i="17" l="1"/>
  <c r="D10" i="17" s="1"/>
  <c r="C10" i="17"/>
  <c r="B105" i="14" s="1"/>
  <c r="AU18" i="7"/>
  <c r="AT18" i="7" l="1"/>
  <c r="C59" i="12"/>
  <c r="C64" i="11"/>
  <c r="C23" i="28" l="1"/>
  <c r="C58" i="12"/>
  <c r="AS18" i="7"/>
  <c r="AR18" i="7" l="1"/>
  <c r="C22" i="28"/>
  <c r="C57" i="12"/>
  <c r="C49" i="11" l="1"/>
  <c r="C47" i="11"/>
  <c r="C46" i="11"/>
  <c r="C45" i="11"/>
  <c r="C44" i="11"/>
  <c r="C43" i="11"/>
  <c r="C42" i="11"/>
  <c r="C41" i="11"/>
  <c r="C40" i="11"/>
  <c r="C39" i="11"/>
  <c r="C38" i="11"/>
  <c r="C37" i="11"/>
  <c r="C36" i="11" l="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AQ20" i="7" l="1"/>
  <c r="AQ18" i="7"/>
  <c r="AQ19" i="7" s="1"/>
  <c r="C21" i="28" l="1"/>
  <c r="C56" i="12"/>
  <c r="D56" i="11"/>
  <c r="B56" i="11" l="1"/>
  <c r="C49" i="12" l="1"/>
  <c r="C50" i="12"/>
  <c r="C52" i="12"/>
  <c r="C54" i="12" l="1"/>
  <c r="C55" i="12"/>
  <c r="C20" i="28" l="1"/>
  <c r="C51" i="12" l="1"/>
  <c r="C53" i="12"/>
  <c r="AP18" i="7"/>
  <c r="AP19" i="7" s="1"/>
  <c r="AO18" i="7" l="1"/>
  <c r="C19" i="28" l="1"/>
  <c r="C18" i="28"/>
  <c r="C17" i="28"/>
  <c r="AO19" i="7" l="1"/>
  <c r="B884" i="14" l="1"/>
  <c r="B872" i="14"/>
  <c r="B873" i="14"/>
  <c r="B874" i="14"/>
  <c r="B875" i="14"/>
  <c r="B876" i="14"/>
  <c r="F882" i="14" s="1"/>
  <c r="B840" i="14" l="1"/>
  <c r="B832" i="14"/>
  <c r="F838" i="14" s="1"/>
  <c r="B831" i="14"/>
  <c r="B830" i="14"/>
  <c r="B829" i="14"/>
  <c r="B828" i="14"/>
  <c r="B795" i="14"/>
  <c r="B786" i="14"/>
  <c r="F792" i="14" s="1"/>
  <c r="B785" i="14"/>
  <c r="B784" i="14"/>
  <c r="B783" i="14"/>
  <c r="B782" i="14"/>
  <c r="B748" i="14" l="1"/>
  <c r="B740" i="14"/>
  <c r="F746" i="14" s="1"/>
  <c r="B739" i="14"/>
  <c r="B737" i="14"/>
  <c r="B738" i="14"/>
  <c r="B736" i="14"/>
  <c r="E67" i="4" l="1"/>
  <c r="E68" i="4"/>
  <c r="E69" i="4"/>
  <c r="E71" i="4"/>
  <c r="E73" i="4"/>
  <c r="E74" i="4"/>
  <c r="C167" i="5"/>
  <c r="C183" i="5" s="1"/>
  <c r="B63" i="15"/>
  <c r="D63" i="15" s="1"/>
  <c r="E50" i="15"/>
  <c r="B62" i="15"/>
  <c r="D62" i="15" s="1"/>
  <c r="D61" i="15"/>
  <c r="B61" i="15"/>
  <c r="D60" i="15"/>
  <c r="B60" i="15"/>
  <c r="C54" i="15"/>
  <c r="E49" i="15"/>
  <c r="C840" i="14" s="1"/>
  <c r="E48" i="15"/>
  <c r="C795" i="14" s="1"/>
  <c r="E47" i="15"/>
  <c r="C748" i="14" s="1"/>
  <c r="A902" i="14"/>
  <c r="C884" i="14"/>
  <c r="A881" i="14"/>
  <c r="A856" i="14"/>
  <c r="A837" i="14"/>
  <c r="A812" i="14"/>
  <c r="A791" i="14"/>
  <c r="A766" i="14"/>
  <c r="A745" i="14"/>
  <c r="D24" i="33"/>
  <c r="D23" i="33"/>
  <c r="D22" i="33"/>
  <c r="D21" i="33"/>
  <c r="D20" i="33"/>
  <c r="D19" i="33"/>
  <c r="D18" i="33"/>
  <c r="D17" i="33"/>
  <c r="G31" i="39" s="1"/>
  <c r="D16" i="33"/>
  <c r="D15" i="33"/>
  <c r="D24" i="34"/>
  <c r="D23" i="34"/>
  <c r="D22" i="34"/>
  <c r="D21" i="34"/>
  <c r="D20" i="34"/>
  <c r="D19" i="34"/>
  <c r="D18" i="34"/>
  <c r="H30" i="39" s="1"/>
  <c r="D17" i="34"/>
  <c r="D16" i="34"/>
  <c r="D15" i="34"/>
  <c r="D24" i="35"/>
  <c r="D23" i="35"/>
  <c r="D22" i="35"/>
  <c r="D21" i="35"/>
  <c r="D20" i="35"/>
  <c r="D19" i="35"/>
  <c r="D18" i="35"/>
  <c r="H29" i="39" s="1"/>
  <c r="D17" i="35"/>
  <c r="G29" i="39" s="1"/>
  <c r="D16" i="35"/>
  <c r="D15" i="35"/>
  <c r="D24" i="36"/>
  <c r="D23" i="36"/>
  <c r="D22" i="36"/>
  <c r="D21" i="36"/>
  <c r="D20" i="36"/>
  <c r="D19" i="36"/>
  <c r="D18" i="36"/>
  <c r="D17" i="36"/>
  <c r="D16" i="36"/>
  <c r="D15" i="36"/>
  <c r="E30" i="39" l="1"/>
  <c r="I30" i="39"/>
  <c r="K30" i="39"/>
  <c r="M30" i="39"/>
  <c r="B841" i="14"/>
  <c r="F30" i="39"/>
  <c r="J30" i="39"/>
  <c r="L30" i="39"/>
  <c r="N30" i="39"/>
  <c r="G30" i="39"/>
  <c r="B15" i="36"/>
  <c r="E28" i="39"/>
  <c r="B17" i="36"/>
  <c r="G28" i="39"/>
  <c r="B19" i="36"/>
  <c r="I28" i="39"/>
  <c r="B21" i="36"/>
  <c r="K28" i="39"/>
  <c r="B749" i="14"/>
  <c r="B750" i="14" s="1"/>
  <c r="B751" i="14" s="1"/>
  <c r="B752" i="14" s="1"/>
  <c r="B753" i="14" s="1"/>
  <c r="B754" i="14" s="1"/>
  <c r="B755" i="14" s="1"/>
  <c r="B756" i="14" s="1"/>
  <c r="B757" i="14" s="1"/>
  <c r="F28" i="39"/>
  <c r="B18" i="36"/>
  <c r="H28" i="39"/>
  <c r="B20" i="36"/>
  <c r="J28" i="39"/>
  <c r="B22" i="36"/>
  <c r="L28" i="39"/>
  <c r="B24" i="36"/>
  <c r="N28" i="39"/>
  <c r="B23" i="36"/>
  <c r="M28" i="39"/>
  <c r="B885" i="14"/>
  <c r="F31" i="39"/>
  <c r="B18" i="33"/>
  <c r="H31" i="39"/>
  <c r="B20" i="33"/>
  <c r="J31" i="39"/>
  <c r="B24" i="33"/>
  <c r="N31" i="39"/>
  <c r="B15" i="33"/>
  <c r="E31" i="39"/>
  <c r="B19" i="33"/>
  <c r="I31" i="39"/>
  <c r="B21" i="33"/>
  <c r="K31" i="39"/>
  <c r="B23" i="33"/>
  <c r="M31" i="39"/>
  <c r="B22" i="33"/>
  <c r="L31" i="39"/>
  <c r="B15" i="35"/>
  <c r="E29" i="39"/>
  <c r="B19" i="35"/>
  <c r="I29" i="39"/>
  <c r="B21" i="35"/>
  <c r="K29" i="39"/>
  <c r="B23" i="35"/>
  <c r="M29" i="39"/>
  <c r="B796" i="14"/>
  <c r="B797" i="14" s="1"/>
  <c r="B798" i="14" s="1"/>
  <c r="B799" i="14" s="1"/>
  <c r="B800" i="14" s="1"/>
  <c r="B801" i="14" s="1"/>
  <c r="B802" i="14" s="1"/>
  <c r="B803" i="14" s="1"/>
  <c r="B804" i="14" s="1"/>
  <c r="F29" i="39"/>
  <c r="B20" i="35"/>
  <c r="J29" i="39"/>
  <c r="B22" i="35"/>
  <c r="L29" i="39"/>
  <c r="B24" i="35"/>
  <c r="N29" i="39"/>
  <c r="B16" i="33"/>
  <c r="B886" i="14"/>
  <c r="E70" i="4"/>
  <c r="E72" i="4" s="1"/>
  <c r="D748" i="14"/>
  <c r="E749" i="14" s="1"/>
  <c r="F749" i="14" s="1"/>
  <c r="B768" i="14" s="1"/>
  <c r="B842" i="14"/>
  <c r="B843" i="14" s="1"/>
  <c r="B844" i="14" s="1"/>
  <c r="B845" i="14" s="1"/>
  <c r="B846" i="14" s="1"/>
  <c r="B847" i="14" s="1"/>
  <c r="B848" i="14" s="1"/>
  <c r="B849" i="14" s="1"/>
  <c r="B16" i="35"/>
  <c r="D795" i="14"/>
  <c r="E796" i="14" s="1"/>
  <c r="C796" i="14" s="1"/>
  <c r="F795" i="14"/>
  <c r="F748" i="14"/>
  <c r="B17" i="33"/>
  <c r="B887" i="14"/>
  <c r="B888" i="14" s="1"/>
  <c r="B889" i="14" s="1"/>
  <c r="B890" i="14" s="1"/>
  <c r="B891" i="14" s="1"/>
  <c r="B892" i="14" s="1"/>
  <c r="B893" i="14" s="1"/>
  <c r="B17" i="35"/>
  <c r="B18" i="35"/>
  <c r="D840" i="14"/>
  <c r="E841" i="14" s="1"/>
  <c r="F840" i="14"/>
  <c r="F884" i="14"/>
  <c r="D884" i="14"/>
  <c r="E885" i="14" s="1"/>
  <c r="C885" i="14" s="1"/>
  <c r="D885" i="14" s="1"/>
  <c r="E886" i="14" s="1"/>
  <c r="E75" i="4"/>
  <c r="E76" i="4"/>
  <c r="C175" i="5"/>
  <c r="C191" i="5" s="1"/>
  <c r="B767" i="14"/>
  <c r="B16" i="36"/>
  <c r="O30" i="39" l="1"/>
  <c r="O28" i="39"/>
  <c r="O31" i="39"/>
  <c r="D796" i="14"/>
  <c r="E797" i="14" s="1"/>
  <c r="D36" i="31" s="1"/>
  <c r="O29" i="39"/>
  <c r="C36" i="32"/>
  <c r="C749" i="14"/>
  <c r="D749" i="14" s="1"/>
  <c r="F797" i="14"/>
  <c r="D47" i="31" s="1"/>
  <c r="C36" i="31"/>
  <c r="F796" i="14"/>
  <c r="C47" i="31" s="1"/>
  <c r="I47" i="32"/>
  <c r="K47" i="32"/>
  <c r="J47" i="32"/>
  <c r="C47" i="32"/>
  <c r="F886" i="14"/>
  <c r="D36" i="29"/>
  <c r="F885" i="14"/>
  <c r="C36" i="29"/>
  <c r="F841" i="14"/>
  <c r="C47" i="30" s="1"/>
  <c r="C36" i="30"/>
  <c r="C767" i="14"/>
  <c r="D58" i="31" l="1"/>
  <c r="C58" i="31"/>
  <c r="C47" i="29"/>
  <c r="B904" i="14"/>
  <c r="D47" i="29"/>
  <c r="B905" i="14"/>
  <c r="C58" i="30"/>
  <c r="C886" i="14"/>
  <c r="C768" i="14"/>
  <c r="E750" i="14"/>
  <c r="D36" i="32" s="1"/>
  <c r="AW21" i="10"/>
  <c r="AV21" i="10"/>
  <c r="AU21" i="10"/>
  <c r="AT21" i="10"/>
  <c r="AS21" i="10"/>
  <c r="AR21" i="10"/>
  <c r="AQ21" i="10"/>
  <c r="AP21" i="10"/>
  <c r="AO21" i="10"/>
  <c r="AN21" i="10"/>
  <c r="AM21" i="10"/>
  <c r="AL21" i="10"/>
  <c r="D58" i="29" l="1"/>
  <c r="C58" i="29"/>
  <c r="D886" i="14"/>
  <c r="E887" i="14" s="1"/>
  <c r="F750" i="14"/>
  <c r="C750" i="14"/>
  <c r="D750" i="14" s="1"/>
  <c r="E751" i="14" s="1"/>
  <c r="E36" i="32" s="1"/>
  <c r="B769" i="14" l="1"/>
  <c r="C769" i="14" s="1"/>
  <c r="D47" i="32"/>
  <c r="D58" i="32" s="1"/>
  <c r="F887" i="14"/>
  <c r="E36" i="29"/>
  <c r="C887" i="14"/>
  <c r="D887" i="14" s="1"/>
  <c r="E888" i="14" s="1"/>
  <c r="F751" i="14"/>
  <c r="C751" i="14"/>
  <c r="D751" i="14" s="1"/>
  <c r="E752" i="14" s="1"/>
  <c r="F36" i="32" s="1"/>
  <c r="AN18" i="7"/>
  <c r="B770" i="14" l="1"/>
  <c r="E47" i="32"/>
  <c r="E47" i="29"/>
  <c r="B906" i="14"/>
  <c r="F888" i="14"/>
  <c r="F36" i="29"/>
  <c r="C888" i="14"/>
  <c r="D888" i="14" s="1"/>
  <c r="E889" i="14" s="1"/>
  <c r="F752" i="14"/>
  <c r="C752" i="14"/>
  <c r="D752" i="14" s="1"/>
  <c r="E753" i="14" s="1"/>
  <c r="G36" i="32" s="1"/>
  <c r="E58" i="29" l="1"/>
  <c r="B771" i="14"/>
  <c r="F47" i="32"/>
  <c r="F889" i="14"/>
  <c r="G36" i="29"/>
  <c r="F47" i="29"/>
  <c r="B907" i="14"/>
  <c r="C889" i="14"/>
  <c r="D889" i="14" s="1"/>
  <c r="E890" i="14" s="1"/>
  <c r="F753" i="14"/>
  <c r="B772" i="14" l="1"/>
  <c r="G47" i="32"/>
  <c r="F890" i="14"/>
  <c r="H36" i="29"/>
  <c r="F58" i="29"/>
  <c r="G47" i="29"/>
  <c r="B908" i="14"/>
  <c r="C753" i="14"/>
  <c r="D753" i="14" s="1"/>
  <c r="E754" i="14" s="1"/>
  <c r="H36" i="32" s="1"/>
  <c r="AN52" i="9"/>
  <c r="AO52" i="9"/>
  <c r="AP52" i="9"/>
  <c r="AQ52" i="9"/>
  <c r="AR52" i="9"/>
  <c r="AS52" i="9"/>
  <c r="AT52" i="9"/>
  <c r="AU52" i="9"/>
  <c r="AV52" i="9"/>
  <c r="AW52" i="9"/>
  <c r="AX52" i="9"/>
  <c r="AM52" i="9"/>
  <c r="AN43" i="9"/>
  <c r="AO43" i="9"/>
  <c r="AP43" i="9"/>
  <c r="AQ43" i="9"/>
  <c r="AR43" i="9"/>
  <c r="AS43" i="9"/>
  <c r="AT43" i="9"/>
  <c r="AU43" i="9"/>
  <c r="AV43" i="9"/>
  <c r="AW43" i="9"/>
  <c r="AX43" i="9"/>
  <c r="AM43" i="9"/>
  <c r="AN38" i="9"/>
  <c r="AO38" i="9"/>
  <c r="AP38" i="9"/>
  <c r="AQ38" i="9"/>
  <c r="AR38" i="9"/>
  <c r="AS38" i="9"/>
  <c r="AT38" i="9"/>
  <c r="AU38" i="9"/>
  <c r="AV38" i="9"/>
  <c r="AW38" i="9"/>
  <c r="AX38" i="9"/>
  <c r="AM38" i="9"/>
  <c r="AX53" i="9"/>
  <c r="AX59" i="9" s="1"/>
  <c r="AW53" i="9"/>
  <c r="AW59" i="9" s="1"/>
  <c r="AV53" i="9"/>
  <c r="AV59" i="9" s="1"/>
  <c r="AU53" i="9"/>
  <c r="AU59" i="9" s="1"/>
  <c r="AT53" i="9"/>
  <c r="AT59" i="9" s="1"/>
  <c r="AS53" i="9"/>
  <c r="AS59" i="9" s="1"/>
  <c r="AR53" i="9"/>
  <c r="AR59" i="9" s="1"/>
  <c r="AQ53" i="9"/>
  <c r="AQ59" i="9" s="1"/>
  <c r="AP53" i="9"/>
  <c r="AP59" i="9" s="1"/>
  <c r="AO53" i="9"/>
  <c r="AO59" i="9" s="1"/>
  <c r="AN53" i="9"/>
  <c r="AN59" i="9" s="1"/>
  <c r="AM53" i="9"/>
  <c r="AM59" i="9" s="1"/>
  <c r="G58" i="29" l="1"/>
  <c r="H47" i="29"/>
  <c r="B909" i="14"/>
  <c r="F754" i="14"/>
  <c r="AN43" i="1"/>
  <c r="AO43" i="1"/>
  <c r="AP43" i="1"/>
  <c r="AQ43" i="1"/>
  <c r="AR43" i="1"/>
  <c r="AS43" i="1"/>
  <c r="AT43" i="1"/>
  <c r="AU43" i="1"/>
  <c r="AV43" i="1"/>
  <c r="AW43" i="1"/>
  <c r="AX43" i="1"/>
  <c r="AM43" i="1"/>
  <c r="AG33" i="1"/>
  <c r="AH33" i="1"/>
  <c r="AI33" i="1"/>
  <c r="AJ33" i="1"/>
  <c r="AK33" i="1"/>
  <c r="AL33" i="1"/>
  <c r="AF33" i="1"/>
  <c r="AN33" i="1"/>
  <c r="AO33" i="1"/>
  <c r="AP33" i="1"/>
  <c r="AQ33" i="1"/>
  <c r="AR33" i="1"/>
  <c r="AS33" i="1"/>
  <c r="AT33" i="1"/>
  <c r="AU33" i="1"/>
  <c r="AV33" i="1"/>
  <c r="AW33" i="1"/>
  <c r="AX33" i="1"/>
  <c r="AM33" i="1"/>
  <c r="AM34" i="1" s="1"/>
  <c r="B407" i="14"/>
  <c r="F416" i="14" s="1"/>
  <c r="B406" i="14"/>
  <c r="B405" i="14"/>
  <c r="B404" i="14"/>
  <c r="B403" i="14"/>
  <c r="B215" i="14"/>
  <c r="B219" i="14"/>
  <c r="F226" i="14" s="1"/>
  <c r="B218" i="14"/>
  <c r="B217" i="14"/>
  <c r="B216" i="14"/>
  <c r="F35" i="14"/>
  <c r="E64" i="11"/>
  <c r="D63" i="13"/>
  <c r="B63" i="13" s="1"/>
  <c r="C63" i="13"/>
  <c r="D62" i="13"/>
  <c r="C62" i="13"/>
  <c r="D61" i="13"/>
  <c r="B61" i="13" s="1"/>
  <c r="C61" i="13"/>
  <c r="D60" i="13"/>
  <c r="C60" i="13"/>
  <c r="D59" i="13"/>
  <c r="C59" i="13"/>
  <c r="D58" i="13"/>
  <c r="C58" i="13"/>
  <c r="D57" i="13"/>
  <c r="C57" i="13"/>
  <c r="D56" i="13"/>
  <c r="B56" i="13" s="1"/>
  <c r="D55" i="13"/>
  <c r="B55" i="13" s="1"/>
  <c r="D54" i="13"/>
  <c r="B54" i="13" s="1"/>
  <c r="D53" i="13"/>
  <c r="B53" i="13"/>
  <c r="D52" i="13"/>
  <c r="B52" i="13" s="1"/>
  <c r="D63" i="12"/>
  <c r="D62" i="12"/>
  <c r="M23" i="39" s="1"/>
  <c r="D61" i="12"/>
  <c r="D60" i="12"/>
  <c r="K23" i="39" s="1"/>
  <c r="D59" i="12"/>
  <c r="D58" i="12"/>
  <c r="I23" i="39" s="1"/>
  <c r="D57" i="12"/>
  <c r="D56" i="12"/>
  <c r="G23" i="39" s="1"/>
  <c r="D55" i="12"/>
  <c r="D54" i="12"/>
  <c r="E23" i="39" s="1"/>
  <c r="D53" i="12"/>
  <c r="D52" i="12"/>
  <c r="C23" i="39" s="1"/>
  <c r="D63" i="11"/>
  <c r="D62" i="11"/>
  <c r="D61" i="11"/>
  <c r="B61" i="11" s="1"/>
  <c r="D60" i="11"/>
  <c r="D59" i="11"/>
  <c r="B59" i="11" s="1"/>
  <c r="D58" i="11"/>
  <c r="D57" i="11"/>
  <c r="D55" i="11"/>
  <c r="D54" i="11"/>
  <c r="B54" i="11" s="1"/>
  <c r="D53" i="11"/>
  <c r="D52" i="11"/>
  <c r="B63" i="11" l="1"/>
  <c r="N22" i="39"/>
  <c r="O22" i="39" s="1"/>
  <c r="B63" i="12"/>
  <c r="N23" i="39"/>
  <c r="B61" i="12"/>
  <c r="L23" i="39"/>
  <c r="B59" i="12"/>
  <c r="J23" i="39"/>
  <c r="B57" i="12"/>
  <c r="H23" i="39"/>
  <c r="B55" i="12"/>
  <c r="F23" i="39"/>
  <c r="B53" i="12"/>
  <c r="D23" i="39"/>
  <c r="O23" i="39"/>
  <c r="B57" i="13"/>
  <c r="B59" i="13"/>
  <c r="B60" i="13"/>
  <c r="B55" i="11"/>
  <c r="B57" i="11"/>
  <c r="B60" i="11"/>
  <c r="B58" i="12"/>
  <c r="B54" i="12"/>
  <c r="B773" i="14"/>
  <c r="H47" i="32"/>
  <c r="H58" i="29"/>
  <c r="B62" i="12"/>
  <c r="B52" i="12"/>
  <c r="B53" i="11"/>
  <c r="B52" i="11"/>
  <c r="B58" i="13"/>
  <c r="B62" i="13"/>
  <c r="B58" i="11"/>
  <c r="B62" i="11"/>
  <c r="B56" i="12"/>
  <c r="B60" i="12"/>
  <c r="AX34" i="1"/>
  <c r="AW34" i="1"/>
  <c r="AV34" i="1"/>
  <c r="AU34" i="1"/>
  <c r="AT34" i="1"/>
  <c r="AS34" i="1"/>
  <c r="AR34" i="1"/>
  <c r="AQ34" i="1"/>
  <c r="AP34" i="1"/>
  <c r="AO34" i="1"/>
  <c r="AN34" i="1"/>
  <c r="AM18" i="7"/>
  <c r="AL18" i="7"/>
  <c r="C143" i="5" l="1"/>
  <c r="C159" i="5" s="1"/>
  <c r="C135" i="5"/>
  <c r="C127" i="5"/>
  <c r="C119" i="5"/>
  <c r="D119" i="5" s="1"/>
  <c r="B691" i="14"/>
  <c r="B629" i="14"/>
  <c r="B674" i="14"/>
  <c r="B675" i="14"/>
  <c r="B676" i="14"/>
  <c r="B678" i="14"/>
  <c r="B679" i="14"/>
  <c r="B680" i="14"/>
  <c r="B681" i="14"/>
  <c r="B682" i="14"/>
  <c r="B673" i="14"/>
  <c r="B621" i="14"/>
  <c r="F627" i="14" s="1"/>
  <c r="B620" i="14"/>
  <c r="B619" i="14"/>
  <c r="B618" i="14"/>
  <c r="B617" i="14"/>
  <c r="D16" i="24"/>
  <c r="D15" i="24"/>
  <c r="D16" i="28"/>
  <c r="D15" i="28"/>
  <c r="B15" i="28" s="1"/>
  <c r="C43" i="20"/>
  <c r="AX20" i="7"/>
  <c r="AX21" i="7" s="1"/>
  <c r="AW20" i="7"/>
  <c r="AW21" i="7" s="1"/>
  <c r="AV20" i="7"/>
  <c r="AV21" i="7" s="1"/>
  <c r="AU20" i="7"/>
  <c r="AU21" i="7" s="1"/>
  <c r="AT20" i="7"/>
  <c r="AT21" i="7" s="1"/>
  <c r="AS20" i="7"/>
  <c r="AS21" i="7" s="1"/>
  <c r="AR20" i="7"/>
  <c r="AR21" i="7" s="1"/>
  <c r="AQ21" i="7"/>
  <c r="AQ22" i="7" s="1"/>
  <c r="AP20" i="7"/>
  <c r="AP21" i="7" s="1"/>
  <c r="AP22" i="7" s="1"/>
  <c r="AP30" i="6" s="1"/>
  <c r="AO14" i="10" s="1"/>
  <c r="AO20" i="7"/>
  <c r="AO21" i="7" s="1"/>
  <c r="AO22" i="7" s="1"/>
  <c r="AO30" i="6" s="1"/>
  <c r="AN14" i="10" s="1"/>
  <c r="AN20" i="7"/>
  <c r="AN21" i="7" s="1"/>
  <c r="AM20" i="7"/>
  <c r="AM21" i="7" s="1"/>
  <c r="AX19" i="7"/>
  <c r="AX22" i="7" s="1"/>
  <c r="AX30" i="6" s="1"/>
  <c r="AW14" i="10" s="1"/>
  <c r="AW19" i="7"/>
  <c r="AV19" i="7"/>
  <c r="AV22" i="7" s="1"/>
  <c r="AV30" i="6" s="1"/>
  <c r="AU14" i="10" s="1"/>
  <c r="AU19" i="7"/>
  <c r="AU22" i="7" s="1"/>
  <c r="AU30" i="6" s="1"/>
  <c r="AT14" i="10" s="1"/>
  <c r="AT19" i="7"/>
  <c r="AT22" i="7" s="1"/>
  <c r="AT30" i="6" s="1"/>
  <c r="AS14" i="10" s="1"/>
  <c r="AS19" i="7"/>
  <c r="AS22" i="7" s="1"/>
  <c r="AS30" i="6" s="1"/>
  <c r="AR14" i="10" s="1"/>
  <c r="AR19" i="7"/>
  <c r="AR22" i="7" s="1"/>
  <c r="AR30" i="6" s="1"/>
  <c r="AQ14" i="10" s="1"/>
  <c r="AN19" i="7"/>
  <c r="AN22" i="7" s="1"/>
  <c r="AN30" i="6" s="1"/>
  <c r="AM14" i="10" s="1"/>
  <c r="AM19" i="7"/>
  <c r="AM22" i="7" s="1"/>
  <c r="AM30" i="6" s="1"/>
  <c r="AL14" i="10" s="1"/>
  <c r="AK18" i="7"/>
  <c r="AW30" i="6" l="1"/>
  <c r="AV14" i="10" s="1"/>
  <c r="AQ30" i="6"/>
  <c r="AP14" i="10" s="1"/>
  <c r="C151" i="5"/>
  <c r="B692" i="14"/>
  <c r="D718" i="14"/>
  <c r="A715" i="14"/>
  <c r="C43" i="21"/>
  <c r="D719" i="14" l="1"/>
  <c r="C890" i="14" l="1"/>
  <c r="D890" i="14" s="1"/>
  <c r="E891" i="14" s="1"/>
  <c r="D720" i="14"/>
  <c r="B574" i="14"/>
  <c r="B575" i="14" s="1"/>
  <c r="B41" i="15"/>
  <c r="B40" i="15"/>
  <c r="B39" i="15"/>
  <c r="C33" i="15"/>
  <c r="E28" i="15"/>
  <c r="C691" i="14" s="1"/>
  <c r="E27" i="15"/>
  <c r="C629" i="14" s="1"/>
  <c r="D629" i="14" s="1"/>
  <c r="E26" i="15"/>
  <c r="C574" i="14" s="1"/>
  <c r="B615" i="14"/>
  <c r="D15" i="26"/>
  <c r="B15" i="26" s="1"/>
  <c r="B15" i="24"/>
  <c r="D16" i="26"/>
  <c r="B630" i="14" s="1"/>
  <c r="C43" i="22"/>
  <c r="D71" i="4"/>
  <c r="H74" i="4"/>
  <c r="G74" i="4"/>
  <c r="H73" i="4"/>
  <c r="G73" i="4"/>
  <c r="F73" i="4"/>
  <c r="F43" i="22" s="1"/>
  <c r="H69" i="4"/>
  <c r="G69" i="4"/>
  <c r="F69" i="4"/>
  <c r="H71" i="4"/>
  <c r="G71" i="4"/>
  <c r="F71" i="4"/>
  <c r="F74" i="4"/>
  <c r="D74" i="4"/>
  <c r="D73" i="4"/>
  <c r="C70" i="4"/>
  <c r="C72" i="4" s="1"/>
  <c r="D69" i="4"/>
  <c r="H68" i="4"/>
  <c r="G68" i="4"/>
  <c r="F68" i="4"/>
  <c r="D68" i="4"/>
  <c r="H67" i="4"/>
  <c r="G67" i="4"/>
  <c r="F67" i="4"/>
  <c r="D67" i="4"/>
  <c r="D70" i="4" s="1"/>
  <c r="D72" i="4" s="1"/>
  <c r="C33" i="22"/>
  <c r="P33" i="22" s="1"/>
  <c r="P34" i="22" s="1"/>
  <c r="P21" i="22"/>
  <c r="P22" i="22" s="1"/>
  <c r="P65" i="22" s="1"/>
  <c r="AA47" i="22"/>
  <c r="Z47" i="22"/>
  <c r="Y47" i="22"/>
  <c r="X47" i="22"/>
  <c r="W47" i="22"/>
  <c r="V47" i="22"/>
  <c r="U47" i="22"/>
  <c r="T47" i="22"/>
  <c r="S47" i="22"/>
  <c r="R47" i="22"/>
  <c r="Q47" i="22"/>
  <c r="AA20" i="22"/>
  <c r="AA19" i="22"/>
  <c r="Z19" i="22"/>
  <c r="Y19" i="22"/>
  <c r="X19" i="22"/>
  <c r="W19" i="22"/>
  <c r="V19" i="22"/>
  <c r="U19" i="22"/>
  <c r="T19" i="22"/>
  <c r="S19" i="22"/>
  <c r="R19" i="22"/>
  <c r="B565" i="14"/>
  <c r="F572" i="14" s="1"/>
  <c r="B564" i="14"/>
  <c r="B563" i="14"/>
  <c r="B562" i="14"/>
  <c r="B561" i="14"/>
  <c r="B559" i="14"/>
  <c r="D18" i="24"/>
  <c r="D17" i="24"/>
  <c r="C27" i="39" s="1"/>
  <c r="B16" i="24"/>
  <c r="D18" i="26"/>
  <c r="D17" i="26"/>
  <c r="B16" i="26"/>
  <c r="B16" i="28"/>
  <c r="D17" i="28"/>
  <c r="C25" i="39" s="1"/>
  <c r="D18" i="28"/>
  <c r="D25" i="39" s="1"/>
  <c r="D19" i="28"/>
  <c r="E25" i="39" s="1"/>
  <c r="B18" i="26" l="1"/>
  <c r="D26" i="39"/>
  <c r="B17" i="26"/>
  <c r="C26" i="39"/>
  <c r="C32" i="39"/>
  <c r="B18" i="24"/>
  <c r="D27" i="39"/>
  <c r="D32" i="39" s="1"/>
  <c r="D34" i="39" s="1"/>
  <c r="Z21" i="22"/>
  <c r="Z22" i="22" s="1"/>
  <c r="Z65" i="22" s="1"/>
  <c r="F891" i="14"/>
  <c r="I36" i="29"/>
  <c r="D691" i="14"/>
  <c r="E692" i="14" s="1"/>
  <c r="C692" i="14" s="1"/>
  <c r="H70" i="4"/>
  <c r="H72" i="4" s="1"/>
  <c r="AN38" i="1"/>
  <c r="AR38" i="1"/>
  <c r="AV38" i="1"/>
  <c r="AO38" i="1"/>
  <c r="AQ38" i="1"/>
  <c r="AS38" i="1"/>
  <c r="AU38" i="1"/>
  <c r="AW38" i="1"/>
  <c r="AM38" i="1"/>
  <c r="AP38" i="1"/>
  <c r="AT38" i="1"/>
  <c r="AX38" i="1"/>
  <c r="L69" i="4"/>
  <c r="J69" i="4"/>
  <c r="K69" i="4"/>
  <c r="I69" i="4"/>
  <c r="P43" i="22"/>
  <c r="AO38" i="8"/>
  <c r="AQ38" i="8"/>
  <c r="AS38" i="8"/>
  <c r="AU38" i="8"/>
  <c r="AW38" i="8"/>
  <c r="AM38" i="8"/>
  <c r="AN38" i="8"/>
  <c r="AP38" i="8"/>
  <c r="AR38" i="8"/>
  <c r="AT38" i="8"/>
  <c r="AV38" i="8"/>
  <c r="AX38" i="8"/>
  <c r="L67" i="4"/>
  <c r="J67" i="4"/>
  <c r="K67" i="4"/>
  <c r="I67" i="4"/>
  <c r="L68" i="4"/>
  <c r="J68" i="4"/>
  <c r="K68" i="4"/>
  <c r="I68" i="4"/>
  <c r="AO43" i="8"/>
  <c r="AQ43" i="8"/>
  <c r="AS43" i="8"/>
  <c r="AU43" i="8"/>
  <c r="AW43" i="8"/>
  <c r="AM43" i="8"/>
  <c r="AN43" i="8"/>
  <c r="AP43" i="8"/>
  <c r="AR43" i="8"/>
  <c r="AT43" i="8"/>
  <c r="AV43" i="8"/>
  <c r="AX43" i="8"/>
  <c r="L71" i="4"/>
  <c r="J71" i="4"/>
  <c r="K71" i="4"/>
  <c r="I71" i="4"/>
  <c r="L73" i="4"/>
  <c r="J73" i="4"/>
  <c r="K73" i="4"/>
  <c r="I73" i="4"/>
  <c r="L74" i="4"/>
  <c r="J74" i="4"/>
  <c r="K74" i="4"/>
  <c r="I74" i="4"/>
  <c r="E630" i="14"/>
  <c r="C630" i="14" s="1"/>
  <c r="F38" i="20"/>
  <c r="H38" i="20"/>
  <c r="J38" i="20"/>
  <c r="L38" i="20"/>
  <c r="N38" i="20"/>
  <c r="D38" i="20"/>
  <c r="E38" i="20"/>
  <c r="G38" i="20"/>
  <c r="I38" i="20"/>
  <c r="K38" i="20"/>
  <c r="M38" i="20"/>
  <c r="O38" i="20"/>
  <c r="R21" i="22"/>
  <c r="R22" i="22" s="1"/>
  <c r="R65" i="22" s="1"/>
  <c r="V21" i="22"/>
  <c r="V22" i="22" s="1"/>
  <c r="E43" i="21"/>
  <c r="G43" i="21"/>
  <c r="I43" i="21"/>
  <c r="K43" i="21"/>
  <c r="M43" i="21"/>
  <c r="O43" i="21"/>
  <c r="F43" i="21"/>
  <c r="H43" i="21"/>
  <c r="J43" i="21"/>
  <c r="N43" i="21"/>
  <c r="L43" i="21"/>
  <c r="D43" i="21"/>
  <c r="O43" i="22"/>
  <c r="M43" i="22"/>
  <c r="K43" i="22"/>
  <c r="I43" i="22"/>
  <c r="G43" i="22"/>
  <c r="E43" i="22"/>
  <c r="B633" i="14"/>
  <c r="B634" i="14" s="1"/>
  <c r="B578" i="14"/>
  <c r="B17" i="24"/>
  <c r="B695" i="14"/>
  <c r="B696" i="14" s="1"/>
  <c r="T21" i="22"/>
  <c r="T22" i="22" s="1"/>
  <c r="X21" i="22"/>
  <c r="X22" i="22" s="1"/>
  <c r="X65" i="22" s="1"/>
  <c r="E43" i="20"/>
  <c r="G43" i="20"/>
  <c r="F43" i="20"/>
  <c r="I43" i="20"/>
  <c r="K43" i="20"/>
  <c r="M43" i="20"/>
  <c r="O43" i="20"/>
  <c r="H43" i="20"/>
  <c r="J43" i="20"/>
  <c r="L43" i="20"/>
  <c r="N43" i="20"/>
  <c r="D43" i="20"/>
  <c r="D43" i="22"/>
  <c r="N43" i="22"/>
  <c r="L43" i="22"/>
  <c r="J43" i="22"/>
  <c r="H43" i="22"/>
  <c r="D39" i="15"/>
  <c r="D40" i="15"/>
  <c r="D41" i="15"/>
  <c r="D721" i="14"/>
  <c r="D574" i="14"/>
  <c r="H76" i="4"/>
  <c r="G70" i="4"/>
  <c r="D76" i="4"/>
  <c r="D75" i="4"/>
  <c r="C76" i="4"/>
  <c r="C75" i="4"/>
  <c r="F70" i="4"/>
  <c r="F72" i="4" s="1"/>
  <c r="V65" i="22"/>
  <c r="T65" i="22"/>
  <c r="S21" i="22"/>
  <c r="S22" i="22" s="1"/>
  <c r="U21" i="22"/>
  <c r="U22" i="22" s="1"/>
  <c r="W21" i="22"/>
  <c r="W22" i="22" s="1"/>
  <c r="Y21" i="22"/>
  <c r="Y22" i="22" s="1"/>
  <c r="AA21" i="22"/>
  <c r="AA22" i="22" s="1"/>
  <c r="Q58" i="22"/>
  <c r="S58" i="22"/>
  <c r="U58" i="22"/>
  <c r="W58" i="22"/>
  <c r="Y58" i="22"/>
  <c r="AA58" i="22"/>
  <c r="R58" i="22"/>
  <c r="T58" i="22"/>
  <c r="V58" i="22"/>
  <c r="X58" i="22"/>
  <c r="Z58" i="22"/>
  <c r="B17" i="28"/>
  <c r="B18" i="28"/>
  <c r="H48" i="4"/>
  <c r="G48" i="4"/>
  <c r="F48" i="4"/>
  <c r="H47" i="4"/>
  <c r="G47" i="4"/>
  <c r="F47" i="4"/>
  <c r="D49" i="4"/>
  <c r="D48" i="4"/>
  <c r="D47" i="4"/>
  <c r="H51" i="4"/>
  <c r="G51" i="4" s="1"/>
  <c r="A687" i="14"/>
  <c r="D656" i="14"/>
  <c r="A653" i="14"/>
  <c r="A625" i="14"/>
  <c r="D599" i="14"/>
  <c r="A596" i="14"/>
  <c r="A570" i="14"/>
  <c r="D28" i="24"/>
  <c r="N27" i="39" s="1"/>
  <c r="D27" i="24"/>
  <c r="D26" i="24"/>
  <c r="L27" i="39" s="1"/>
  <c r="D25" i="24"/>
  <c r="D24" i="24"/>
  <c r="J27" i="39" s="1"/>
  <c r="D23" i="24"/>
  <c r="D22" i="24"/>
  <c r="H27" i="39" s="1"/>
  <c r="D21" i="24"/>
  <c r="D20" i="24"/>
  <c r="F27" i="39" s="1"/>
  <c r="D19" i="24"/>
  <c r="D28" i="26"/>
  <c r="N26" i="39" s="1"/>
  <c r="D27" i="26"/>
  <c r="D26" i="26"/>
  <c r="D25" i="26"/>
  <c r="D24" i="26"/>
  <c r="D23" i="26"/>
  <c r="D22" i="26"/>
  <c r="D21" i="26"/>
  <c r="D20" i="26"/>
  <c r="D19" i="26"/>
  <c r="E26" i="39" s="1"/>
  <c r="B19" i="28"/>
  <c r="D20" i="28"/>
  <c r="D21" i="28"/>
  <c r="D22" i="28"/>
  <c r="D23" i="28"/>
  <c r="D24" i="28"/>
  <c r="D25" i="28"/>
  <c r="D26" i="28"/>
  <c r="D27" i="28"/>
  <c r="D28" i="28"/>
  <c r="B21" i="26" l="1"/>
  <c r="G26" i="39"/>
  <c r="B23" i="26"/>
  <c r="I26" i="39"/>
  <c r="B25" i="26"/>
  <c r="K26" i="39"/>
  <c r="B20" i="26"/>
  <c r="F26" i="39"/>
  <c r="B22" i="26"/>
  <c r="H26" i="39"/>
  <c r="B24" i="26"/>
  <c r="J26" i="39"/>
  <c r="B26" i="26"/>
  <c r="L26" i="39"/>
  <c r="B27" i="26"/>
  <c r="M26" i="39"/>
  <c r="O26" i="39" s="1"/>
  <c r="B25" i="28"/>
  <c r="K25" i="39"/>
  <c r="B23" i="28"/>
  <c r="I25" i="39"/>
  <c r="B28" i="28"/>
  <c r="N25" i="39"/>
  <c r="B26" i="28"/>
  <c r="L25" i="39"/>
  <c r="L32" i="39" s="1"/>
  <c r="L34" i="39" s="1"/>
  <c r="B24" i="28"/>
  <c r="J25" i="39"/>
  <c r="J32" i="39" s="1"/>
  <c r="J34" i="39" s="1"/>
  <c r="B22" i="28"/>
  <c r="H25" i="39"/>
  <c r="H32" i="39" s="1"/>
  <c r="H34" i="39" s="1"/>
  <c r="B20" i="28"/>
  <c r="F25" i="39"/>
  <c r="B27" i="28"/>
  <c r="M25" i="39"/>
  <c r="B21" i="28"/>
  <c r="G25" i="39"/>
  <c r="N32" i="39"/>
  <c r="N34" i="39" s="1"/>
  <c r="B19" i="24"/>
  <c r="E27" i="39"/>
  <c r="B21" i="24"/>
  <c r="G27" i="39"/>
  <c r="G32" i="39" s="1"/>
  <c r="G34" i="39" s="1"/>
  <c r="B23" i="24"/>
  <c r="I27" i="39"/>
  <c r="I32" i="39" s="1"/>
  <c r="I34" i="39" s="1"/>
  <c r="B25" i="24"/>
  <c r="K27" i="39"/>
  <c r="K32" i="39" s="1"/>
  <c r="K34" i="39" s="1"/>
  <c r="B27" i="24"/>
  <c r="M27" i="39"/>
  <c r="E43" i="30"/>
  <c r="G43" i="30"/>
  <c r="I43" i="30"/>
  <c r="K43" i="30"/>
  <c r="D43" i="30"/>
  <c r="F43" i="30"/>
  <c r="H43" i="30"/>
  <c r="J43" i="30"/>
  <c r="C43" i="30"/>
  <c r="F43" i="29"/>
  <c r="J43" i="29"/>
  <c r="E43" i="29"/>
  <c r="G43" i="29"/>
  <c r="I43" i="29"/>
  <c r="K43" i="29"/>
  <c r="D43" i="29"/>
  <c r="H43" i="29"/>
  <c r="C43" i="29"/>
  <c r="E43" i="32"/>
  <c r="G43" i="32"/>
  <c r="I43" i="32"/>
  <c r="K43" i="32"/>
  <c r="D43" i="32"/>
  <c r="F43" i="32"/>
  <c r="H43" i="32"/>
  <c r="J43" i="32"/>
  <c r="C43" i="32"/>
  <c r="E43" i="31"/>
  <c r="I43" i="31"/>
  <c r="D43" i="31"/>
  <c r="F43" i="31"/>
  <c r="H43" i="31"/>
  <c r="J43" i="31"/>
  <c r="C43" i="31"/>
  <c r="G43" i="31"/>
  <c r="K43" i="31"/>
  <c r="I47" i="29"/>
  <c r="B910" i="14"/>
  <c r="C891" i="14"/>
  <c r="C36" i="21"/>
  <c r="AP52" i="1"/>
  <c r="AP53" i="1" s="1"/>
  <c r="AP59" i="1" s="1"/>
  <c r="AO52" i="1"/>
  <c r="AO53" i="1" s="1"/>
  <c r="AO59" i="1" s="1"/>
  <c r="AQ52" i="1"/>
  <c r="AQ53" i="1" s="1"/>
  <c r="AQ59" i="1" s="1"/>
  <c r="AS52" i="1"/>
  <c r="AS53" i="1" s="1"/>
  <c r="AS59" i="1" s="1"/>
  <c r="AU52" i="1"/>
  <c r="AU53" i="1" s="1"/>
  <c r="AU59" i="1" s="1"/>
  <c r="AW52" i="1"/>
  <c r="AW53" i="1" s="1"/>
  <c r="AW59" i="1" s="1"/>
  <c r="AM52" i="1"/>
  <c r="AM53" i="1" s="1"/>
  <c r="AM59" i="1" s="1"/>
  <c r="AN52" i="1"/>
  <c r="AN53" i="1" s="1"/>
  <c r="AN59" i="1" s="1"/>
  <c r="AR52" i="1"/>
  <c r="AR53" i="1" s="1"/>
  <c r="AR59" i="1" s="1"/>
  <c r="AT52" i="1"/>
  <c r="AT53" i="1" s="1"/>
  <c r="AT59" i="1" s="1"/>
  <c r="AV52" i="1"/>
  <c r="AV53" i="1" s="1"/>
  <c r="AV59" i="1" s="1"/>
  <c r="AX52" i="1"/>
  <c r="AX53" i="1" s="1"/>
  <c r="AX59" i="1" s="1"/>
  <c r="AO52" i="8"/>
  <c r="AO53" i="8" s="1"/>
  <c r="AO59" i="8" s="1"/>
  <c r="AQ52" i="8"/>
  <c r="AQ53" i="8" s="1"/>
  <c r="AQ59" i="8" s="1"/>
  <c r="AS52" i="8"/>
  <c r="AS53" i="8" s="1"/>
  <c r="AS59" i="8" s="1"/>
  <c r="AU52" i="8"/>
  <c r="AU53" i="8" s="1"/>
  <c r="AU59" i="8" s="1"/>
  <c r="AW52" i="8"/>
  <c r="AW53" i="8" s="1"/>
  <c r="AW59" i="8" s="1"/>
  <c r="AM52" i="8"/>
  <c r="AM53" i="8" s="1"/>
  <c r="AM59" i="8" s="1"/>
  <c r="AN52" i="8"/>
  <c r="AN53" i="8" s="1"/>
  <c r="AN59" i="8" s="1"/>
  <c r="AP52" i="8"/>
  <c r="AP53" i="8" s="1"/>
  <c r="AP59" i="8" s="1"/>
  <c r="AR52" i="8"/>
  <c r="AR53" i="8" s="1"/>
  <c r="AR59" i="8" s="1"/>
  <c r="AT52" i="8"/>
  <c r="AT53" i="8" s="1"/>
  <c r="AT59" i="8" s="1"/>
  <c r="AV52" i="8"/>
  <c r="AV53" i="8" s="1"/>
  <c r="AV59" i="8" s="1"/>
  <c r="AX52" i="8"/>
  <c r="AX53" i="8" s="1"/>
  <c r="AX59" i="8" s="1"/>
  <c r="I70" i="4"/>
  <c r="I72" i="4" s="1"/>
  <c r="J70" i="4"/>
  <c r="J72" i="4" s="1"/>
  <c r="K70" i="4"/>
  <c r="K72" i="4" s="1"/>
  <c r="L70" i="4"/>
  <c r="L72" i="4" s="1"/>
  <c r="E38" i="22"/>
  <c r="G38" i="22"/>
  <c r="I38" i="22"/>
  <c r="K38" i="22"/>
  <c r="M38" i="22"/>
  <c r="O38" i="22"/>
  <c r="F38" i="22"/>
  <c r="H38" i="22"/>
  <c r="J38" i="22"/>
  <c r="L38" i="22"/>
  <c r="N38" i="22"/>
  <c r="D38" i="22"/>
  <c r="F52" i="20"/>
  <c r="H52" i="20"/>
  <c r="J52" i="20"/>
  <c r="L52" i="20"/>
  <c r="N52" i="20"/>
  <c r="D52" i="20"/>
  <c r="E52" i="20"/>
  <c r="G52" i="20"/>
  <c r="I52" i="20"/>
  <c r="K52" i="20"/>
  <c r="M52" i="20"/>
  <c r="O52" i="20"/>
  <c r="B697" i="14"/>
  <c r="B698" i="14" s="1"/>
  <c r="B699" i="14" s="1"/>
  <c r="B700" i="14" s="1"/>
  <c r="B701" i="14" s="1"/>
  <c r="B702" i="14" s="1"/>
  <c r="B703" i="14" s="1"/>
  <c r="B704" i="14" s="1"/>
  <c r="B705" i="14" s="1"/>
  <c r="B706" i="14" s="1"/>
  <c r="G72" i="4"/>
  <c r="G76" i="4" s="1"/>
  <c r="B635" i="14"/>
  <c r="B636" i="14" s="1"/>
  <c r="B637" i="14" s="1"/>
  <c r="B638" i="14" s="1"/>
  <c r="B639" i="14" s="1"/>
  <c r="B640" i="14" s="1"/>
  <c r="B641" i="14" s="1"/>
  <c r="B642" i="14" s="1"/>
  <c r="B643" i="14" s="1"/>
  <c r="B644" i="14" s="1"/>
  <c r="E575" i="14"/>
  <c r="C575" i="14" s="1"/>
  <c r="D575" i="14" s="1"/>
  <c r="D722" i="14"/>
  <c r="D630" i="14"/>
  <c r="E633" i="14" s="1"/>
  <c r="H75" i="4"/>
  <c r="F76" i="4"/>
  <c r="F75" i="4"/>
  <c r="Z33" i="22"/>
  <c r="Z34" i="22" s="1"/>
  <c r="X33" i="22"/>
  <c r="X34" i="22" s="1"/>
  <c r="V33" i="22"/>
  <c r="V34" i="22" s="1"/>
  <c r="T33" i="22"/>
  <c r="T34" i="22" s="1"/>
  <c r="R33" i="22"/>
  <c r="R34" i="22" s="1"/>
  <c r="AA33" i="22"/>
  <c r="AA34" i="22" s="1"/>
  <c r="Y33" i="22"/>
  <c r="Y34" i="22" s="1"/>
  <c r="W33" i="22"/>
  <c r="W34" i="22" s="1"/>
  <c r="U33" i="22"/>
  <c r="U34" i="22" s="1"/>
  <c r="S33" i="22"/>
  <c r="S34" i="22" s="1"/>
  <c r="Q33" i="22"/>
  <c r="Q34" i="22" s="1"/>
  <c r="Z43" i="22"/>
  <c r="X43" i="22"/>
  <c r="V43" i="22"/>
  <c r="T43" i="22"/>
  <c r="R43" i="22"/>
  <c r="AA43" i="22"/>
  <c r="Y43" i="22"/>
  <c r="W43" i="22"/>
  <c r="U43" i="22"/>
  <c r="S43" i="22"/>
  <c r="Q43" i="22"/>
  <c r="AA65" i="22"/>
  <c r="W65" i="22"/>
  <c r="S65" i="22"/>
  <c r="Y65" i="22"/>
  <c r="U65" i="22"/>
  <c r="B579" i="14"/>
  <c r="B28" i="24"/>
  <c r="B26" i="24"/>
  <c r="B24" i="24"/>
  <c r="B22" i="24"/>
  <c r="B20" i="24"/>
  <c r="B28" i="26"/>
  <c r="B19" i="26"/>
  <c r="D657" i="14"/>
  <c r="D600" i="14"/>
  <c r="C34" i="22"/>
  <c r="M32" i="39" l="1"/>
  <c r="M34" i="39" s="1"/>
  <c r="O25" i="39"/>
  <c r="F32" i="39"/>
  <c r="F34" i="39" s="1"/>
  <c r="E32" i="39"/>
  <c r="O27" i="39"/>
  <c r="E38" i="29"/>
  <c r="I38" i="29"/>
  <c r="D38" i="29"/>
  <c r="F38" i="29"/>
  <c r="H38" i="29"/>
  <c r="J38" i="29"/>
  <c r="C38" i="29"/>
  <c r="G38" i="29"/>
  <c r="K38" i="29"/>
  <c r="D38" i="31"/>
  <c r="H38" i="31"/>
  <c r="C38" i="31"/>
  <c r="E38" i="31"/>
  <c r="G38" i="31"/>
  <c r="I38" i="31"/>
  <c r="K38" i="31"/>
  <c r="F38" i="31"/>
  <c r="J38" i="31"/>
  <c r="D38" i="30"/>
  <c r="F38" i="30"/>
  <c r="H38" i="30"/>
  <c r="J38" i="30"/>
  <c r="C38" i="30"/>
  <c r="E38" i="30"/>
  <c r="G38" i="30"/>
  <c r="I38" i="30"/>
  <c r="K38" i="30"/>
  <c r="D38" i="32"/>
  <c r="F38" i="32"/>
  <c r="H38" i="32"/>
  <c r="J38" i="32"/>
  <c r="C38" i="32"/>
  <c r="E38" i="32"/>
  <c r="G38" i="32"/>
  <c r="I38" i="32"/>
  <c r="K38" i="32"/>
  <c r="I58" i="29"/>
  <c r="D891" i="14"/>
  <c r="E892" i="14" s="1"/>
  <c r="L76" i="4"/>
  <c r="L75" i="4"/>
  <c r="I76" i="4"/>
  <c r="I75" i="4"/>
  <c r="K76" i="4"/>
  <c r="K75" i="4"/>
  <c r="J76" i="4"/>
  <c r="J75" i="4"/>
  <c r="F52" i="21"/>
  <c r="H52" i="21"/>
  <c r="H53" i="21" s="1"/>
  <c r="H59" i="21" s="1"/>
  <c r="J52" i="21"/>
  <c r="L52" i="21"/>
  <c r="N52" i="21"/>
  <c r="D52" i="21"/>
  <c r="E52" i="21"/>
  <c r="G52" i="21"/>
  <c r="G53" i="21" s="1"/>
  <c r="G59" i="21" s="1"/>
  <c r="I52" i="21"/>
  <c r="K52" i="21"/>
  <c r="M52" i="21"/>
  <c r="O52" i="21"/>
  <c r="E52" i="22"/>
  <c r="G52" i="22"/>
  <c r="I52" i="22"/>
  <c r="K52" i="22"/>
  <c r="K53" i="22" s="1"/>
  <c r="K59" i="22" s="1"/>
  <c r="M52" i="22"/>
  <c r="O52" i="22"/>
  <c r="F52" i="22"/>
  <c r="H52" i="22"/>
  <c r="J52" i="22"/>
  <c r="L52" i="22"/>
  <c r="N52" i="22"/>
  <c r="D52" i="22"/>
  <c r="O53" i="20"/>
  <c r="O59" i="20" s="1"/>
  <c r="F38" i="21"/>
  <c r="H38" i="21"/>
  <c r="J38" i="21"/>
  <c r="L38" i="21"/>
  <c r="N38" i="21"/>
  <c r="D38" i="21"/>
  <c r="G38" i="21"/>
  <c r="K38" i="21"/>
  <c r="O38" i="21"/>
  <c r="E38" i="21"/>
  <c r="I38" i="21"/>
  <c r="M38" i="21"/>
  <c r="G75" i="4"/>
  <c r="C633" i="14"/>
  <c r="D633" i="14" s="1"/>
  <c r="E634" i="14" s="1"/>
  <c r="F634" i="14" s="1"/>
  <c r="F633" i="14"/>
  <c r="C36" i="22"/>
  <c r="D723" i="14"/>
  <c r="D36" i="21"/>
  <c r="E578" i="14"/>
  <c r="D36" i="22" s="1"/>
  <c r="B580" i="14"/>
  <c r="B581" i="14" s="1"/>
  <c r="B582" i="14" s="1"/>
  <c r="B583" i="14" s="1"/>
  <c r="B584" i="14" s="1"/>
  <c r="B585" i="14" s="1"/>
  <c r="B586" i="14" s="1"/>
  <c r="B587" i="14" s="1"/>
  <c r="B588" i="14" s="1"/>
  <c r="B589" i="14" s="1"/>
  <c r="D658" i="14"/>
  <c r="D659" i="14" s="1"/>
  <c r="D660" i="14" s="1"/>
  <c r="D661" i="14" s="1"/>
  <c r="D662" i="14" s="1"/>
  <c r="D663" i="14" s="1"/>
  <c r="D601" i="14"/>
  <c r="D602" i="14" s="1"/>
  <c r="D603" i="14" s="1"/>
  <c r="D604" i="14" s="1"/>
  <c r="D605" i="14" s="1"/>
  <c r="D606" i="14" s="1"/>
  <c r="K53" i="20"/>
  <c r="K59" i="20" s="1"/>
  <c r="G53" i="20"/>
  <c r="G59" i="20" s="1"/>
  <c r="N53" i="20"/>
  <c r="N59" i="20" s="1"/>
  <c r="J53" i="20"/>
  <c r="J59" i="20" s="1"/>
  <c r="F53" i="20"/>
  <c r="F59" i="20" s="1"/>
  <c r="M53" i="20"/>
  <c r="M59" i="20" s="1"/>
  <c r="I53" i="20"/>
  <c r="I59" i="20" s="1"/>
  <c r="E53" i="20"/>
  <c r="E59" i="20" s="1"/>
  <c r="L53" i="20"/>
  <c r="L59" i="20" s="1"/>
  <c r="H53" i="20"/>
  <c r="H59" i="20" s="1"/>
  <c r="D53" i="20"/>
  <c r="D59" i="20" s="1"/>
  <c r="K53" i="21"/>
  <c r="K59" i="21" s="1"/>
  <c r="N53" i="21"/>
  <c r="N59" i="21" s="1"/>
  <c r="J53" i="21"/>
  <c r="J59" i="21" s="1"/>
  <c r="F53" i="21"/>
  <c r="F59" i="21" s="1"/>
  <c r="M53" i="21"/>
  <c r="M59" i="21" s="1"/>
  <c r="I53" i="21"/>
  <c r="I59" i="21" s="1"/>
  <c r="E53" i="21"/>
  <c r="E59" i="21" s="1"/>
  <c r="L53" i="21"/>
  <c r="L59" i="21" s="1"/>
  <c r="D53" i="21"/>
  <c r="D59" i="21" s="1"/>
  <c r="M53" i="22"/>
  <c r="M59" i="22" s="1"/>
  <c r="I53" i="22"/>
  <c r="I59" i="22" s="1"/>
  <c r="E53" i="22"/>
  <c r="E59" i="22" s="1"/>
  <c r="G53" i="22"/>
  <c r="G59" i="22" s="1"/>
  <c r="E34" i="39" l="1"/>
  <c r="O32" i="39"/>
  <c r="O34" i="39" s="1"/>
  <c r="D52" i="31"/>
  <c r="H52" i="31"/>
  <c r="C52" i="31"/>
  <c r="E52" i="31"/>
  <c r="G52" i="31"/>
  <c r="I52" i="31"/>
  <c r="K52" i="31"/>
  <c r="F52" i="31"/>
  <c r="J52" i="31"/>
  <c r="D52" i="30"/>
  <c r="F52" i="30"/>
  <c r="H52" i="30"/>
  <c r="J52" i="30"/>
  <c r="C52" i="30"/>
  <c r="E52" i="30"/>
  <c r="G52" i="30"/>
  <c r="I52" i="30"/>
  <c r="K52" i="30"/>
  <c r="E52" i="32"/>
  <c r="G52" i="32"/>
  <c r="I52" i="32"/>
  <c r="K52" i="32"/>
  <c r="D52" i="32"/>
  <c r="F52" i="32"/>
  <c r="H52" i="32"/>
  <c r="J52" i="32"/>
  <c r="C52" i="32"/>
  <c r="G52" i="29"/>
  <c r="K52" i="29"/>
  <c r="D52" i="29"/>
  <c r="F52" i="29"/>
  <c r="H52" i="29"/>
  <c r="J52" i="29"/>
  <c r="C52" i="29"/>
  <c r="E52" i="29"/>
  <c r="I52" i="29"/>
  <c r="F892" i="14"/>
  <c r="J36" i="29"/>
  <c r="C892" i="14"/>
  <c r="D892" i="14" s="1"/>
  <c r="E893" i="14" s="1"/>
  <c r="C754" i="14"/>
  <c r="D754" i="14" s="1"/>
  <c r="E755" i="14" s="1"/>
  <c r="I36" i="32" s="1"/>
  <c r="B656" i="14"/>
  <c r="E656" i="14" s="1"/>
  <c r="B657" i="14"/>
  <c r="E657" i="14" s="1"/>
  <c r="N53" i="22"/>
  <c r="N59" i="22" s="1"/>
  <c r="J53" i="22"/>
  <c r="J59" i="22" s="1"/>
  <c r="F53" i="22"/>
  <c r="F59" i="22" s="1"/>
  <c r="O53" i="21"/>
  <c r="O59" i="21" s="1"/>
  <c r="D53" i="22"/>
  <c r="D59" i="22" s="1"/>
  <c r="L53" i="22"/>
  <c r="L59" i="22" s="1"/>
  <c r="H53" i="22"/>
  <c r="H59" i="22" s="1"/>
  <c r="O53" i="22"/>
  <c r="O59" i="22" s="1"/>
  <c r="D47" i="21"/>
  <c r="D724" i="14"/>
  <c r="C634" i="14"/>
  <c r="F578" i="14"/>
  <c r="C578" i="14"/>
  <c r="D664" i="14"/>
  <c r="D665" i="14" s="1"/>
  <c r="D666" i="14" s="1"/>
  <c r="D667" i="14" s="1"/>
  <c r="D607" i="14"/>
  <c r="D608" i="14" s="1"/>
  <c r="D609" i="14" s="1"/>
  <c r="D610" i="14" s="1"/>
  <c r="I53" i="29" l="1"/>
  <c r="I59" i="29" s="1"/>
  <c r="C53" i="29"/>
  <c r="C59" i="29" s="1"/>
  <c r="H53" i="29"/>
  <c r="H59" i="29" s="1"/>
  <c r="D53" i="29"/>
  <c r="D59" i="29" s="1"/>
  <c r="G53" i="29"/>
  <c r="G59" i="29" s="1"/>
  <c r="J53" i="32"/>
  <c r="J59" i="32" s="1"/>
  <c r="F53" i="32"/>
  <c r="F59" i="32" s="1"/>
  <c r="K53" i="32"/>
  <c r="K59" i="32" s="1"/>
  <c r="G53" i="32"/>
  <c r="G59" i="32" s="1"/>
  <c r="K53" i="30"/>
  <c r="K59" i="30" s="1"/>
  <c r="G53" i="30"/>
  <c r="G59" i="30" s="1"/>
  <c r="C53" i="30"/>
  <c r="C59" i="30" s="1"/>
  <c r="H53" i="30"/>
  <c r="H59" i="30" s="1"/>
  <c r="D53" i="30"/>
  <c r="D59" i="30" s="1"/>
  <c r="F53" i="31"/>
  <c r="F59" i="31" s="1"/>
  <c r="I53" i="31"/>
  <c r="I59" i="31" s="1"/>
  <c r="E53" i="31"/>
  <c r="E59" i="31" s="1"/>
  <c r="H53" i="31"/>
  <c r="H59" i="31" s="1"/>
  <c r="E53" i="29"/>
  <c r="E59" i="29" s="1"/>
  <c r="J53" i="29"/>
  <c r="J59" i="29" s="1"/>
  <c r="F53" i="29"/>
  <c r="F59" i="29" s="1"/>
  <c r="K53" i="29"/>
  <c r="K59" i="29" s="1"/>
  <c r="H53" i="32"/>
  <c r="H59" i="32" s="1"/>
  <c r="D53" i="32"/>
  <c r="D59" i="32" s="1"/>
  <c r="I53" i="32"/>
  <c r="I59" i="32" s="1"/>
  <c r="E53" i="32"/>
  <c r="E59" i="32" s="1"/>
  <c r="I53" i="30"/>
  <c r="I59" i="30" s="1"/>
  <c r="E53" i="30"/>
  <c r="E59" i="30" s="1"/>
  <c r="J53" i="30"/>
  <c r="J59" i="30" s="1"/>
  <c r="F53" i="30"/>
  <c r="F59" i="30" s="1"/>
  <c r="J53" i="31"/>
  <c r="J59" i="31" s="1"/>
  <c r="K53" i="31"/>
  <c r="K59" i="31" s="1"/>
  <c r="G53" i="31"/>
  <c r="G59" i="31" s="1"/>
  <c r="C53" i="31"/>
  <c r="C59" i="31" s="1"/>
  <c r="D53" i="31"/>
  <c r="D59" i="31" s="1"/>
  <c r="F893" i="14"/>
  <c r="K36" i="29"/>
  <c r="J47" i="29"/>
  <c r="B911" i="14"/>
  <c r="C893" i="14"/>
  <c r="F755" i="14"/>
  <c r="B774" i="14" s="1"/>
  <c r="C755" i="14"/>
  <c r="D755" i="14" s="1"/>
  <c r="E756" i="14" s="1"/>
  <c r="J36" i="32" s="1"/>
  <c r="E58" i="32"/>
  <c r="D58" i="21"/>
  <c r="D725" i="14"/>
  <c r="E36" i="21"/>
  <c r="D634" i="14"/>
  <c r="E635" i="14" s="1"/>
  <c r="F635" i="14" s="1"/>
  <c r="D47" i="22"/>
  <c r="D58" i="22" s="1"/>
  <c r="B599" i="14"/>
  <c r="E599" i="14" s="1"/>
  <c r="D578" i="14"/>
  <c r="E579" i="14" s="1"/>
  <c r="J58" i="29" l="1"/>
  <c r="K47" i="29"/>
  <c r="B912" i="14"/>
  <c r="D893" i="14"/>
  <c r="F756" i="14"/>
  <c r="B775" i="14" s="1"/>
  <c r="B658" i="14"/>
  <c r="E658" i="14" s="1"/>
  <c r="E47" i="21"/>
  <c r="E58" i="21" s="1"/>
  <c r="D726" i="14"/>
  <c r="E36" i="22"/>
  <c r="F579" i="14"/>
  <c r="B600" i="14" s="1"/>
  <c r="E600" i="14" s="1"/>
  <c r="C579" i="14"/>
  <c r="D579" i="14" s="1"/>
  <c r="E580" i="14" s="1"/>
  <c r="F580" i="14" s="1"/>
  <c r="B601" i="14" s="1"/>
  <c r="K58" i="29" l="1"/>
  <c r="C756" i="14"/>
  <c r="D756" i="14" s="1"/>
  <c r="E757" i="14" s="1"/>
  <c r="K36" i="32" s="1"/>
  <c r="F58" i="32"/>
  <c r="D727" i="14"/>
  <c r="F757" i="14" l="1"/>
  <c r="B776" i="14" s="1"/>
  <c r="B777" i="14" s="1"/>
  <c r="D728" i="14"/>
  <c r="C757" i="14" l="1"/>
  <c r="D729" i="14"/>
  <c r="D757" i="14" l="1"/>
  <c r="AD20" i="6" l="1"/>
  <c r="AE20" i="6"/>
  <c r="AF20" i="6"/>
  <c r="AG20" i="6"/>
  <c r="AH20" i="6"/>
  <c r="AI20" i="6"/>
  <c r="AJ20" i="6"/>
  <c r="AK20" i="6"/>
  <c r="AD21" i="6"/>
  <c r="AE21" i="6"/>
  <c r="AF21" i="6"/>
  <c r="AG21" i="6"/>
  <c r="AH21" i="6"/>
  <c r="AI21" i="6"/>
  <c r="AJ21" i="6"/>
  <c r="AK21" i="6"/>
  <c r="AD22" i="6"/>
  <c r="AE22" i="6"/>
  <c r="AF22" i="6"/>
  <c r="AG22" i="6"/>
  <c r="AH22" i="6"/>
  <c r="AI22" i="6"/>
  <c r="AJ22" i="6"/>
  <c r="AK22" i="6"/>
  <c r="AC20" i="6"/>
  <c r="AC21" i="6"/>
  <c r="AC22" i="6"/>
  <c r="AB20" i="6"/>
  <c r="AB21" i="6"/>
  <c r="AB22" i="6"/>
  <c r="AA20" i="6"/>
  <c r="AA21" i="6"/>
  <c r="AA22" i="6"/>
  <c r="C158" i="5"/>
  <c r="C157" i="5"/>
  <c r="B159" i="5"/>
  <c r="D159" i="5" s="1"/>
  <c r="B158" i="5"/>
  <c r="B157" i="5"/>
  <c r="C150" i="5"/>
  <c r="C190" i="5" s="1"/>
  <c r="C149" i="5"/>
  <c r="C189" i="5" s="1"/>
  <c r="B151" i="5"/>
  <c r="B150" i="5"/>
  <c r="B190" i="5" s="1"/>
  <c r="B149" i="5"/>
  <c r="B189" i="5" s="1"/>
  <c r="D120" i="5"/>
  <c r="D121" i="5" s="1"/>
  <c r="D142" i="5"/>
  <c r="D166" i="5" s="1"/>
  <c r="D141" i="5"/>
  <c r="D165" i="5" s="1"/>
  <c r="C142" i="5"/>
  <c r="C141" i="5"/>
  <c r="B143" i="5"/>
  <c r="B142" i="5"/>
  <c r="B141" i="5"/>
  <c r="B133" i="5"/>
  <c r="D158" i="5"/>
  <c r="D157" i="5"/>
  <c r="D150" i="5"/>
  <c r="D149" i="5"/>
  <c r="C106" i="5"/>
  <c r="B106" i="5"/>
  <c r="D105" i="5"/>
  <c r="C105" i="5"/>
  <c r="B105" i="5"/>
  <c r="D104" i="5"/>
  <c r="C104" i="5"/>
  <c r="B104" i="5"/>
  <c r="B98" i="5"/>
  <c r="D97" i="5"/>
  <c r="C97" i="5"/>
  <c r="B97" i="5"/>
  <c r="D96" i="5"/>
  <c r="C33" i="21" s="1"/>
  <c r="C34" i="21" s="1"/>
  <c r="C96" i="5"/>
  <c r="B96" i="5"/>
  <c r="D90" i="5"/>
  <c r="D91" i="5" s="1"/>
  <c r="B135" i="5"/>
  <c r="D135" i="5" s="1"/>
  <c r="D134" i="5"/>
  <c r="C134" i="5"/>
  <c r="B134" i="5"/>
  <c r="D133" i="5"/>
  <c r="C133" i="5"/>
  <c r="B127" i="5"/>
  <c r="D127" i="5" s="1"/>
  <c r="D126" i="5"/>
  <c r="C126" i="5"/>
  <c r="B126" i="5"/>
  <c r="D125" i="5"/>
  <c r="C125" i="5"/>
  <c r="B125" i="5"/>
  <c r="AJ18" i="7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30" i="12"/>
  <c r="AI18" i="7"/>
  <c r="AD18" i="7"/>
  <c r="AH18" i="7"/>
  <c r="AG18" i="7"/>
  <c r="AF18" i="7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AE18" i="7"/>
  <c r="D34" i="6"/>
  <c r="D35" i="6"/>
  <c r="D36" i="6"/>
  <c r="C36" i="6"/>
  <c r="C35" i="6"/>
  <c r="C34" i="6"/>
  <c r="AC18" i="7"/>
  <c r="AB18" i="7"/>
  <c r="B424" i="14"/>
  <c r="B234" i="14"/>
  <c r="D41" i="12"/>
  <c r="D42" i="12"/>
  <c r="B42" i="12" s="1"/>
  <c r="D40" i="11"/>
  <c r="B43" i="14"/>
  <c r="D41" i="11"/>
  <c r="D42" i="11"/>
  <c r="B7" i="18"/>
  <c r="C7" i="18" s="1"/>
  <c r="D40" i="12"/>
  <c r="B40" i="12" s="1"/>
  <c r="D43" i="12"/>
  <c r="D44" i="12"/>
  <c r="D45" i="12"/>
  <c r="D46" i="12"/>
  <c r="B46" i="12" s="1"/>
  <c r="D47" i="12"/>
  <c r="D48" i="12"/>
  <c r="B48" i="12" s="1"/>
  <c r="D49" i="12"/>
  <c r="B49" i="12" s="1"/>
  <c r="D50" i="12"/>
  <c r="B50" i="12" s="1"/>
  <c r="D51" i="12"/>
  <c r="B51" i="12" s="1"/>
  <c r="D43" i="11"/>
  <c r="B43" i="11" s="1"/>
  <c r="D44" i="11"/>
  <c r="D45" i="11"/>
  <c r="D46" i="11"/>
  <c r="D47" i="11"/>
  <c r="B47" i="11" s="1"/>
  <c r="D48" i="11"/>
  <c r="D49" i="11"/>
  <c r="B49" i="11" s="1"/>
  <c r="D50" i="11"/>
  <c r="B50" i="11" s="1"/>
  <c r="D51" i="11"/>
  <c r="B51" i="11" s="1"/>
  <c r="AB43" i="9"/>
  <c r="AC43" i="9"/>
  <c r="AD43" i="9"/>
  <c r="AE43" i="9"/>
  <c r="AF43" i="9"/>
  <c r="AG43" i="9"/>
  <c r="AH43" i="9"/>
  <c r="AI43" i="9"/>
  <c r="AJ43" i="9"/>
  <c r="AK43" i="9"/>
  <c r="AL43" i="9"/>
  <c r="AA43" i="9"/>
  <c r="AB43" i="8"/>
  <c r="AC43" i="8"/>
  <c r="AD43" i="8"/>
  <c r="AE43" i="8"/>
  <c r="AF43" i="8"/>
  <c r="AG43" i="8"/>
  <c r="AH43" i="8"/>
  <c r="AI43" i="8"/>
  <c r="AJ43" i="8"/>
  <c r="AK43" i="8"/>
  <c r="AL43" i="8"/>
  <c r="AA43" i="8"/>
  <c r="AB43" i="1"/>
  <c r="AC43" i="1"/>
  <c r="AD43" i="1"/>
  <c r="AE43" i="1"/>
  <c r="AF43" i="1"/>
  <c r="AG43" i="1"/>
  <c r="AH43" i="1"/>
  <c r="AI43" i="1"/>
  <c r="AJ43" i="1"/>
  <c r="AK43" i="1"/>
  <c r="AL43" i="1"/>
  <c r="AA43" i="1"/>
  <c r="C46" i="13"/>
  <c r="C47" i="13"/>
  <c r="C48" i="13"/>
  <c r="C49" i="13"/>
  <c r="C50" i="13"/>
  <c r="C51" i="13"/>
  <c r="D51" i="13"/>
  <c r="D494" i="14"/>
  <c r="D530" i="14" s="1"/>
  <c r="B393" i="14"/>
  <c r="B394" i="14"/>
  <c r="B395" i="14"/>
  <c r="B396" i="14"/>
  <c r="A492" i="14"/>
  <c r="B401" i="14"/>
  <c r="B400" i="14"/>
  <c r="B399" i="14"/>
  <c r="B398" i="14"/>
  <c r="C50" i="4"/>
  <c r="C52" i="4" s="1"/>
  <c r="E49" i="4"/>
  <c r="E494" i="14"/>
  <c r="B388" i="14"/>
  <c r="B389" i="14"/>
  <c r="B390" i="14"/>
  <c r="B391" i="14"/>
  <c r="D123" i="14"/>
  <c r="D313" i="14"/>
  <c r="E313" i="14" s="1"/>
  <c r="B200" i="14"/>
  <c r="B201" i="14"/>
  <c r="B202" i="14"/>
  <c r="B203" i="14"/>
  <c r="B205" i="14"/>
  <c r="D327" i="14"/>
  <c r="D328" i="14" s="1"/>
  <c r="B206" i="14"/>
  <c r="B207" i="14"/>
  <c r="B208" i="14"/>
  <c r="E47" i="4"/>
  <c r="E48" i="4"/>
  <c r="E51" i="4"/>
  <c r="D51" i="4" s="1"/>
  <c r="D65" i="5"/>
  <c r="D66" i="5" s="1"/>
  <c r="B81" i="5"/>
  <c r="D79" i="5"/>
  <c r="D80" i="5"/>
  <c r="C80" i="5"/>
  <c r="B80" i="5"/>
  <c r="C79" i="5"/>
  <c r="B79" i="5"/>
  <c r="B73" i="5"/>
  <c r="D71" i="5"/>
  <c r="D72" i="5"/>
  <c r="C72" i="5"/>
  <c r="B72" i="5"/>
  <c r="C71" i="5"/>
  <c r="B71" i="5"/>
  <c r="AA18" i="7"/>
  <c r="AE17" i="7"/>
  <c r="Z18" i="7"/>
  <c r="D39" i="12"/>
  <c r="B210" i="14"/>
  <c r="B211" i="14"/>
  <c r="B212" i="14"/>
  <c r="B213" i="14"/>
  <c r="D39" i="11"/>
  <c r="B51" i="13"/>
  <c r="D50" i="13"/>
  <c r="B50" i="13" s="1"/>
  <c r="D49" i="13"/>
  <c r="B49" i="13" s="1"/>
  <c r="D48" i="13"/>
  <c r="B48" i="13" s="1"/>
  <c r="D47" i="13"/>
  <c r="B47" i="13" s="1"/>
  <c r="D46" i="13"/>
  <c r="B46" i="13" s="1"/>
  <c r="D45" i="13"/>
  <c r="C45" i="13"/>
  <c r="D44" i="13"/>
  <c r="B44" i="13" s="1"/>
  <c r="D43" i="13"/>
  <c r="B43" i="13" s="1"/>
  <c r="D42" i="13"/>
  <c r="B42" i="13" s="1"/>
  <c r="D41" i="13"/>
  <c r="B41" i="13" s="1"/>
  <c r="D40" i="13"/>
  <c r="B40" i="13" s="1"/>
  <c r="B44" i="12"/>
  <c r="B41" i="12"/>
  <c r="B41" i="11"/>
  <c r="B40" i="11"/>
  <c r="D18" i="13"/>
  <c r="D19" i="13"/>
  <c r="D20" i="13"/>
  <c r="D21" i="13"/>
  <c r="D22" i="13"/>
  <c r="D23" i="13"/>
  <c r="B6" i="18" s="1"/>
  <c r="D24" i="13"/>
  <c r="D25" i="13"/>
  <c r="D26" i="13"/>
  <c r="D27" i="13"/>
  <c r="D28" i="13"/>
  <c r="D29" i="13"/>
  <c r="D30" i="13"/>
  <c r="D31" i="13"/>
  <c r="D33" i="13"/>
  <c r="D34" i="13"/>
  <c r="D35" i="13"/>
  <c r="D36" i="13"/>
  <c r="D37" i="13"/>
  <c r="D38" i="13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B32" i="12" s="1"/>
  <c r="D33" i="12"/>
  <c r="D34" i="12"/>
  <c r="D35" i="12"/>
  <c r="D36" i="12"/>
  <c r="D37" i="12"/>
  <c r="I21" i="19" s="1"/>
  <c r="J21" i="19" s="1"/>
  <c r="D38" i="12"/>
  <c r="I22" i="19" s="1"/>
  <c r="J22" i="19" s="1"/>
  <c r="D18" i="11"/>
  <c r="B18" i="11" s="1"/>
  <c r="D19" i="11"/>
  <c r="D20" i="11"/>
  <c r="B20" i="11" s="1"/>
  <c r="D21" i="11"/>
  <c r="B21" i="11" s="1"/>
  <c r="D22" i="11"/>
  <c r="B22" i="11" s="1"/>
  <c r="D23" i="11"/>
  <c r="D24" i="11"/>
  <c r="B24" i="11" s="1"/>
  <c r="D25" i="11"/>
  <c r="B25" i="11" s="1"/>
  <c r="D26" i="11"/>
  <c r="B26" i="11" s="1"/>
  <c r="D27" i="11"/>
  <c r="D28" i="11"/>
  <c r="B28" i="11" s="1"/>
  <c r="D29" i="11"/>
  <c r="D30" i="11"/>
  <c r="B30" i="11" s="1"/>
  <c r="D31" i="11"/>
  <c r="D32" i="11"/>
  <c r="B32" i="11" s="1"/>
  <c r="D33" i="11"/>
  <c r="B6" i="17" s="1"/>
  <c r="D34" i="11"/>
  <c r="B34" i="11" s="1"/>
  <c r="D35" i="11"/>
  <c r="B35" i="11" s="1"/>
  <c r="D36" i="11"/>
  <c r="B36" i="11" s="1"/>
  <c r="D37" i="11"/>
  <c r="D38" i="11"/>
  <c r="B38" i="11" s="1"/>
  <c r="AL34" i="1"/>
  <c r="AK34" i="1"/>
  <c r="AJ34" i="1"/>
  <c r="AI34" i="1"/>
  <c r="AH34" i="1"/>
  <c r="AG34" i="1"/>
  <c r="AF34" i="1"/>
  <c r="AE33" i="1"/>
  <c r="AE34" i="1" s="1"/>
  <c r="AD33" i="1"/>
  <c r="AD34" i="1" s="1"/>
  <c r="AC33" i="1"/>
  <c r="AC34" i="1" s="1"/>
  <c r="AB33" i="1"/>
  <c r="AB34" i="1" s="1"/>
  <c r="AA33" i="1"/>
  <c r="AA34" i="1" s="1"/>
  <c r="AL19" i="7"/>
  <c r="AL20" i="7"/>
  <c r="AL21" i="7" s="1"/>
  <c r="AK19" i="7"/>
  <c r="AK20" i="7"/>
  <c r="AK21" i="7" s="1"/>
  <c r="AJ19" i="7"/>
  <c r="AJ20" i="7"/>
  <c r="AJ21" i="7" s="1"/>
  <c r="AI19" i="7"/>
  <c r="AI20" i="7"/>
  <c r="AI21" i="7" s="1"/>
  <c r="AH19" i="7"/>
  <c r="AH20" i="7"/>
  <c r="AH21" i="7" s="1"/>
  <c r="AG19" i="7"/>
  <c r="AG20" i="7"/>
  <c r="AG21" i="7" s="1"/>
  <c r="AF19" i="7"/>
  <c r="AF20" i="7"/>
  <c r="AF21" i="7" s="1"/>
  <c r="AE19" i="7"/>
  <c r="AE20" i="7"/>
  <c r="AE21" i="7" s="1"/>
  <c r="AD19" i="7"/>
  <c r="AD20" i="7"/>
  <c r="AD21" i="7" s="1"/>
  <c r="AC19" i="7"/>
  <c r="AC20" i="7"/>
  <c r="AC21" i="7"/>
  <c r="AB19" i="7"/>
  <c r="AB20" i="7"/>
  <c r="AB21" i="7" s="1"/>
  <c r="AB22" i="7" s="1"/>
  <c r="AB30" i="6" s="1"/>
  <c r="AA14" i="10" s="1"/>
  <c r="AA49" i="10" s="1"/>
  <c r="AA19" i="7"/>
  <c r="AA20" i="7"/>
  <c r="AA21" i="7" s="1"/>
  <c r="AA22" i="7" s="1"/>
  <c r="AA30" i="6" s="1"/>
  <c r="Z14" i="10" s="1"/>
  <c r="Z49" i="10" s="1"/>
  <c r="AI21" i="10"/>
  <c r="AI56" i="10" s="1"/>
  <c r="AF21" i="10"/>
  <c r="AF56" i="10" s="1"/>
  <c r="AC21" i="10"/>
  <c r="AC56" i="10" s="1"/>
  <c r="Z21" i="10"/>
  <c r="Z56" i="10" s="1"/>
  <c r="W21" i="10"/>
  <c r="W56" i="10" s="1"/>
  <c r="X21" i="10"/>
  <c r="X56" i="10" s="1"/>
  <c r="T21" i="10"/>
  <c r="T56" i="10" s="1"/>
  <c r="Q21" i="10"/>
  <c r="Q56" i="10" s="1"/>
  <c r="N21" i="10"/>
  <c r="N56" i="10" s="1"/>
  <c r="E43" i="1"/>
  <c r="E43" i="8"/>
  <c r="E43" i="9"/>
  <c r="C17" i="6"/>
  <c r="C18" i="6"/>
  <c r="C19" i="6"/>
  <c r="B14" i="10"/>
  <c r="B49" i="10" s="1"/>
  <c r="D17" i="6"/>
  <c r="D18" i="6"/>
  <c r="D19" i="6"/>
  <c r="C14" i="10"/>
  <c r="C49" i="10" s="1"/>
  <c r="B21" i="10"/>
  <c r="B56" i="10"/>
  <c r="C21" i="10"/>
  <c r="C56" i="10"/>
  <c r="F43" i="1"/>
  <c r="F43" i="8"/>
  <c r="F43" i="9"/>
  <c r="G43" i="1"/>
  <c r="G43" i="8"/>
  <c r="G43" i="9"/>
  <c r="H43" i="1"/>
  <c r="H43" i="8"/>
  <c r="H43" i="9"/>
  <c r="E21" i="10"/>
  <c r="E56" i="10" s="1"/>
  <c r="I43" i="1"/>
  <c r="I43" i="8"/>
  <c r="I43" i="9"/>
  <c r="J43" i="1"/>
  <c r="J43" i="8"/>
  <c r="J43" i="9"/>
  <c r="K43" i="1"/>
  <c r="K43" i="8"/>
  <c r="K43" i="9"/>
  <c r="H21" i="10"/>
  <c r="H56" i="10" s="1"/>
  <c r="J21" i="10"/>
  <c r="J56" i="10" s="1"/>
  <c r="L43" i="1"/>
  <c r="L43" i="8"/>
  <c r="L43" i="9"/>
  <c r="M43" i="1"/>
  <c r="M43" i="8"/>
  <c r="M43" i="9"/>
  <c r="N43" i="1"/>
  <c r="N43" i="8"/>
  <c r="N43" i="9"/>
  <c r="K21" i="10"/>
  <c r="K56" i="10" s="1"/>
  <c r="O33" i="1"/>
  <c r="O34" i="1" s="1"/>
  <c r="O43" i="1"/>
  <c r="O43" i="8"/>
  <c r="O43" i="9"/>
  <c r="O21" i="10"/>
  <c r="O56" i="10" s="1"/>
  <c r="P33" i="1"/>
  <c r="P34" i="1" s="1"/>
  <c r="P43" i="1"/>
  <c r="P43" i="8"/>
  <c r="P43" i="9"/>
  <c r="P21" i="10"/>
  <c r="P56" i="10" s="1"/>
  <c r="Q33" i="1"/>
  <c r="Q34" i="1" s="1"/>
  <c r="Q43" i="1"/>
  <c r="Q43" i="8"/>
  <c r="Q43" i="9"/>
  <c r="R33" i="1"/>
  <c r="R34" i="1" s="1"/>
  <c r="R43" i="1"/>
  <c r="R43" i="8"/>
  <c r="R43" i="9"/>
  <c r="S33" i="1"/>
  <c r="S34" i="1" s="1"/>
  <c r="S43" i="1"/>
  <c r="S43" i="8"/>
  <c r="S43" i="9"/>
  <c r="T33" i="1"/>
  <c r="T34" i="1" s="1"/>
  <c r="T43" i="1"/>
  <c r="T43" i="8"/>
  <c r="T43" i="9"/>
  <c r="U33" i="1"/>
  <c r="U34" i="1" s="1"/>
  <c r="U43" i="1"/>
  <c r="U43" i="8"/>
  <c r="U43" i="9"/>
  <c r="V33" i="1"/>
  <c r="V34" i="1" s="1"/>
  <c r="V43" i="1"/>
  <c r="V43" i="8"/>
  <c r="V43" i="9"/>
  <c r="W33" i="1"/>
  <c r="W34" i="1" s="1"/>
  <c r="W43" i="1"/>
  <c r="W43" i="8"/>
  <c r="W43" i="9"/>
  <c r="U21" i="10"/>
  <c r="U56" i="10" s="1"/>
  <c r="V21" i="10"/>
  <c r="V56" i="10" s="1"/>
  <c r="X33" i="1"/>
  <c r="X34" i="1" s="1"/>
  <c r="X43" i="1"/>
  <c r="X43" i="8"/>
  <c r="X43" i="9"/>
  <c r="Y33" i="1"/>
  <c r="Y34" i="1" s="1"/>
  <c r="Y43" i="1"/>
  <c r="Y43" i="8"/>
  <c r="Y43" i="9"/>
  <c r="Z33" i="1"/>
  <c r="Z34" i="1" s="1"/>
  <c r="Z43" i="1"/>
  <c r="Z43" i="8"/>
  <c r="Z43" i="9"/>
  <c r="Z19" i="7"/>
  <c r="AA21" i="10"/>
  <c r="AA56" i="10" s="1"/>
  <c r="AB21" i="10"/>
  <c r="AB56" i="10" s="1"/>
  <c r="AD21" i="10"/>
  <c r="AD56" i="10" s="1"/>
  <c r="AG21" i="10"/>
  <c r="AG56" i="10" s="1"/>
  <c r="AH21" i="10"/>
  <c r="AH56" i="10" s="1"/>
  <c r="AK21" i="10"/>
  <c r="AK56" i="10" s="1"/>
  <c r="Y18" i="7"/>
  <c r="X18" i="7"/>
  <c r="C18" i="12"/>
  <c r="C19" i="12"/>
  <c r="C20" i="12"/>
  <c r="B20" i="12" s="1"/>
  <c r="C21" i="12"/>
  <c r="C22" i="12"/>
  <c r="B22" i="12" s="1"/>
  <c r="C23" i="12"/>
  <c r="C24" i="12"/>
  <c r="B24" i="12" s="1"/>
  <c r="C25" i="12"/>
  <c r="C26" i="12"/>
  <c r="B26" i="12" s="1"/>
  <c r="C27" i="12"/>
  <c r="C28" i="12"/>
  <c r="B28" i="12" s="1"/>
  <c r="C29" i="12"/>
  <c r="B29" i="12" s="1"/>
  <c r="W18" i="7"/>
  <c r="D32" i="13"/>
  <c r="B32" i="13" s="1"/>
  <c r="V18" i="7"/>
  <c r="U18" i="7"/>
  <c r="T18" i="7"/>
  <c r="S18" i="7"/>
  <c r="P20" i="7"/>
  <c r="Q20" i="7"/>
  <c r="R20" i="7"/>
  <c r="S20" i="7"/>
  <c r="T20" i="7"/>
  <c r="U20" i="7"/>
  <c r="V20" i="7"/>
  <c r="W20" i="7"/>
  <c r="X20" i="7"/>
  <c r="Y20" i="7"/>
  <c r="Z20" i="7"/>
  <c r="O20" i="7"/>
  <c r="R18" i="7"/>
  <c r="Q18" i="7"/>
  <c r="E29" i="4"/>
  <c r="D29" i="4" s="1"/>
  <c r="E30" i="4"/>
  <c r="E32" i="4"/>
  <c r="D32" i="4" s="1"/>
  <c r="C31" i="4"/>
  <c r="C33" i="4" s="1"/>
  <c r="C45" i="5"/>
  <c r="P18" i="7"/>
  <c r="B53" i="5"/>
  <c r="D51" i="5"/>
  <c r="O33" i="9" s="1"/>
  <c r="O34" i="9" s="1"/>
  <c r="D52" i="5"/>
  <c r="B45" i="5"/>
  <c r="D43" i="5"/>
  <c r="D44" i="5"/>
  <c r="D37" i="5"/>
  <c r="D38" i="5" s="1"/>
  <c r="C52" i="5"/>
  <c r="B52" i="5"/>
  <c r="C51" i="5"/>
  <c r="B51" i="5"/>
  <c r="C44" i="5"/>
  <c r="B44" i="5"/>
  <c r="C43" i="5"/>
  <c r="B43" i="5"/>
  <c r="O18" i="7"/>
  <c r="B11" i="5"/>
  <c r="G33" i="1"/>
  <c r="G34" i="1" s="1"/>
  <c r="D26" i="5"/>
  <c r="D17" i="5"/>
  <c r="G33" i="8" s="1"/>
  <c r="G34" i="8" s="1"/>
  <c r="D18" i="5"/>
  <c r="C19" i="5"/>
  <c r="O19" i="7"/>
  <c r="O21" i="7"/>
  <c r="P19" i="7"/>
  <c r="P21" i="7"/>
  <c r="Q19" i="7"/>
  <c r="Q21" i="7"/>
  <c r="R19" i="7"/>
  <c r="R21" i="7"/>
  <c r="S21" i="7"/>
  <c r="S19" i="7"/>
  <c r="T21" i="7"/>
  <c r="T19" i="7"/>
  <c r="U21" i="7"/>
  <c r="U19" i="7"/>
  <c r="V21" i="7"/>
  <c r="V19" i="7"/>
  <c r="W21" i="7"/>
  <c r="W19" i="7"/>
  <c r="X21" i="7"/>
  <c r="X19" i="7"/>
  <c r="Y21" i="7"/>
  <c r="Y19" i="7"/>
  <c r="Z21" i="7"/>
  <c r="D39" i="13"/>
  <c r="B39" i="13" s="1"/>
  <c r="B28" i="13"/>
  <c r="B29" i="13"/>
  <c r="B30" i="13"/>
  <c r="B31" i="13"/>
  <c r="B33" i="13"/>
  <c r="B34" i="13"/>
  <c r="B35" i="13"/>
  <c r="B36" i="13"/>
  <c r="B37" i="13"/>
  <c r="B38" i="13"/>
  <c r="B30" i="12"/>
  <c r="B31" i="12"/>
  <c r="B33" i="12"/>
  <c r="B34" i="12"/>
  <c r="B35" i="12"/>
  <c r="B36" i="12"/>
  <c r="B37" i="12"/>
  <c r="B38" i="12"/>
  <c r="B39" i="12"/>
  <c r="B18" i="12"/>
  <c r="B19" i="12"/>
  <c r="B21" i="12"/>
  <c r="B23" i="12"/>
  <c r="B25" i="12"/>
  <c r="B27" i="12"/>
  <c r="B37" i="11"/>
  <c r="B39" i="11"/>
  <c r="B19" i="11"/>
  <c r="B23" i="11"/>
  <c r="B27" i="11"/>
  <c r="N18" i="7"/>
  <c r="N19" i="7" s="1"/>
  <c r="M18" i="7"/>
  <c r="M19" i="7" s="1"/>
  <c r="E5" i="15"/>
  <c r="C43" i="14" s="1"/>
  <c r="C20" i="15"/>
  <c r="C19" i="15"/>
  <c r="C18" i="15"/>
  <c r="B20" i="15"/>
  <c r="B19" i="15"/>
  <c r="B18" i="15"/>
  <c r="C12" i="15"/>
  <c r="J18" i="7"/>
  <c r="J19" i="7" s="1"/>
  <c r="K18" i="7"/>
  <c r="K19" i="7" s="1"/>
  <c r="I18" i="7"/>
  <c r="H18" i="7"/>
  <c r="G18" i="7"/>
  <c r="E7" i="15"/>
  <c r="C424" i="14" s="1"/>
  <c r="B27" i="13"/>
  <c r="B26" i="13"/>
  <c r="B25" i="13"/>
  <c r="B24" i="13"/>
  <c r="B22" i="13"/>
  <c r="B21" i="13"/>
  <c r="B20" i="13"/>
  <c r="M20" i="7"/>
  <c r="M21" i="7"/>
  <c r="L17" i="7"/>
  <c r="L19" i="7"/>
  <c r="L20" i="7"/>
  <c r="L21" i="7"/>
  <c r="K20" i="7"/>
  <c r="K21" i="7"/>
  <c r="J20" i="7"/>
  <c r="J21" i="7" s="1"/>
  <c r="I19" i="7"/>
  <c r="I20" i="7"/>
  <c r="I21" i="7" s="1"/>
  <c r="H17" i="7"/>
  <c r="H20" i="7"/>
  <c r="H21" i="7" s="1"/>
  <c r="G17" i="7"/>
  <c r="G19" i="7" s="1"/>
  <c r="G20" i="7"/>
  <c r="G21" i="7" s="1"/>
  <c r="F18" i="7"/>
  <c r="F17" i="7"/>
  <c r="F19" i="7"/>
  <c r="F20" i="7"/>
  <c r="F21" i="7"/>
  <c r="E17" i="7"/>
  <c r="E19" i="7"/>
  <c r="E20" i="7"/>
  <c r="E21" i="7" s="1"/>
  <c r="B19" i="13"/>
  <c r="B18" i="13"/>
  <c r="N20" i="7"/>
  <c r="N21" i="7" s="1"/>
  <c r="E6" i="15"/>
  <c r="C234" i="14" s="1"/>
  <c r="A31" i="14"/>
  <c r="A121" i="14"/>
  <c r="A222" i="14"/>
  <c r="A311" i="14"/>
  <c r="A412" i="14"/>
  <c r="C26" i="5"/>
  <c r="B26" i="5"/>
  <c r="C25" i="5"/>
  <c r="B25" i="5"/>
  <c r="C18" i="5"/>
  <c r="B18" i="5"/>
  <c r="C17" i="5"/>
  <c r="B17" i="5"/>
  <c r="E12" i="4"/>
  <c r="D12" i="4" s="1"/>
  <c r="E13" i="4"/>
  <c r="E15" i="4"/>
  <c r="D15" i="4" s="1"/>
  <c r="D13" i="4"/>
  <c r="C14" i="4"/>
  <c r="C16" i="4" s="1"/>
  <c r="AC22" i="7"/>
  <c r="AC30" i="6" s="1"/>
  <c r="AB14" i="10" s="1"/>
  <c r="AB49" i="10" s="1"/>
  <c r="B23" i="13"/>
  <c r="B33" i="11"/>
  <c r="C6" i="17" s="1"/>
  <c r="Z22" i="7"/>
  <c r="Z30" i="6" s="1"/>
  <c r="Y14" i="10" s="1"/>
  <c r="Y49" i="10" s="1"/>
  <c r="AE33" i="8"/>
  <c r="AE34" i="8" s="1"/>
  <c r="AD33" i="8"/>
  <c r="AD34" i="8" s="1"/>
  <c r="AC33" i="8"/>
  <c r="AC34" i="8" s="1"/>
  <c r="AB33" i="8"/>
  <c r="AB34" i="8" s="1"/>
  <c r="AA33" i="8"/>
  <c r="AA34" i="8" s="1"/>
  <c r="D25" i="5"/>
  <c r="E33" i="9" s="1"/>
  <c r="E34" i="9" s="1"/>
  <c r="Z33" i="8"/>
  <c r="Z34" i="8" s="1"/>
  <c r="X33" i="8"/>
  <c r="X34" i="8" s="1"/>
  <c r="W33" i="8"/>
  <c r="W34" i="8" s="1"/>
  <c r="U33" i="8"/>
  <c r="U34" i="8" s="1"/>
  <c r="T33" i="8"/>
  <c r="T34" i="8" s="1"/>
  <c r="R33" i="9"/>
  <c r="R34" i="9" s="1"/>
  <c r="R33" i="8"/>
  <c r="R34" i="8" s="1"/>
  <c r="Q33" i="9"/>
  <c r="Q34" i="9" s="1"/>
  <c r="Q33" i="8"/>
  <c r="Q34" i="8" s="1"/>
  <c r="P33" i="9"/>
  <c r="P34" i="9" s="1"/>
  <c r="P33" i="8"/>
  <c r="P34" i="8" s="1"/>
  <c r="O33" i="8"/>
  <c r="O34" i="8" s="1"/>
  <c r="M33" i="1"/>
  <c r="M34" i="1" s="1"/>
  <c r="K33" i="1"/>
  <c r="K34" i="1" s="1"/>
  <c r="I33" i="1"/>
  <c r="I34" i="1" s="1"/>
  <c r="E33" i="1"/>
  <c r="E34" i="1" s="1"/>
  <c r="F33" i="1"/>
  <c r="F34" i="1" s="1"/>
  <c r="AE33" i="9"/>
  <c r="AE34" i="9" s="1"/>
  <c r="AD33" i="9"/>
  <c r="AD34" i="9" s="1"/>
  <c r="AC33" i="9"/>
  <c r="AC34" i="9" s="1"/>
  <c r="AB33" i="9"/>
  <c r="AB34" i="9" s="1"/>
  <c r="AA33" i="9"/>
  <c r="AA34" i="9" s="1"/>
  <c r="Y33" i="9"/>
  <c r="Y34" i="9" s="1"/>
  <c r="Y33" i="8"/>
  <c r="Y34" i="8" s="1"/>
  <c r="V33" i="9"/>
  <c r="V34" i="9" s="1"/>
  <c r="V33" i="8"/>
  <c r="V34" i="8" s="1"/>
  <c r="S33" i="9"/>
  <c r="S34" i="9" s="1"/>
  <c r="S33" i="8"/>
  <c r="S34" i="8" s="1"/>
  <c r="N33" i="8"/>
  <c r="N34" i="8" s="1"/>
  <c r="N33" i="1"/>
  <c r="N34" i="1" s="1"/>
  <c r="L33" i="8"/>
  <c r="L34" i="8" s="1"/>
  <c r="L33" i="1"/>
  <c r="L34" i="1" s="1"/>
  <c r="J33" i="8"/>
  <c r="J34" i="8" s="1"/>
  <c r="J33" i="1"/>
  <c r="J34" i="1" s="1"/>
  <c r="H33" i="8"/>
  <c r="H34" i="8" s="1"/>
  <c r="H33" i="1"/>
  <c r="H34" i="1" s="1"/>
  <c r="B8" i="19"/>
  <c r="C8" i="19"/>
  <c r="B266" i="14" s="1"/>
  <c r="C9" i="19"/>
  <c r="B9" i="19"/>
  <c r="D50" i="4"/>
  <c r="D52" i="4" s="1"/>
  <c r="C7" i="17"/>
  <c r="B71" i="14" s="1"/>
  <c r="B7" i="17"/>
  <c r="C7" i="19"/>
  <c r="B262" i="14" s="1"/>
  <c r="B7" i="19"/>
  <c r="B6" i="19"/>
  <c r="C6" i="19"/>
  <c r="B253" i="14" s="1"/>
  <c r="C6" i="18"/>
  <c r="B432" i="14" s="1"/>
  <c r="B270" i="14"/>
  <c r="F33" i="9"/>
  <c r="F34" i="9" s="1"/>
  <c r="J33" i="9"/>
  <c r="J34" i="9" s="1"/>
  <c r="N33" i="9"/>
  <c r="N34" i="9" s="1"/>
  <c r="I33" i="9"/>
  <c r="I34" i="9" s="1"/>
  <c r="M33" i="9"/>
  <c r="M34" i="9" s="1"/>
  <c r="Y21" i="10"/>
  <c r="Y56" i="10" s="1"/>
  <c r="R21" i="10"/>
  <c r="R56" i="10" s="1"/>
  <c r="L21" i="10"/>
  <c r="L56" i="10" s="1"/>
  <c r="I21" i="10"/>
  <c r="I56" i="10" s="1"/>
  <c r="F21" i="10"/>
  <c r="F56" i="10" s="1"/>
  <c r="D21" i="10"/>
  <c r="D56" i="10" s="1"/>
  <c r="D81" i="5"/>
  <c r="D82" i="5" s="1"/>
  <c r="D83" i="5" s="1"/>
  <c r="AH26" i="9" s="1"/>
  <c r="AH66" i="9" s="1"/>
  <c r="B63" i="14"/>
  <c r="Z38" i="1"/>
  <c r="O38" i="1"/>
  <c r="V38" i="1"/>
  <c r="R38" i="1"/>
  <c r="Q38" i="1"/>
  <c r="U38" i="1"/>
  <c r="T38" i="1"/>
  <c r="C36" i="4"/>
  <c r="X38" i="1"/>
  <c r="W38" i="1"/>
  <c r="S38" i="1"/>
  <c r="P38" i="1"/>
  <c r="Y38" i="1"/>
  <c r="B19" i="5"/>
  <c r="D19" i="5" s="1"/>
  <c r="D45" i="5"/>
  <c r="D46" i="5" s="1"/>
  <c r="B13" i="18"/>
  <c r="S52" i="1"/>
  <c r="S53" i="1" s="1"/>
  <c r="S59" i="1" s="1"/>
  <c r="V52" i="1"/>
  <c r="V53" i="1" s="1"/>
  <c r="V59" i="1" s="1"/>
  <c r="R52" i="1"/>
  <c r="R53" i="1" s="1"/>
  <c r="R59" i="1" s="1"/>
  <c r="AC25" i="1"/>
  <c r="D39" i="5"/>
  <c r="AA26" i="1" s="1"/>
  <c r="AA66" i="1" s="1"/>
  <c r="W25" i="1"/>
  <c r="R25" i="1"/>
  <c r="Z25" i="1"/>
  <c r="AA25" i="1"/>
  <c r="Q25" i="1"/>
  <c r="Y25" i="1"/>
  <c r="T25" i="1"/>
  <c r="AD25" i="1"/>
  <c r="S25" i="1"/>
  <c r="O25" i="1"/>
  <c r="V25" i="1"/>
  <c r="AE25" i="1"/>
  <c r="AB25" i="1"/>
  <c r="U25" i="1"/>
  <c r="P25" i="1"/>
  <c r="X25" i="1"/>
  <c r="Y26" i="1"/>
  <c r="Y66" i="1" s="1"/>
  <c r="K33" i="9" l="1"/>
  <c r="K34" i="9" s="1"/>
  <c r="G33" i="9"/>
  <c r="G34" i="9" s="1"/>
  <c r="L33" i="9"/>
  <c r="L34" i="9" s="1"/>
  <c r="H33" i="9"/>
  <c r="H34" i="9" s="1"/>
  <c r="F33" i="8"/>
  <c r="F34" i="8" s="1"/>
  <c r="T33" i="9"/>
  <c r="T34" i="9" s="1"/>
  <c r="U33" i="9"/>
  <c r="U34" i="9" s="1"/>
  <c r="W33" i="9"/>
  <c r="W34" i="9" s="1"/>
  <c r="X33" i="9"/>
  <c r="X34" i="9" s="1"/>
  <c r="Z33" i="9"/>
  <c r="Z34" i="9" s="1"/>
  <c r="C64" i="13"/>
  <c r="B47" i="12"/>
  <c r="B43" i="12"/>
  <c r="C64" i="12"/>
  <c r="B64" i="12"/>
  <c r="D64" i="12"/>
  <c r="B9" i="17"/>
  <c r="I22" i="17"/>
  <c r="J22" i="17" s="1"/>
  <c r="B27" i="5"/>
  <c r="D27" i="5" s="1"/>
  <c r="D11" i="5"/>
  <c r="D12" i="5" s="1"/>
  <c r="D13" i="5" s="1"/>
  <c r="D64" i="13"/>
  <c r="E33" i="8"/>
  <c r="E34" i="8" s="1"/>
  <c r="I33" i="8"/>
  <c r="I34" i="8" s="1"/>
  <c r="K33" i="8"/>
  <c r="K34" i="8" s="1"/>
  <c r="M33" i="8"/>
  <c r="M34" i="8" s="1"/>
  <c r="O26" i="1"/>
  <c r="O66" i="1" s="1"/>
  <c r="W52" i="1"/>
  <c r="W53" i="1" s="1"/>
  <c r="W59" i="1" s="1"/>
  <c r="Z52" i="1"/>
  <c r="Z53" i="1" s="1"/>
  <c r="Z59" i="1" s="1"/>
  <c r="Q52" i="1"/>
  <c r="Q53" i="1" s="1"/>
  <c r="Q59" i="1" s="1"/>
  <c r="Y52" i="1"/>
  <c r="Y53" i="1" s="1"/>
  <c r="Y59" i="1" s="1"/>
  <c r="K22" i="7"/>
  <c r="K30" i="6" s="1"/>
  <c r="J14" i="10" s="1"/>
  <c r="J49" i="10" s="1"/>
  <c r="AE22" i="7"/>
  <c r="AE30" i="6" s="1"/>
  <c r="AD14" i="10" s="1"/>
  <c r="AD49" i="10" s="1"/>
  <c r="AF22" i="7"/>
  <c r="AF30" i="6" s="1"/>
  <c r="AE14" i="10" s="1"/>
  <c r="AE49" i="10" s="1"/>
  <c r="E33" i="32"/>
  <c r="G33" i="32"/>
  <c r="G34" i="32" s="1"/>
  <c r="I33" i="32"/>
  <c r="K33" i="32"/>
  <c r="K34" i="32" s="1"/>
  <c r="D33" i="32"/>
  <c r="F33" i="32"/>
  <c r="F34" i="32" s="1"/>
  <c r="H33" i="32"/>
  <c r="J33" i="32"/>
  <c r="J34" i="32" s="1"/>
  <c r="C33" i="32"/>
  <c r="B45" i="11"/>
  <c r="C9" i="17" s="1"/>
  <c r="B88" i="14" s="1"/>
  <c r="B46" i="11"/>
  <c r="B44" i="11"/>
  <c r="B48" i="11"/>
  <c r="B8" i="17"/>
  <c r="B31" i="11"/>
  <c r="B29" i="11"/>
  <c r="D7" i="19"/>
  <c r="B42" i="11"/>
  <c r="B45" i="13"/>
  <c r="B64" i="13" s="1"/>
  <c r="D162" i="14"/>
  <c r="D163" i="14" s="1"/>
  <c r="D164" i="14" s="1"/>
  <c r="D165" i="14" s="1"/>
  <c r="D166" i="14" s="1"/>
  <c r="D168" i="14" s="1"/>
  <c r="D172" i="14" s="1"/>
  <c r="D173" i="14" s="1"/>
  <c r="D174" i="14" s="1"/>
  <c r="D175" i="14" s="1"/>
  <c r="D176" i="14" s="1"/>
  <c r="D177" i="14" s="1"/>
  <c r="B857" i="14"/>
  <c r="C857" i="14" s="1"/>
  <c r="B813" i="14"/>
  <c r="C841" i="14"/>
  <c r="D841" i="14" s="1"/>
  <c r="E842" i="14" s="1"/>
  <c r="D36" i="30" s="1"/>
  <c r="E50" i="4"/>
  <c r="C55" i="4"/>
  <c r="AB38" i="1"/>
  <c r="AF38" i="1"/>
  <c r="AJ38" i="1"/>
  <c r="AC38" i="1"/>
  <c r="AG38" i="1"/>
  <c r="C56" i="4"/>
  <c r="AD38" i="1"/>
  <c r="AH38" i="1"/>
  <c r="AL38" i="1"/>
  <c r="AE38" i="1"/>
  <c r="AI38" i="1"/>
  <c r="AA38" i="1"/>
  <c r="AK38" i="1"/>
  <c r="O52" i="1"/>
  <c r="O53" i="1" s="1"/>
  <c r="O59" i="1" s="1"/>
  <c r="P52" i="1"/>
  <c r="P53" i="1" s="1"/>
  <c r="P59" i="1" s="1"/>
  <c r="B17" i="14"/>
  <c r="F33" i="14" s="1"/>
  <c r="T52" i="1"/>
  <c r="T53" i="1" s="1"/>
  <c r="T59" i="1" s="1"/>
  <c r="U52" i="1"/>
  <c r="U53" i="1" s="1"/>
  <c r="U59" i="1" s="1"/>
  <c r="X52" i="1"/>
  <c r="X53" i="1" s="1"/>
  <c r="X59" i="1" s="1"/>
  <c r="V26" i="1"/>
  <c r="V66" i="1" s="1"/>
  <c r="P26" i="1"/>
  <c r="P66" i="1" s="1"/>
  <c r="AN33" i="9"/>
  <c r="AN34" i="9" s="1"/>
  <c r="AP33" i="9"/>
  <c r="AP34" i="9" s="1"/>
  <c r="AR33" i="9"/>
  <c r="AR34" i="9" s="1"/>
  <c r="AT33" i="9"/>
  <c r="AT34" i="9" s="1"/>
  <c r="AV33" i="9"/>
  <c r="AV34" i="9" s="1"/>
  <c r="AX33" i="9"/>
  <c r="AX34" i="9" s="1"/>
  <c r="AO33" i="9"/>
  <c r="AO34" i="9" s="1"/>
  <c r="AQ33" i="9"/>
  <c r="AQ34" i="9" s="1"/>
  <c r="AS33" i="9"/>
  <c r="AS34" i="9" s="1"/>
  <c r="AU33" i="9"/>
  <c r="AU34" i="9" s="1"/>
  <c r="AW33" i="9"/>
  <c r="AW34" i="9" s="1"/>
  <c r="AM33" i="9"/>
  <c r="AM34" i="9" s="1"/>
  <c r="D136" i="5"/>
  <c r="C33" i="20"/>
  <c r="C34" i="20" s="1"/>
  <c r="C34" i="32"/>
  <c r="D106" i="5"/>
  <c r="D143" i="5"/>
  <c r="B167" i="5"/>
  <c r="B183" i="5"/>
  <c r="B175" i="5"/>
  <c r="D151" i="5"/>
  <c r="B191" i="5"/>
  <c r="AO33" i="8"/>
  <c r="AO34" i="8" s="1"/>
  <c r="AQ33" i="8"/>
  <c r="AQ34" i="8" s="1"/>
  <c r="AN33" i="8"/>
  <c r="AN34" i="8" s="1"/>
  <c r="AP33" i="8"/>
  <c r="AP34" i="8" s="1"/>
  <c r="AR33" i="8"/>
  <c r="AR34" i="8" s="1"/>
  <c r="AT33" i="8"/>
  <c r="AT34" i="8" s="1"/>
  <c r="AV33" i="8"/>
  <c r="AV34" i="8" s="1"/>
  <c r="AX33" i="8"/>
  <c r="AX34" i="8" s="1"/>
  <c r="AS33" i="8"/>
  <c r="AS34" i="8" s="1"/>
  <c r="AU33" i="8"/>
  <c r="AU34" i="8" s="1"/>
  <c r="AM33" i="8"/>
  <c r="AM34" i="8" s="1"/>
  <c r="AW33" i="8"/>
  <c r="AW34" i="8" s="1"/>
  <c r="AS25" i="1"/>
  <c r="AW25" i="1"/>
  <c r="AN25" i="1"/>
  <c r="AP25" i="1"/>
  <c r="AR25" i="1"/>
  <c r="AT25" i="1"/>
  <c r="AV25" i="1"/>
  <c r="AX25" i="1"/>
  <c r="AO25" i="1"/>
  <c r="AQ25" i="1"/>
  <c r="AU25" i="1"/>
  <c r="AM25" i="1"/>
  <c r="AG33" i="8"/>
  <c r="AG34" i="8" s="1"/>
  <c r="AI33" i="8"/>
  <c r="AI34" i="8" s="1"/>
  <c r="AK33" i="8"/>
  <c r="AK34" i="8" s="1"/>
  <c r="AF33" i="8"/>
  <c r="AF34" i="8" s="1"/>
  <c r="AH33" i="8"/>
  <c r="AH34" i="8" s="1"/>
  <c r="AJ33" i="8"/>
  <c r="AJ34" i="8" s="1"/>
  <c r="AL33" i="8"/>
  <c r="AL34" i="8" s="1"/>
  <c r="AH33" i="9"/>
  <c r="AH34" i="9" s="1"/>
  <c r="AJ33" i="9"/>
  <c r="AJ34" i="9" s="1"/>
  <c r="AL33" i="9"/>
  <c r="AL34" i="9" s="1"/>
  <c r="AG33" i="9"/>
  <c r="AG34" i="9" s="1"/>
  <c r="AI33" i="9"/>
  <c r="AI34" i="9" s="1"/>
  <c r="AK33" i="9"/>
  <c r="AK34" i="9" s="1"/>
  <c r="AF33" i="9"/>
  <c r="AF34" i="9" s="1"/>
  <c r="D144" i="5"/>
  <c r="B181" i="5"/>
  <c r="B173" i="5"/>
  <c r="B165" i="5"/>
  <c r="C182" i="5"/>
  <c r="C174" i="5"/>
  <c r="C166" i="5"/>
  <c r="D182" i="5"/>
  <c r="D174" i="5"/>
  <c r="D190" i="5" s="1"/>
  <c r="I34" i="32"/>
  <c r="E34" i="32"/>
  <c r="H34" i="32"/>
  <c r="D34" i="32"/>
  <c r="B182" i="5"/>
  <c r="B174" i="5"/>
  <c r="B166" i="5"/>
  <c r="C165" i="5"/>
  <c r="C181" i="5"/>
  <c r="C173" i="5"/>
  <c r="D181" i="5"/>
  <c r="D173" i="5"/>
  <c r="D124" i="14"/>
  <c r="E124" i="14" s="1"/>
  <c r="D531" i="14"/>
  <c r="D532" i="14" s="1"/>
  <c r="D533" i="14" s="1"/>
  <c r="D534" i="14" s="1"/>
  <c r="D535" i="14" s="1"/>
  <c r="D536" i="14" s="1"/>
  <c r="D537" i="14" s="1"/>
  <c r="D538" i="14" s="1"/>
  <c r="D539" i="14" s="1"/>
  <c r="D540" i="14" s="1"/>
  <c r="D541" i="14" s="1"/>
  <c r="D544" i="14"/>
  <c r="C37" i="6"/>
  <c r="B47" i="10" s="1"/>
  <c r="D329" i="14"/>
  <c r="D330" i="14" s="1"/>
  <c r="D332" i="14" s="1"/>
  <c r="D333" i="14" s="1"/>
  <c r="D334" i="14" s="1"/>
  <c r="E123" i="14"/>
  <c r="D180" i="14"/>
  <c r="F22" i="7"/>
  <c r="F30" i="6" s="1"/>
  <c r="E14" i="10" s="1"/>
  <c r="E49" i="10" s="1"/>
  <c r="L22" i="7"/>
  <c r="L30" i="6" s="1"/>
  <c r="K14" i="10" s="1"/>
  <c r="K49" i="10" s="1"/>
  <c r="M22" i="7"/>
  <c r="M30" i="6" s="1"/>
  <c r="L14" i="10" s="1"/>
  <c r="L49" i="10" s="1"/>
  <c r="D67" i="5"/>
  <c r="AG26" i="1" s="1"/>
  <c r="AG66" i="1" s="1"/>
  <c r="E52" i="4"/>
  <c r="B235" i="14"/>
  <c r="B236" i="14" s="1"/>
  <c r="AF26" i="9"/>
  <c r="AF66" i="9" s="1"/>
  <c r="AK26" i="9"/>
  <c r="AK66" i="9" s="1"/>
  <c r="AI26" i="9"/>
  <c r="AI66" i="9" s="1"/>
  <c r="AG26" i="9"/>
  <c r="AG66" i="9" s="1"/>
  <c r="C25" i="22"/>
  <c r="D92" i="5"/>
  <c r="C26" i="22" s="1"/>
  <c r="E33" i="20"/>
  <c r="E34" i="20" s="1"/>
  <c r="G33" i="20"/>
  <c r="G34" i="20" s="1"/>
  <c r="I33" i="20"/>
  <c r="I34" i="20" s="1"/>
  <c r="K33" i="20"/>
  <c r="K34" i="20" s="1"/>
  <c r="M33" i="20"/>
  <c r="M34" i="20" s="1"/>
  <c r="O33" i="20"/>
  <c r="O34" i="20" s="1"/>
  <c r="F33" i="20"/>
  <c r="F34" i="20" s="1"/>
  <c r="H33" i="20"/>
  <c r="H34" i="20" s="1"/>
  <c r="J33" i="20"/>
  <c r="J34" i="20" s="1"/>
  <c r="L33" i="20"/>
  <c r="L34" i="20" s="1"/>
  <c r="N33" i="20"/>
  <c r="N34" i="20" s="1"/>
  <c r="D33" i="20"/>
  <c r="D34" i="20" s="1"/>
  <c r="E33" i="21"/>
  <c r="E34" i="21" s="1"/>
  <c r="G33" i="21"/>
  <c r="G34" i="21" s="1"/>
  <c r="I33" i="21"/>
  <c r="I34" i="21" s="1"/>
  <c r="K33" i="21"/>
  <c r="K34" i="21" s="1"/>
  <c r="M33" i="21"/>
  <c r="M34" i="21" s="1"/>
  <c r="O33" i="21"/>
  <c r="O34" i="21" s="1"/>
  <c r="F33" i="21"/>
  <c r="F34" i="21" s="1"/>
  <c r="J33" i="21"/>
  <c r="J34" i="21" s="1"/>
  <c r="N33" i="21"/>
  <c r="N34" i="21" s="1"/>
  <c r="H33" i="21"/>
  <c r="H34" i="21" s="1"/>
  <c r="L33" i="21"/>
  <c r="L34" i="21" s="1"/>
  <c r="D33" i="21"/>
  <c r="D34" i="21" s="1"/>
  <c r="D33" i="22"/>
  <c r="AE26" i="1"/>
  <c r="AE66" i="1" s="1"/>
  <c r="X26" i="1"/>
  <c r="X66" i="1" s="1"/>
  <c r="AB26" i="1"/>
  <c r="AB66" i="1" s="1"/>
  <c r="S26" i="1"/>
  <c r="S66" i="1" s="1"/>
  <c r="I22" i="7"/>
  <c r="I30" i="6" s="1"/>
  <c r="H14" i="10" s="1"/>
  <c r="H49" i="10" s="1"/>
  <c r="H19" i="7"/>
  <c r="D18" i="15"/>
  <c r="D19" i="15"/>
  <c r="Y22" i="7"/>
  <c r="Y30" i="6" s="1"/>
  <c r="X14" i="10" s="1"/>
  <c r="X49" i="10" s="1"/>
  <c r="X22" i="7"/>
  <c r="X30" i="6" s="1"/>
  <c r="W14" i="10" s="1"/>
  <c r="W49" i="10" s="1"/>
  <c r="W22" i="7"/>
  <c r="W30" i="6" s="1"/>
  <c r="V14" i="10" s="1"/>
  <c r="V49" i="10" s="1"/>
  <c r="V22" i="7"/>
  <c r="V30" i="6" s="1"/>
  <c r="U14" i="10" s="1"/>
  <c r="U49" i="10" s="1"/>
  <c r="U22" i="7"/>
  <c r="U30" i="6" s="1"/>
  <c r="T14" i="10" s="1"/>
  <c r="T49" i="10" s="1"/>
  <c r="T22" i="7"/>
  <c r="T30" i="6" s="1"/>
  <c r="S14" i="10" s="1"/>
  <c r="S49" i="10" s="1"/>
  <c r="S22" i="7"/>
  <c r="S30" i="6" s="1"/>
  <c r="R14" i="10" s="1"/>
  <c r="R49" i="10" s="1"/>
  <c r="R22" i="7"/>
  <c r="R30" i="6" s="1"/>
  <c r="Q14" i="10" s="1"/>
  <c r="Q49" i="10" s="1"/>
  <c r="Q22" i="7"/>
  <c r="Q30" i="6" s="1"/>
  <c r="P14" i="10" s="1"/>
  <c r="P49" i="10" s="1"/>
  <c r="P22" i="7"/>
  <c r="P30" i="6" s="1"/>
  <c r="O14" i="10" s="1"/>
  <c r="O49" i="10" s="1"/>
  <c r="O22" i="7"/>
  <c r="O30" i="6" s="1"/>
  <c r="N14" i="10" s="1"/>
  <c r="N49" i="10" s="1"/>
  <c r="D53" i="5"/>
  <c r="D54" i="5" s="1"/>
  <c r="E31" i="4"/>
  <c r="E33" i="4" s="1"/>
  <c r="M21" i="10"/>
  <c r="M56" i="10" s="1"/>
  <c r="G21" i="10"/>
  <c r="G56" i="10" s="1"/>
  <c r="G49" i="4"/>
  <c r="F49" i="4"/>
  <c r="F50" i="4" s="1"/>
  <c r="F52" i="4" s="1"/>
  <c r="B425" i="14"/>
  <c r="B426" i="14" s="1"/>
  <c r="B427" i="14" s="1"/>
  <c r="B428" i="14" s="1"/>
  <c r="B429" i="14" s="1"/>
  <c r="B431" i="14" s="1"/>
  <c r="B433" i="14" s="1"/>
  <c r="B435" i="14" s="1"/>
  <c r="B436" i="14" s="1"/>
  <c r="B437" i="14" s="1"/>
  <c r="B438" i="14" s="1"/>
  <c r="B441" i="14" s="1"/>
  <c r="B442" i="14" s="1"/>
  <c r="B443" i="14" s="1"/>
  <c r="B444" i="14" s="1"/>
  <c r="B446" i="14" s="1"/>
  <c r="B447" i="14" s="1"/>
  <c r="B448" i="14" s="1"/>
  <c r="B450" i="14" s="1"/>
  <c r="B451" i="14" s="1"/>
  <c r="B452" i="14" s="1"/>
  <c r="B453" i="14" s="1"/>
  <c r="B454" i="14" s="1"/>
  <c r="B455" i="14" s="1"/>
  <c r="B456" i="14" s="1"/>
  <c r="B460" i="14" s="1"/>
  <c r="B461" i="14" s="1"/>
  <c r="B462" i="14" s="1"/>
  <c r="B463" i="14" s="1"/>
  <c r="B464" i="14" s="1"/>
  <c r="B465" i="14" s="1"/>
  <c r="B466" i="14" s="1"/>
  <c r="B467" i="14" s="1"/>
  <c r="B468" i="14" s="1"/>
  <c r="B469" i="14" s="1"/>
  <c r="B470" i="14" s="1"/>
  <c r="AL26" i="9"/>
  <c r="AL66" i="9" s="1"/>
  <c r="AJ26" i="9"/>
  <c r="AJ66" i="9" s="1"/>
  <c r="C98" i="5"/>
  <c r="D98" i="5" s="1"/>
  <c r="D99" i="5" s="1"/>
  <c r="D27" i="6"/>
  <c r="C12" i="10" s="1"/>
  <c r="C16" i="10" s="1"/>
  <c r="C27" i="6"/>
  <c r="D145" i="5"/>
  <c r="D26" i="22" s="1"/>
  <c r="D25" i="22"/>
  <c r="D6" i="18"/>
  <c r="D43" i="14"/>
  <c r="E44" i="14" s="1"/>
  <c r="E36" i="1" s="1"/>
  <c r="D9" i="19"/>
  <c r="AL26" i="1"/>
  <c r="AL66" i="1" s="1"/>
  <c r="AJ26" i="1"/>
  <c r="AJ66" i="1" s="1"/>
  <c r="AH26" i="1"/>
  <c r="AH66" i="1" s="1"/>
  <c r="AF26" i="1"/>
  <c r="AF66" i="1" s="1"/>
  <c r="AK26" i="1"/>
  <c r="AK66" i="1" s="1"/>
  <c r="AI26" i="1"/>
  <c r="AI66" i="1" s="1"/>
  <c r="D234" i="14"/>
  <c r="F36" i="22"/>
  <c r="C580" i="14"/>
  <c r="D20" i="15"/>
  <c r="D314" i="14"/>
  <c r="D355" i="14"/>
  <c r="L38" i="1"/>
  <c r="C19" i="4"/>
  <c r="J38" i="1"/>
  <c r="F38" i="1"/>
  <c r="I38" i="1"/>
  <c r="E38" i="1"/>
  <c r="N38" i="1"/>
  <c r="H38" i="1"/>
  <c r="M38" i="1"/>
  <c r="G38" i="1"/>
  <c r="K38" i="1"/>
  <c r="D14" i="4"/>
  <c r="D16" i="4" s="1"/>
  <c r="E14" i="4"/>
  <c r="E16" i="4" s="1"/>
  <c r="D495" i="14"/>
  <c r="B397" i="14"/>
  <c r="F36" i="21"/>
  <c r="D152" i="5"/>
  <c r="D153" i="5" s="1"/>
  <c r="D160" i="5"/>
  <c r="D107" i="5"/>
  <c r="D128" i="5"/>
  <c r="D137" i="5"/>
  <c r="AK22" i="7"/>
  <c r="AK30" i="6" s="1"/>
  <c r="AJ14" i="10" s="1"/>
  <c r="AJ49" i="10" s="1"/>
  <c r="AJ22" i="7"/>
  <c r="AJ30" i="6" s="1"/>
  <c r="AI14" i="10" s="1"/>
  <c r="AI49" i="10" s="1"/>
  <c r="D20" i="5"/>
  <c r="N25" i="8" s="1"/>
  <c r="D28" i="5"/>
  <c r="E25" i="9" s="1"/>
  <c r="I25" i="1"/>
  <c r="F25" i="1"/>
  <c r="L25" i="1"/>
  <c r="E25" i="1"/>
  <c r="K25" i="1"/>
  <c r="H25" i="1"/>
  <c r="N25" i="1"/>
  <c r="G25" i="1"/>
  <c r="M25" i="1"/>
  <c r="J25" i="1"/>
  <c r="D8" i="19"/>
  <c r="C14" i="19"/>
  <c r="B45" i="12"/>
  <c r="AI22" i="7"/>
  <c r="AI30" i="6" s="1"/>
  <c r="AH14" i="10" s="1"/>
  <c r="AH49" i="10" s="1"/>
  <c r="AJ21" i="10"/>
  <c r="AJ56" i="10" s="1"/>
  <c r="D9" i="17"/>
  <c r="D170" i="14"/>
  <c r="B13" i="17"/>
  <c r="D64" i="11"/>
  <c r="B44" i="14"/>
  <c r="B45" i="14" s="1"/>
  <c r="B46" i="14" s="1"/>
  <c r="B47" i="14" s="1"/>
  <c r="B48" i="14" s="1"/>
  <c r="B49" i="14" s="1"/>
  <c r="B50" i="14" s="1"/>
  <c r="B51" i="14" s="1"/>
  <c r="B52" i="14" s="1"/>
  <c r="B53" i="14" s="1"/>
  <c r="B56" i="14" s="1"/>
  <c r="B57" i="14" s="1"/>
  <c r="B58" i="14" s="1"/>
  <c r="B59" i="14" s="1"/>
  <c r="B60" i="14" s="1"/>
  <c r="B62" i="14" s="1"/>
  <c r="B64" i="14" s="1"/>
  <c r="B66" i="14" s="1"/>
  <c r="B67" i="14" s="1"/>
  <c r="B68" i="14" s="1"/>
  <c r="B70" i="14" s="1"/>
  <c r="B72" i="14" s="1"/>
  <c r="B74" i="14" s="1"/>
  <c r="B209" i="14"/>
  <c r="F224" i="14" s="1"/>
  <c r="D424" i="14"/>
  <c r="E425" i="14" s="1"/>
  <c r="D6" i="17"/>
  <c r="C8" i="17"/>
  <c r="B64" i="11"/>
  <c r="AD22" i="7"/>
  <c r="AD30" i="6" s="1"/>
  <c r="AC14" i="10" s="1"/>
  <c r="AC49" i="10" s="1"/>
  <c r="AH22" i="7"/>
  <c r="AH30" i="6" s="1"/>
  <c r="AG14" i="10" s="1"/>
  <c r="AG49" i="10" s="1"/>
  <c r="D7" i="17"/>
  <c r="AL22" i="7"/>
  <c r="AL30" i="6" s="1"/>
  <c r="AK14" i="10" s="1"/>
  <c r="AK49" i="10" s="1"/>
  <c r="AG22" i="7"/>
  <c r="AG30" i="6" s="1"/>
  <c r="AF14" i="10" s="1"/>
  <c r="AF49" i="10" s="1"/>
  <c r="B14" i="19"/>
  <c r="B12" i="10"/>
  <c r="B16" i="10" s="1"/>
  <c r="B18" i="10" s="1"/>
  <c r="B20" i="10" s="1"/>
  <c r="B22" i="10" s="1"/>
  <c r="D512" i="14"/>
  <c r="D513" i="14" s="1"/>
  <c r="D514" i="14" s="1"/>
  <c r="D515" i="14" s="1"/>
  <c r="D517" i="14" s="1"/>
  <c r="D521" i="14" s="1"/>
  <c r="D522" i="14" s="1"/>
  <c r="D523" i="14" s="1"/>
  <c r="D524" i="14" s="1"/>
  <c r="D525" i="14" s="1"/>
  <c r="D526" i="14" s="1"/>
  <c r="D527" i="14" s="1"/>
  <c r="L25" i="8"/>
  <c r="J25" i="8"/>
  <c r="N25" i="9"/>
  <c r="G25" i="9"/>
  <c r="K25" i="9"/>
  <c r="AD25" i="8"/>
  <c r="O25" i="8"/>
  <c r="AC25" i="8"/>
  <c r="Y25" i="8"/>
  <c r="AE25" i="8"/>
  <c r="W25" i="8"/>
  <c r="Z25" i="8"/>
  <c r="U25" i="8"/>
  <c r="X25" i="8"/>
  <c r="AA25" i="8"/>
  <c r="S25" i="8"/>
  <c r="V25" i="8"/>
  <c r="Q25" i="8"/>
  <c r="T25" i="8"/>
  <c r="D47" i="5"/>
  <c r="R25" i="8"/>
  <c r="AB25" i="8"/>
  <c r="P25" i="8"/>
  <c r="AG25" i="9"/>
  <c r="AI25" i="9"/>
  <c r="AK25" i="9"/>
  <c r="AF25" i="9"/>
  <c r="AH25" i="9"/>
  <c r="AJ25" i="9"/>
  <c r="AL25" i="9"/>
  <c r="AD38" i="9"/>
  <c r="AH38" i="9"/>
  <c r="AL38" i="9"/>
  <c r="AE38" i="9"/>
  <c r="AI38" i="9"/>
  <c r="AA38" i="9"/>
  <c r="E55" i="4"/>
  <c r="AB38" i="9"/>
  <c r="AF38" i="9"/>
  <c r="AJ38" i="9"/>
  <c r="AC38" i="9"/>
  <c r="AG38" i="9"/>
  <c r="AK38" i="9"/>
  <c r="E56" i="4"/>
  <c r="H22" i="7"/>
  <c r="H30" i="6" s="1"/>
  <c r="G14" i="10" s="1"/>
  <c r="G49" i="10" s="1"/>
  <c r="J22" i="7"/>
  <c r="J30" i="6" s="1"/>
  <c r="I14" i="10" s="1"/>
  <c r="I49" i="10" s="1"/>
  <c r="AE38" i="8"/>
  <c r="AI38" i="8"/>
  <c r="AA38" i="8"/>
  <c r="AD38" i="8"/>
  <c r="AH38" i="8"/>
  <c r="AL38" i="8"/>
  <c r="D55" i="4"/>
  <c r="AC38" i="8"/>
  <c r="AG38" i="8"/>
  <c r="AK38" i="8"/>
  <c r="AB38" i="8"/>
  <c r="AF38" i="8"/>
  <c r="AJ38" i="8"/>
  <c r="D56" i="4"/>
  <c r="AH25" i="1"/>
  <c r="AJ25" i="1"/>
  <c r="AL25" i="1"/>
  <c r="AG25" i="1"/>
  <c r="AI25" i="1"/>
  <c r="AK25" i="1"/>
  <c r="AF25" i="1"/>
  <c r="Z26" i="1"/>
  <c r="Z66" i="1" s="1"/>
  <c r="W26" i="1"/>
  <c r="W66" i="1" s="1"/>
  <c r="AC26" i="1"/>
  <c r="AC66" i="1" s="1"/>
  <c r="Q26" i="1"/>
  <c r="Q66" i="1" s="1"/>
  <c r="T26" i="1"/>
  <c r="T66" i="1" s="1"/>
  <c r="AD26" i="1"/>
  <c r="AD66" i="1" s="1"/>
  <c r="R26" i="1"/>
  <c r="R66" i="1" s="1"/>
  <c r="U26" i="1"/>
  <c r="U66" i="1" s="1"/>
  <c r="E22" i="7"/>
  <c r="E30" i="6" s="1"/>
  <c r="D14" i="10" s="1"/>
  <c r="D49" i="10" s="1"/>
  <c r="G22" i="7"/>
  <c r="G30" i="6" s="1"/>
  <c r="F14" i="10" s="1"/>
  <c r="F49" i="10" s="1"/>
  <c r="N22" i="7"/>
  <c r="N30" i="6" s="1"/>
  <c r="M14" i="10" s="1"/>
  <c r="M49" i="10" s="1"/>
  <c r="D6" i="19"/>
  <c r="AA52" i="1"/>
  <c r="AA53" i="1" s="1"/>
  <c r="AA59" i="1" s="1"/>
  <c r="AG52" i="1"/>
  <c r="AG53" i="1" s="1"/>
  <c r="AG59" i="1" s="1"/>
  <c r="AE52" i="1"/>
  <c r="AE53" i="1" s="1"/>
  <c r="AE59" i="1" s="1"/>
  <c r="AL52" i="1"/>
  <c r="AL53" i="1" s="1"/>
  <c r="AL59" i="1" s="1"/>
  <c r="AF52" i="1"/>
  <c r="AF53" i="1" s="1"/>
  <c r="AF59" i="1" s="1"/>
  <c r="AD52" i="1"/>
  <c r="AD53" i="1" s="1"/>
  <c r="AD59" i="1" s="1"/>
  <c r="D30" i="4"/>
  <c r="D31" i="4" s="1"/>
  <c r="D33" i="4" s="1"/>
  <c r="S21" i="10"/>
  <c r="S56" i="10" s="1"/>
  <c r="AE21" i="10"/>
  <c r="AE56" i="10" s="1"/>
  <c r="D73" i="5"/>
  <c r="D74" i="5" s="1"/>
  <c r="D75" i="5" s="1"/>
  <c r="D137" i="14"/>
  <c r="D138" i="14" s="1"/>
  <c r="D139" i="14" s="1"/>
  <c r="D140" i="14" s="1"/>
  <c r="D141" i="14" s="1"/>
  <c r="D143" i="14" s="1"/>
  <c r="D336" i="14"/>
  <c r="D337" i="14" s="1"/>
  <c r="D338" i="14" s="1"/>
  <c r="D339" i="14" s="1"/>
  <c r="D341" i="14" s="1"/>
  <c r="B237" i="14"/>
  <c r="B238" i="14" s="1"/>
  <c r="B239" i="14" s="1"/>
  <c r="B240" i="14" s="1"/>
  <c r="B241" i="14" s="1"/>
  <c r="B242" i="14" s="1"/>
  <c r="B243" i="14" s="1"/>
  <c r="D37" i="6"/>
  <c r="C47" i="10" s="1"/>
  <c r="C51" i="10" s="1"/>
  <c r="D7" i="18"/>
  <c r="C13" i="18"/>
  <c r="B51" i="10"/>
  <c r="B53" i="10" s="1"/>
  <c r="C45" i="10" s="1"/>
  <c r="I25" i="9" l="1"/>
  <c r="D169" i="14"/>
  <c r="C39" i="6"/>
  <c r="C41" i="6" s="1"/>
  <c r="F25" i="8"/>
  <c r="G25" i="8"/>
  <c r="D33" i="30"/>
  <c r="D34" i="30" s="1"/>
  <c r="F33" i="30"/>
  <c r="F34" i="30" s="1"/>
  <c r="H33" i="30"/>
  <c r="H34" i="30" s="1"/>
  <c r="J33" i="30"/>
  <c r="J34" i="30" s="1"/>
  <c r="C33" i="30"/>
  <c r="C34" i="30" s="1"/>
  <c r="E33" i="30"/>
  <c r="E34" i="30" s="1"/>
  <c r="G33" i="30"/>
  <c r="G34" i="30" s="1"/>
  <c r="I33" i="30"/>
  <c r="I34" i="30" s="1"/>
  <c r="K33" i="30"/>
  <c r="K34" i="30" s="1"/>
  <c r="D33" i="31"/>
  <c r="D34" i="31" s="1"/>
  <c r="F33" i="31"/>
  <c r="F34" i="31" s="1"/>
  <c r="H33" i="31"/>
  <c r="H34" i="31" s="1"/>
  <c r="J33" i="31"/>
  <c r="J34" i="31" s="1"/>
  <c r="C33" i="31"/>
  <c r="C34" i="31" s="1"/>
  <c r="G33" i="31"/>
  <c r="G34" i="31" s="1"/>
  <c r="K33" i="31"/>
  <c r="K34" i="31" s="1"/>
  <c r="E33" i="31"/>
  <c r="E34" i="31" s="1"/>
  <c r="I33" i="31"/>
  <c r="I34" i="31" s="1"/>
  <c r="F842" i="14"/>
  <c r="D47" i="30" s="1"/>
  <c r="C813" i="14"/>
  <c r="D125" i="14"/>
  <c r="C842" i="14"/>
  <c r="D842" i="14" s="1"/>
  <c r="E843" i="14" s="1"/>
  <c r="F414" i="14"/>
  <c r="AJ52" i="1"/>
  <c r="AJ53" i="1" s="1"/>
  <c r="AJ59" i="1" s="1"/>
  <c r="AC52" i="1"/>
  <c r="AC53" i="1" s="1"/>
  <c r="AC59" i="1" s="1"/>
  <c r="AH52" i="1"/>
  <c r="AH53" i="1" s="1"/>
  <c r="AH59" i="1" s="1"/>
  <c r="AI52" i="1"/>
  <c r="AI53" i="1" s="1"/>
  <c r="AI59" i="1" s="1"/>
  <c r="B22" i="14"/>
  <c r="AB52" i="1"/>
  <c r="AB53" i="1" s="1"/>
  <c r="AB59" i="1" s="1"/>
  <c r="AK52" i="1"/>
  <c r="AK53" i="1" s="1"/>
  <c r="AK59" i="1" s="1"/>
  <c r="K25" i="8"/>
  <c r="D21" i="5"/>
  <c r="D191" i="5"/>
  <c r="D175" i="5"/>
  <c r="D176" i="5" s="1"/>
  <c r="D167" i="5"/>
  <c r="D168" i="5" s="1"/>
  <c r="AN25" i="9"/>
  <c r="AP25" i="9"/>
  <c r="AR25" i="9"/>
  <c r="AT25" i="9"/>
  <c r="AV25" i="9"/>
  <c r="AX25" i="9"/>
  <c r="AO25" i="9"/>
  <c r="AQ25" i="9"/>
  <c r="AS25" i="9"/>
  <c r="AU25" i="9"/>
  <c r="AW25" i="9"/>
  <c r="AM25" i="9"/>
  <c r="AN26" i="9"/>
  <c r="AN66" i="9" s="1"/>
  <c r="AP26" i="9"/>
  <c r="AP66" i="9" s="1"/>
  <c r="AR26" i="9"/>
  <c r="AR66" i="9" s="1"/>
  <c r="AT26" i="9"/>
  <c r="AT66" i="9" s="1"/>
  <c r="AV26" i="9"/>
  <c r="AV66" i="9" s="1"/>
  <c r="AX26" i="9"/>
  <c r="AX66" i="9" s="1"/>
  <c r="AO26" i="9"/>
  <c r="AO66" i="9" s="1"/>
  <c r="AQ26" i="9"/>
  <c r="AQ66" i="9" s="1"/>
  <c r="AS26" i="9"/>
  <c r="AS66" i="9" s="1"/>
  <c r="AU26" i="9"/>
  <c r="AU66" i="9" s="1"/>
  <c r="AW26" i="9"/>
  <c r="AW66" i="9" s="1"/>
  <c r="AM26" i="9"/>
  <c r="AM66" i="9" s="1"/>
  <c r="D129" i="5"/>
  <c r="AN25" i="8"/>
  <c r="AP25" i="8"/>
  <c r="AR25" i="8"/>
  <c r="AT25" i="8"/>
  <c r="AV25" i="8"/>
  <c r="AX25" i="8"/>
  <c r="AM25" i="8"/>
  <c r="AO25" i="8"/>
  <c r="AQ25" i="8"/>
  <c r="AU25" i="8"/>
  <c r="AS25" i="8"/>
  <c r="AW25" i="8"/>
  <c r="D189" i="5"/>
  <c r="AS26" i="1"/>
  <c r="AS66" i="1" s="1"/>
  <c r="AN26" i="1"/>
  <c r="AN66" i="1" s="1"/>
  <c r="AP26" i="1"/>
  <c r="AP66" i="1" s="1"/>
  <c r="AR26" i="1"/>
  <c r="AR66" i="1" s="1"/>
  <c r="AT26" i="1"/>
  <c r="AT66" i="1" s="1"/>
  <c r="AV26" i="1"/>
  <c r="AV66" i="1" s="1"/>
  <c r="AX26" i="1"/>
  <c r="AX66" i="1" s="1"/>
  <c r="AO26" i="1"/>
  <c r="AO66" i="1" s="1"/>
  <c r="AQ26" i="1"/>
  <c r="AQ66" i="1" s="1"/>
  <c r="AU26" i="1"/>
  <c r="AU66" i="1" s="1"/>
  <c r="AW26" i="1"/>
  <c r="AW66" i="1" s="1"/>
  <c r="AM26" i="1"/>
  <c r="AM66" i="1" s="1"/>
  <c r="D183" i="5"/>
  <c r="D184" i="5" s="1"/>
  <c r="H25" i="8"/>
  <c r="M25" i="8"/>
  <c r="I25" i="8"/>
  <c r="E25" i="8"/>
  <c r="B471" i="14"/>
  <c r="B474" i="14" s="1"/>
  <c r="B475" i="14" s="1"/>
  <c r="B476" i="14" s="1"/>
  <c r="B477" i="14" s="1"/>
  <c r="B478" i="14" s="1"/>
  <c r="B479" i="14" s="1"/>
  <c r="B480" i="14" s="1"/>
  <c r="B481" i="14" s="1"/>
  <c r="B482" i="14" s="1"/>
  <c r="B483" i="14" s="1"/>
  <c r="B484" i="14" s="1"/>
  <c r="B485" i="14" s="1"/>
  <c r="D356" i="14"/>
  <c r="D357" i="14" s="1"/>
  <c r="D358" i="14" s="1"/>
  <c r="D359" i="14" s="1"/>
  <c r="D360" i="14" s="1"/>
  <c r="D361" i="14" s="1"/>
  <c r="D362" i="14" s="1"/>
  <c r="D363" i="14" s="1"/>
  <c r="D364" i="14" s="1"/>
  <c r="D365" i="14" s="1"/>
  <c r="D366" i="14" s="1"/>
  <c r="D369" i="14"/>
  <c r="D370" i="14" s="1"/>
  <c r="D371" i="14" s="1"/>
  <c r="D372" i="14" s="1"/>
  <c r="D373" i="14" s="1"/>
  <c r="D374" i="14" s="1"/>
  <c r="D375" i="14" s="1"/>
  <c r="D376" i="14" s="1"/>
  <c r="D377" i="14" s="1"/>
  <c r="D378" i="14" s="1"/>
  <c r="D380" i="14" s="1"/>
  <c r="D381" i="14" s="1"/>
  <c r="D382" i="14" s="1"/>
  <c r="D384" i="14" s="1"/>
  <c r="D181" i="14"/>
  <c r="AG26" i="8"/>
  <c r="AG66" i="8" s="1"/>
  <c r="AI26" i="8"/>
  <c r="AI66" i="8" s="1"/>
  <c r="AK26" i="8"/>
  <c r="AK66" i="8" s="1"/>
  <c r="AF26" i="8"/>
  <c r="AF66" i="8" s="1"/>
  <c r="AH26" i="8"/>
  <c r="AH66" i="8" s="1"/>
  <c r="AJ26" i="8"/>
  <c r="AJ66" i="8" s="1"/>
  <c r="AL26" i="8"/>
  <c r="AL66" i="8" s="1"/>
  <c r="C25" i="20"/>
  <c r="D108" i="5"/>
  <c r="C25" i="21"/>
  <c r="D100" i="5"/>
  <c r="C26" i="21" s="1"/>
  <c r="C66" i="21" s="1"/>
  <c r="C38" i="22"/>
  <c r="F55" i="4"/>
  <c r="F56" i="4"/>
  <c r="C52" i="22" s="1"/>
  <c r="U38" i="9"/>
  <c r="R38" i="9"/>
  <c r="P38" i="9"/>
  <c r="Y38" i="9"/>
  <c r="Z38" i="9"/>
  <c r="E36" i="4"/>
  <c r="S38" i="9"/>
  <c r="W38" i="9"/>
  <c r="T38" i="9"/>
  <c r="Q38" i="9"/>
  <c r="O38" i="9"/>
  <c r="V38" i="9"/>
  <c r="X38" i="9"/>
  <c r="H33" i="22"/>
  <c r="H34" i="22" s="1"/>
  <c r="O33" i="22"/>
  <c r="O34" i="22" s="1"/>
  <c r="K33" i="22"/>
  <c r="K34" i="22" s="1"/>
  <c r="G33" i="22"/>
  <c r="G34" i="22" s="1"/>
  <c r="F33" i="22"/>
  <c r="F34" i="22" s="1"/>
  <c r="L33" i="22"/>
  <c r="L34" i="22" s="1"/>
  <c r="D34" i="22"/>
  <c r="E33" i="22"/>
  <c r="E34" i="22" s="1"/>
  <c r="M33" i="22"/>
  <c r="M34" i="22" s="1"/>
  <c r="I33" i="22"/>
  <c r="I34" i="22" s="1"/>
  <c r="N33" i="22"/>
  <c r="N34" i="22" s="1"/>
  <c r="J33" i="22"/>
  <c r="J34" i="22" s="1"/>
  <c r="P25" i="22"/>
  <c r="X25" i="22"/>
  <c r="T25" i="22"/>
  <c r="AA25" i="22"/>
  <c r="W25" i="22"/>
  <c r="S25" i="22"/>
  <c r="Z25" i="22"/>
  <c r="V25" i="22"/>
  <c r="R25" i="22"/>
  <c r="Y25" i="22"/>
  <c r="U25" i="22"/>
  <c r="Q25" i="22"/>
  <c r="H49" i="4"/>
  <c r="H50" i="4" s="1"/>
  <c r="H52" i="4" s="1"/>
  <c r="G50" i="4"/>
  <c r="G52" i="4" s="1"/>
  <c r="AE25" i="9"/>
  <c r="S25" i="9"/>
  <c r="O25" i="9"/>
  <c r="T25" i="9"/>
  <c r="AD25" i="9"/>
  <c r="Q25" i="9"/>
  <c r="Y25" i="9"/>
  <c r="R25" i="9"/>
  <c r="Z25" i="9"/>
  <c r="AB25" i="9"/>
  <c r="AA25" i="9"/>
  <c r="W25" i="9"/>
  <c r="P25" i="9"/>
  <c r="X25" i="9"/>
  <c r="AC25" i="9"/>
  <c r="U25" i="9"/>
  <c r="D55" i="5"/>
  <c r="V25" i="9"/>
  <c r="C66" i="22"/>
  <c r="P26" i="22"/>
  <c r="P66" i="22" s="1"/>
  <c r="P67" i="22" s="1"/>
  <c r="Z26" i="22"/>
  <c r="Z66" i="22" s="1"/>
  <c r="Z67" i="22" s="1"/>
  <c r="V26" i="22"/>
  <c r="V66" i="22" s="1"/>
  <c r="V67" i="22" s="1"/>
  <c r="R26" i="22"/>
  <c r="R66" i="22" s="1"/>
  <c r="R67" i="22" s="1"/>
  <c r="Y26" i="22"/>
  <c r="Y66" i="22" s="1"/>
  <c r="Y67" i="22" s="1"/>
  <c r="U26" i="22"/>
  <c r="U66" i="22" s="1"/>
  <c r="U67" i="22" s="1"/>
  <c r="Q26" i="22"/>
  <c r="Q66" i="22" s="1"/>
  <c r="X26" i="22"/>
  <c r="X66" i="22" s="1"/>
  <c r="X67" i="22" s="1"/>
  <c r="T26" i="22"/>
  <c r="T66" i="22" s="1"/>
  <c r="T67" i="22" s="1"/>
  <c r="AA26" i="22"/>
  <c r="AA66" i="22" s="1"/>
  <c r="AA67" i="22" s="1"/>
  <c r="W26" i="22"/>
  <c r="W66" i="22" s="1"/>
  <c r="W67" i="22" s="1"/>
  <c r="S26" i="22"/>
  <c r="S66" i="22" s="1"/>
  <c r="S67" i="22" s="1"/>
  <c r="D66" i="22"/>
  <c r="M26" i="22"/>
  <c r="M66" i="22" s="1"/>
  <c r="I26" i="22"/>
  <c r="I66" i="22" s="1"/>
  <c r="N26" i="22"/>
  <c r="N66" i="22" s="1"/>
  <c r="J26" i="22"/>
  <c r="J66" i="22" s="1"/>
  <c r="F26" i="22"/>
  <c r="F66" i="22" s="1"/>
  <c r="O26" i="22"/>
  <c r="O66" i="22" s="1"/>
  <c r="K26" i="22"/>
  <c r="K66" i="22" s="1"/>
  <c r="G26" i="22"/>
  <c r="G66" i="22" s="1"/>
  <c r="E26" i="22"/>
  <c r="E66" i="22" s="1"/>
  <c r="L26" i="22"/>
  <c r="L66" i="22" s="1"/>
  <c r="H26" i="22"/>
  <c r="H66" i="22" s="1"/>
  <c r="G25" i="22"/>
  <c r="N25" i="22"/>
  <c r="J25" i="22"/>
  <c r="F25" i="22"/>
  <c r="M25" i="22"/>
  <c r="I25" i="22"/>
  <c r="E25" i="22"/>
  <c r="L25" i="22"/>
  <c r="H25" i="22"/>
  <c r="O25" i="22"/>
  <c r="K25" i="22"/>
  <c r="E25" i="20"/>
  <c r="G25" i="20"/>
  <c r="I25" i="20"/>
  <c r="K25" i="20"/>
  <c r="M25" i="20"/>
  <c r="O25" i="20"/>
  <c r="F25" i="20"/>
  <c r="H25" i="20"/>
  <c r="J25" i="20"/>
  <c r="L25" i="20"/>
  <c r="N25" i="20"/>
  <c r="D25" i="20"/>
  <c r="D161" i="5"/>
  <c r="E25" i="21"/>
  <c r="G25" i="21"/>
  <c r="I25" i="21"/>
  <c r="K25" i="21"/>
  <c r="M25" i="21"/>
  <c r="O25" i="21"/>
  <c r="F25" i="21"/>
  <c r="H25" i="21"/>
  <c r="J25" i="21"/>
  <c r="L25" i="21"/>
  <c r="N25" i="21"/>
  <c r="D25" i="21"/>
  <c r="C44" i="14"/>
  <c r="B55" i="10"/>
  <c r="B57" i="10" s="1"/>
  <c r="C10" i="10"/>
  <c r="C18" i="10" s="1"/>
  <c r="D10" i="10" s="1"/>
  <c r="E235" i="14"/>
  <c r="E36" i="8" s="1"/>
  <c r="E314" i="14"/>
  <c r="D315" i="14"/>
  <c r="D316" i="14" s="1"/>
  <c r="D317" i="14" s="1"/>
  <c r="D318" i="14" s="1"/>
  <c r="D319" i="14" s="1"/>
  <c r="D320" i="14" s="1"/>
  <c r="D321" i="14" s="1"/>
  <c r="D322" i="14" s="1"/>
  <c r="D323" i="14" s="1"/>
  <c r="D324" i="14" s="1"/>
  <c r="F38" i="9"/>
  <c r="I38" i="9"/>
  <c r="G38" i="9"/>
  <c r="K38" i="9"/>
  <c r="H38" i="9"/>
  <c r="M38" i="9"/>
  <c r="J38" i="9"/>
  <c r="E19" i="4"/>
  <c r="L38" i="9"/>
  <c r="E38" i="9"/>
  <c r="N38" i="9"/>
  <c r="L38" i="8"/>
  <c r="E38" i="8"/>
  <c r="N38" i="8"/>
  <c r="F38" i="8"/>
  <c r="I38" i="8"/>
  <c r="G38" i="8"/>
  <c r="K38" i="8"/>
  <c r="H38" i="8"/>
  <c r="D19" i="4"/>
  <c r="M38" i="8"/>
  <c r="J38" i="8"/>
  <c r="N52" i="1"/>
  <c r="N53" i="1" s="1"/>
  <c r="N59" i="1" s="1"/>
  <c r="H52" i="1"/>
  <c r="H53" i="1" s="1"/>
  <c r="H59" i="1" s="1"/>
  <c r="J52" i="1"/>
  <c r="J53" i="1" s="1"/>
  <c r="J59" i="1" s="1"/>
  <c r="M52" i="1"/>
  <c r="M53" i="1" s="1"/>
  <c r="M59" i="1" s="1"/>
  <c r="L52" i="1"/>
  <c r="L53" i="1" s="1"/>
  <c r="L59" i="1" s="1"/>
  <c r="B12" i="14"/>
  <c r="G52" i="1"/>
  <c r="G53" i="1" s="1"/>
  <c r="G59" i="1" s="1"/>
  <c r="E52" i="1"/>
  <c r="E53" i="1" s="1"/>
  <c r="E59" i="1" s="1"/>
  <c r="F52" i="1"/>
  <c r="F53" i="1" s="1"/>
  <c r="F59" i="1" s="1"/>
  <c r="I52" i="1"/>
  <c r="I53" i="1" s="1"/>
  <c r="I59" i="1" s="1"/>
  <c r="K52" i="1"/>
  <c r="K53" i="1" s="1"/>
  <c r="K59" i="1" s="1"/>
  <c r="D496" i="14"/>
  <c r="D497" i="14" s="1"/>
  <c r="D498" i="14" s="1"/>
  <c r="D499" i="14" s="1"/>
  <c r="D500" i="14" s="1"/>
  <c r="D502" i="14" s="1"/>
  <c r="E495" i="14"/>
  <c r="C635" i="14"/>
  <c r="F25" i="9"/>
  <c r="H25" i="9"/>
  <c r="L25" i="9"/>
  <c r="M25" i="9"/>
  <c r="D29" i="5"/>
  <c r="J25" i="9"/>
  <c r="N26" i="1"/>
  <c r="N66" i="1" s="1"/>
  <c r="M26" i="1"/>
  <c r="M66" i="1" s="1"/>
  <c r="K26" i="1"/>
  <c r="K66" i="1" s="1"/>
  <c r="J26" i="1"/>
  <c r="J66" i="1" s="1"/>
  <c r="L26" i="1"/>
  <c r="L66" i="1" s="1"/>
  <c r="F26" i="1"/>
  <c r="F66" i="1" s="1"/>
  <c r="I26" i="1"/>
  <c r="I66" i="1" s="1"/>
  <c r="H26" i="1"/>
  <c r="H66" i="1" s="1"/>
  <c r="G26" i="1"/>
  <c r="G66" i="1" s="1"/>
  <c r="E26" i="1"/>
  <c r="E66" i="1" s="1"/>
  <c r="D44" i="14"/>
  <c r="E45" i="14" s="1"/>
  <c r="C425" i="14"/>
  <c r="E36" i="9"/>
  <c r="B75" i="14"/>
  <c r="B76" i="14" s="1"/>
  <c r="B78" i="14" s="1"/>
  <c r="D8" i="17"/>
  <c r="C13" i="17"/>
  <c r="AG25" i="8"/>
  <c r="AI25" i="8"/>
  <c r="AK25" i="8"/>
  <c r="AF25" i="8"/>
  <c r="AH25" i="8"/>
  <c r="AJ25" i="8"/>
  <c r="AL25" i="8"/>
  <c r="D144" i="14"/>
  <c r="D145" i="14" s="1"/>
  <c r="D147" i="14"/>
  <c r="D148" i="14" s="1"/>
  <c r="D149" i="14" s="1"/>
  <c r="D151" i="14" s="1"/>
  <c r="P38" i="8"/>
  <c r="Y38" i="8"/>
  <c r="Z38" i="8"/>
  <c r="D36" i="4"/>
  <c r="S38" i="8"/>
  <c r="W38" i="8"/>
  <c r="T38" i="8"/>
  <c r="Q38" i="8"/>
  <c r="O38" i="8"/>
  <c r="V38" i="8"/>
  <c r="X38" i="8"/>
  <c r="U38" i="8"/>
  <c r="R38" i="8"/>
  <c r="C20" i="10"/>
  <c r="C22" i="10" s="1"/>
  <c r="AG52" i="8"/>
  <c r="AG53" i="8" s="1"/>
  <c r="AG59" i="8" s="1"/>
  <c r="AI52" i="8"/>
  <c r="AI53" i="8" s="1"/>
  <c r="AI59" i="8" s="1"/>
  <c r="AF52" i="8"/>
  <c r="AF53" i="8" s="1"/>
  <c r="AF59" i="8" s="1"/>
  <c r="AH52" i="8"/>
  <c r="AH53" i="8" s="1"/>
  <c r="AH59" i="8" s="1"/>
  <c r="AE52" i="8"/>
  <c r="AE53" i="8" s="1"/>
  <c r="AE59" i="8" s="1"/>
  <c r="AK52" i="8"/>
  <c r="AK53" i="8" s="1"/>
  <c r="AK59" i="8" s="1"/>
  <c r="AB52" i="8"/>
  <c r="AB53" i="8" s="1"/>
  <c r="AB59" i="8" s="1"/>
  <c r="AL52" i="8"/>
  <c r="AL53" i="8" s="1"/>
  <c r="AL59" i="8" s="1"/>
  <c r="AC52" i="8"/>
  <c r="AC53" i="8" s="1"/>
  <c r="AC59" i="8" s="1"/>
  <c r="AA52" i="8"/>
  <c r="AA53" i="8" s="1"/>
  <c r="AA59" i="8" s="1"/>
  <c r="AD52" i="8"/>
  <c r="AD53" i="8" s="1"/>
  <c r="AD59" i="8" s="1"/>
  <c r="AJ52" i="8"/>
  <c r="AJ53" i="8" s="1"/>
  <c r="AJ59" i="8" s="1"/>
  <c r="AD52" i="9"/>
  <c r="AD53" i="9" s="1"/>
  <c r="AD59" i="9" s="1"/>
  <c r="AF52" i="9"/>
  <c r="AF53" i="9" s="1"/>
  <c r="AF59" i="9" s="1"/>
  <c r="AL52" i="9"/>
  <c r="AL53" i="9" s="1"/>
  <c r="AL59" i="9" s="1"/>
  <c r="AE52" i="9"/>
  <c r="AE53" i="9" s="1"/>
  <c r="AE59" i="9" s="1"/>
  <c r="AG52" i="9"/>
  <c r="AG53" i="9" s="1"/>
  <c r="AG59" i="9" s="1"/>
  <c r="AA52" i="9"/>
  <c r="AA53" i="9" s="1"/>
  <c r="AA59" i="9" s="1"/>
  <c r="AJ52" i="9"/>
  <c r="AJ53" i="9" s="1"/>
  <c r="AJ59" i="9" s="1"/>
  <c r="AC52" i="9"/>
  <c r="AC53" i="9" s="1"/>
  <c r="AC59" i="9" s="1"/>
  <c r="AI52" i="9"/>
  <c r="AI53" i="9" s="1"/>
  <c r="AI59" i="9" s="1"/>
  <c r="AB52" i="9"/>
  <c r="AB53" i="9" s="1"/>
  <c r="AB59" i="9" s="1"/>
  <c r="AH52" i="9"/>
  <c r="AH53" i="9" s="1"/>
  <c r="AH59" i="9" s="1"/>
  <c r="AK52" i="9"/>
  <c r="AK53" i="9" s="1"/>
  <c r="AK59" i="9" s="1"/>
  <c r="AA26" i="8"/>
  <c r="AA66" i="8" s="1"/>
  <c r="T26" i="8"/>
  <c r="T66" i="8" s="1"/>
  <c r="O26" i="8"/>
  <c r="O66" i="8" s="1"/>
  <c r="Q26" i="8"/>
  <c r="Q66" i="8" s="1"/>
  <c r="U26" i="8"/>
  <c r="U66" i="8" s="1"/>
  <c r="W26" i="8"/>
  <c r="W66" i="8" s="1"/>
  <c r="Z26" i="8"/>
  <c r="Z66" i="8" s="1"/>
  <c r="AC26" i="8"/>
  <c r="AC66" i="8" s="1"/>
  <c r="AE26" i="8"/>
  <c r="AE66" i="8" s="1"/>
  <c r="R26" i="8"/>
  <c r="R66" i="8" s="1"/>
  <c r="P26" i="8"/>
  <c r="P66" i="8" s="1"/>
  <c r="S26" i="8"/>
  <c r="S66" i="8" s="1"/>
  <c r="Y26" i="8"/>
  <c r="Y66" i="8" s="1"/>
  <c r="X26" i="8"/>
  <c r="X66" i="8" s="1"/>
  <c r="V26" i="8"/>
  <c r="V66" i="8" s="1"/>
  <c r="AB26" i="8"/>
  <c r="AB66" i="8" s="1"/>
  <c r="AD26" i="8"/>
  <c r="AD66" i="8" s="1"/>
  <c r="K26" i="8"/>
  <c r="K66" i="8" s="1"/>
  <c r="E26" i="8"/>
  <c r="E66" i="8" s="1"/>
  <c r="L26" i="8"/>
  <c r="L66" i="8" s="1"/>
  <c r="G26" i="8"/>
  <c r="G66" i="8" s="1"/>
  <c r="J26" i="8"/>
  <c r="J66" i="8" s="1"/>
  <c r="M26" i="8"/>
  <c r="M66" i="8" s="1"/>
  <c r="F26" i="8"/>
  <c r="F66" i="8" s="1"/>
  <c r="I26" i="8"/>
  <c r="I66" i="8" s="1"/>
  <c r="N26" i="8"/>
  <c r="N66" i="8" s="1"/>
  <c r="H26" i="8"/>
  <c r="H66" i="8" s="1"/>
  <c r="D342" i="14"/>
  <c r="D343" i="14" s="1"/>
  <c r="D345" i="14"/>
  <c r="D39" i="6"/>
  <c r="D41" i="6" s="1"/>
  <c r="B244" i="14"/>
  <c r="C53" i="10"/>
  <c r="D45" i="10" s="1"/>
  <c r="D185" i="5" l="1"/>
  <c r="D25" i="30"/>
  <c r="F25" i="30"/>
  <c r="H25" i="30"/>
  <c r="J25" i="30"/>
  <c r="C25" i="30"/>
  <c r="E25" i="30"/>
  <c r="G25" i="30"/>
  <c r="I25" i="30"/>
  <c r="K25" i="30"/>
  <c r="D33" i="29"/>
  <c r="D34" i="29" s="1"/>
  <c r="H33" i="29"/>
  <c r="H34" i="29" s="1"/>
  <c r="C33" i="29"/>
  <c r="C34" i="29" s="1"/>
  <c r="E33" i="29"/>
  <c r="E34" i="29" s="1"/>
  <c r="G33" i="29"/>
  <c r="G34" i="29" s="1"/>
  <c r="I33" i="29"/>
  <c r="I34" i="29" s="1"/>
  <c r="K33" i="29"/>
  <c r="K34" i="29" s="1"/>
  <c r="F33" i="29"/>
  <c r="F34" i="29" s="1"/>
  <c r="J33" i="29"/>
  <c r="J34" i="29" s="1"/>
  <c r="D169" i="5"/>
  <c r="K25" i="32"/>
  <c r="D25" i="32"/>
  <c r="F25" i="32"/>
  <c r="H25" i="32"/>
  <c r="J25" i="32"/>
  <c r="C25" i="32"/>
  <c r="E25" i="32"/>
  <c r="G25" i="32"/>
  <c r="I25" i="32"/>
  <c r="D177" i="5"/>
  <c r="C25" i="31"/>
  <c r="D25" i="31"/>
  <c r="F25" i="31"/>
  <c r="H25" i="31"/>
  <c r="J25" i="31"/>
  <c r="E25" i="31"/>
  <c r="G25" i="31"/>
  <c r="I25" i="31"/>
  <c r="K25" i="31"/>
  <c r="B859" i="14"/>
  <c r="D857" i="14"/>
  <c r="D858" i="14" s="1"/>
  <c r="D859" i="14" s="1"/>
  <c r="D860" i="14" s="1"/>
  <c r="D861" i="14" s="1"/>
  <c r="D862" i="14" s="1"/>
  <c r="D863" i="14" s="1"/>
  <c r="D864" i="14" s="1"/>
  <c r="D865" i="14" s="1"/>
  <c r="D866" i="14" s="1"/>
  <c r="D903" i="14"/>
  <c r="D904" i="14" s="1"/>
  <c r="D58" i="30"/>
  <c r="F843" i="14"/>
  <c r="E36" i="30"/>
  <c r="D126" i="14"/>
  <c r="D127" i="14" s="1"/>
  <c r="D128" i="14" s="1"/>
  <c r="D129" i="14" s="1"/>
  <c r="D130" i="14" s="1"/>
  <c r="D131" i="14" s="1"/>
  <c r="D132" i="14" s="1"/>
  <c r="D133" i="14" s="1"/>
  <c r="D134" i="14" s="1"/>
  <c r="D767" i="14"/>
  <c r="D813" i="14"/>
  <c r="E813" i="14" s="1"/>
  <c r="B815" i="14"/>
  <c r="C797" i="14"/>
  <c r="D797" i="14" s="1"/>
  <c r="E798" i="14" s="1"/>
  <c r="F34" i="14"/>
  <c r="B616" i="14"/>
  <c r="F626" i="14" s="1"/>
  <c r="B214" i="14"/>
  <c r="F225" i="14" s="1"/>
  <c r="B402" i="14"/>
  <c r="B677" i="14"/>
  <c r="B560" i="14"/>
  <c r="F571" i="14" s="1"/>
  <c r="AO26" i="8"/>
  <c r="AO66" i="8" s="1"/>
  <c r="AQ26" i="8"/>
  <c r="AQ66" i="8" s="1"/>
  <c r="AS26" i="8"/>
  <c r="AS66" i="8" s="1"/>
  <c r="AU26" i="8"/>
  <c r="AU66" i="8" s="1"/>
  <c r="AW26" i="8"/>
  <c r="AW66" i="8" s="1"/>
  <c r="AP26" i="8"/>
  <c r="AP66" i="8" s="1"/>
  <c r="AT26" i="8"/>
  <c r="AT66" i="8" s="1"/>
  <c r="AX26" i="8"/>
  <c r="AX66" i="8" s="1"/>
  <c r="AM26" i="8"/>
  <c r="AM66" i="8" s="1"/>
  <c r="AN26" i="8"/>
  <c r="AN66" i="8" s="1"/>
  <c r="AR26" i="8"/>
  <c r="AR66" i="8" s="1"/>
  <c r="AV26" i="8"/>
  <c r="AV66" i="8" s="1"/>
  <c r="D192" i="5"/>
  <c r="C26" i="20"/>
  <c r="C66" i="20" s="1"/>
  <c r="D182" i="14"/>
  <c r="B81" i="14"/>
  <c r="B82" i="14" s="1"/>
  <c r="B83" i="14" s="1"/>
  <c r="B84" i="14" s="1"/>
  <c r="B85" i="14" s="1"/>
  <c r="B87" i="14" s="1"/>
  <c r="C38" i="21"/>
  <c r="G56" i="4"/>
  <c r="C52" i="21" s="1"/>
  <c r="G55" i="4"/>
  <c r="P52" i="22"/>
  <c r="Z52" i="22"/>
  <c r="V52" i="22"/>
  <c r="R52" i="22"/>
  <c r="Y52" i="22"/>
  <c r="U52" i="22"/>
  <c r="Q52" i="22"/>
  <c r="C53" i="22"/>
  <c r="C59" i="22" s="1"/>
  <c r="X52" i="22"/>
  <c r="T52" i="22"/>
  <c r="AA52" i="22"/>
  <c r="W52" i="22"/>
  <c r="S52" i="22"/>
  <c r="P38" i="22"/>
  <c r="X38" i="22"/>
  <c r="T38" i="22"/>
  <c r="AA38" i="22"/>
  <c r="W38" i="22"/>
  <c r="S38" i="22"/>
  <c r="Z38" i="22"/>
  <c r="V38" i="22"/>
  <c r="R38" i="22"/>
  <c r="Y38" i="22"/>
  <c r="U38" i="22"/>
  <c r="Q38" i="22"/>
  <c r="O26" i="9"/>
  <c r="O66" i="9" s="1"/>
  <c r="U26" i="9"/>
  <c r="U66" i="9" s="1"/>
  <c r="T26" i="9"/>
  <c r="T66" i="9" s="1"/>
  <c r="AD26" i="9"/>
  <c r="AD66" i="9" s="1"/>
  <c r="P26" i="9"/>
  <c r="P66" i="9" s="1"/>
  <c r="V26" i="9"/>
  <c r="V66" i="9" s="1"/>
  <c r="Z26" i="9"/>
  <c r="Z66" i="9" s="1"/>
  <c r="AE26" i="9"/>
  <c r="AE66" i="9" s="1"/>
  <c r="Y26" i="9"/>
  <c r="Y66" i="9" s="1"/>
  <c r="Q26" i="9"/>
  <c r="Q66" i="9" s="1"/>
  <c r="W26" i="9"/>
  <c r="W66" i="9" s="1"/>
  <c r="AB26" i="9"/>
  <c r="AB66" i="9" s="1"/>
  <c r="X26" i="9"/>
  <c r="X66" i="9" s="1"/>
  <c r="AA26" i="9"/>
  <c r="AA66" i="9" s="1"/>
  <c r="S26" i="9"/>
  <c r="S66" i="9" s="1"/>
  <c r="R26" i="9"/>
  <c r="R66" i="9" s="1"/>
  <c r="AC26" i="9"/>
  <c r="AC66" i="9" s="1"/>
  <c r="C38" i="20"/>
  <c r="H55" i="4"/>
  <c r="H56" i="4"/>
  <c r="E26" i="20"/>
  <c r="E66" i="20" s="1"/>
  <c r="G26" i="20"/>
  <c r="G66" i="20" s="1"/>
  <c r="I26" i="20"/>
  <c r="I66" i="20" s="1"/>
  <c r="K26" i="20"/>
  <c r="K66" i="20" s="1"/>
  <c r="M26" i="20"/>
  <c r="M66" i="20" s="1"/>
  <c r="O26" i="20"/>
  <c r="O66" i="20" s="1"/>
  <c r="F26" i="20"/>
  <c r="F66" i="20" s="1"/>
  <c r="H26" i="20"/>
  <c r="H66" i="20" s="1"/>
  <c r="J26" i="20"/>
  <c r="J66" i="20" s="1"/>
  <c r="L26" i="20"/>
  <c r="L66" i="20" s="1"/>
  <c r="N26" i="20"/>
  <c r="N66" i="20" s="1"/>
  <c r="D26" i="20"/>
  <c r="D66" i="20" s="1"/>
  <c r="F26" i="21"/>
  <c r="F66" i="21" s="1"/>
  <c r="H26" i="21"/>
  <c r="H66" i="21" s="1"/>
  <c r="J26" i="21"/>
  <c r="J66" i="21" s="1"/>
  <c r="L26" i="21"/>
  <c r="L66" i="21" s="1"/>
  <c r="N26" i="21"/>
  <c r="N66" i="21" s="1"/>
  <c r="D26" i="21"/>
  <c r="D66" i="21" s="1"/>
  <c r="E26" i="21"/>
  <c r="E66" i="21" s="1"/>
  <c r="G26" i="21"/>
  <c r="G66" i="21" s="1"/>
  <c r="I26" i="21"/>
  <c r="I66" i="21" s="1"/>
  <c r="K26" i="21"/>
  <c r="K66" i="21" s="1"/>
  <c r="M26" i="21"/>
  <c r="M66" i="21" s="1"/>
  <c r="O26" i="21"/>
  <c r="O66" i="21" s="1"/>
  <c r="C235" i="14"/>
  <c r="J52" i="9"/>
  <c r="J53" i="9" s="1"/>
  <c r="J59" i="9" s="1"/>
  <c r="E52" i="8"/>
  <c r="E53" i="8" s="1"/>
  <c r="E59" i="8" s="1"/>
  <c r="K52" i="8"/>
  <c r="K53" i="8" s="1"/>
  <c r="K59" i="8" s="1"/>
  <c r="L52" i="9"/>
  <c r="L53" i="9" s="1"/>
  <c r="L59" i="9" s="1"/>
  <c r="F52" i="9"/>
  <c r="F53" i="9" s="1"/>
  <c r="F59" i="9" s="1"/>
  <c r="M52" i="9"/>
  <c r="M53" i="9" s="1"/>
  <c r="M59" i="9" s="1"/>
  <c r="N52" i="8"/>
  <c r="N53" i="8" s="1"/>
  <c r="N59" i="8" s="1"/>
  <c r="G52" i="8"/>
  <c r="G53" i="8" s="1"/>
  <c r="G59" i="8" s="1"/>
  <c r="H52" i="9"/>
  <c r="H53" i="9" s="1"/>
  <c r="H59" i="9" s="1"/>
  <c r="M52" i="8"/>
  <c r="M53" i="8" s="1"/>
  <c r="M59" i="8" s="1"/>
  <c r="N52" i="9"/>
  <c r="N53" i="9" s="1"/>
  <c r="N59" i="9" s="1"/>
  <c r="F52" i="8"/>
  <c r="F53" i="8" s="1"/>
  <c r="F59" i="8" s="1"/>
  <c r="H52" i="8"/>
  <c r="H53" i="8" s="1"/>
  <c r="H59" i="8" s="1"/>
  <c r="G52" i="9"/>
  <c r="G53" i="9" s="1"/>
  <c r="G59" i="9" s="1"/>
  <c r="I52" i="8"/>
  <c r="I53" i="8" s="1"/>
  <c r="I59" i="8" s="1"/>
  <c r="I52" i="9"/>
  <c r="I53" i="9" s="1"/>
  <c r="I59" i="9" s="1"/>
  <c r="J52" i="8"/>
  <c r="J53" i="8" s="1"/>
  <c r="J59" i="8" s="1"/>
  <c r="L52" i="8"/>
  <c r="L53" i="8" s="1"/>
  <c r="L59" i="8" s="1"/>
  <c r="E52" i="9"/>
  <c r="E53" i="9" s="1"/>
  <c r="E59" i="9" s="1"/>
  <c r="K52" i="9"/>
  <c r="K53" i="9" s="1"/>
  <c r="K59" i="9" s="1"/>
  <c r="B392" i="14"/>
  <c r="F413" i="14" s="1"/>
  <c r="B204" i="14"/>
  <c r="F223" i="14" s="1"/>
  <c r="F235" i="14" s="1"/>
  <c r="F32" i="14"/>
  <c r="F45" i="14" s="1"/>
  <c r="D506" i="14"/>
  <c r="D507" i="14" s="1"/>
  <c r="D508" i="14" s="1"/>
  <c r="D503" i="14"/>
  <c r="D504" i="14" s="1"/>
  <c r="D580" i="14"/>
  <c r="E581" i="14" s="1"/>
  <c r="F581" i="14" s="1"/>
  <c r="B602" i="14" s="1"/>
  <c r="D635" i="14"/>
  <c r="E636" i="14" s="1"/>
  <c r="F636" i="14" s="1"/>
  <c r="M26" i="9"/>
  <c r="M66" i="9" s="1"/>
  <c r="K26" i="9"/>
  <c r="K66" i="9" s="1"/>
  <c r="E26" i="9"/>
  <c r="E66" i="9" s="1"/>
  <c r="G26" i="9"/>
  <c r="G66" i="9" s="1"/>
  <c r="L26" i="9"/>
  <c r="L66" i="9" s="1"/>
  <c r="I26" i="9"/>
  <c r="I66" i="9" s="1"/>
  <c r="H26" i="9"/>
  <c r="H66" i="9" s="1"/>
  <c r="N26" i="9"/>
  <c r="N66" i="9" s="1"/>
  <c r="J26" i="9"/>
  <c r="J66" i="9" s="1"/>
  <c r="F26" i="9"/>
  <c r="F66" i="9" s="1"/>
  <c r="F36" i="1"/>
  <c r="C45" i="14"/>
  <c r="D45" i="14" s="1"/>
  <c r="D425" i="14"/>
  <c r="E426" i="14" s="1"/>
  <c r="R52" i="8"/>
  <c r="R53" i="8" s="1"/>
  <c r="R59" i="8" s="1"/>
  <c r="U52" i="8"/>
  <c r="U53" i="8" s="1"/>
  <c r="U59" i="8" s="1"/>
  <c r="T52" i="9"/>
  <c r="T53" i="9" s="1"/>
  <c r="T59" i="9" s="1"/>
  <c r="W52" i="9"/>
  <c r="W53" i="9" s="1"/>
  <c r="W59" i="9" s="1"/>
  <c r="P52" i="8"/>
  <c r="P53" i="8" s="1"/>
  <c r="P59" i="8" s="1"/>
  <c r="S52" i="9"/>
  <c r="S53" i="9" s="1"/>
  <c r="S59" i="9" s="1"/>
  <c r="Y52" i="9"/>
  <c r="Y53" i="9" s="1"/>
  <c r="Y59" i="9" s="1"/>
  <c r="X52" i="9"/>
  <c r="X53" i="9" s="1"/>
  <c r="X59" i="9" s="1"/>
  <c r="O52" i="9"/>
  <c r="O53" i="9" s="1"/>
  <c r="O59" i="9" s="1"/>
  <c r="Q52" i="9"/>
  <c r="Q53" i="9" s="1"/>
  <c r="Q59" i="9" s="1"/>
  <c r="V52" i="8"/>
  <c r="V53" i="8" s="1"/>
  <c r="V59" i="8" s="1"/>
  <c r="Z52" i="8"/>
  <c r="Z53" i="8" s="1"/>
  <c r="Z59" i="8" s="1"/>
  <c r="R52" i="9"/>
  <c r="R53" i="9" s="1"/>
  <c r="R59" i="9" s="1"/>
  <c r="U52" i="9"/>
  <c r="U53" i="9" s="1"/>
  <c r="U59" i="9" s="1"/>
  <c r="T52" i="8"/>
  <c r="T53" i="8" s="1"/>
  <c r="T59" i="8" s="1"/>
  <c r="W52" i="8"/>
  <c r="W53" i="8" s="1"/>
  <c r="W59" i="8" s="1"/>
  <c r="S52" i="8"/>
  <c r="S53" i="8" s="1"/>
  <c r="S59" i="8" s="1"/>
  <c r="Y52" i="8"/>
  <c r="Y53" i="8" s="1"/>
  <c r="Y59" i="8" s="1"/>
  <c r="X52" i="8"/>
  <c r="X53" i="8" s="1"/>
  <c r="X59" i="8" s="1"/>
  <c r="P52" i="9"/>
  <c r="P53" i="9" s="1"/>
  <c r="P59" i="9" s="1"/>
  <c r="V52" i="9"/>
  <c r="V53" i="9" s="1"/>
  <c r="V59" i="9" s="1"/>
  <c r="Z52" i="9"/>
  <c r="Z53" i="9" s="1"/>
  <c r="Z59" i="9" s="1"/>
  <c r="O52" i="8"/>
  <c r="O53" i="8" s="1"/>
  <c r="O59" i="8" s="1"/>
  <c r="Q52" i="8"/>
  <c r="Q53" i="8" s="1"/>
  <c r="Q59" i="8" s="1"/>
  <c r="D152" i="14"/>
  <c r="D153" i="14" s="1"/>
  <c r="D155" i="14"/>
  <c r="D349" i="14"/>
  <c r="D346" i="14"/>
  <c r="B247" i="14"/>
  <c r="C55" i="10"/>
  <c r="C57" i="10" s="1"/>
  <c r="E857" i="14" l="1"/>
  <c r="E859" i="14"/>
  <c r="E26" i="31"/>
  <c r="E66" i="31" s="1"/>
  <c r="G26" i="31"/>
  <c r="G66" i="31" s="1"/>
  <c r="I26" i="31"/>
  <c r="I66" i="31" s="1"/>
  <c r="K26" i="31"/>
  <c r="K66" i="31" s="1"/>
  <c r="D26" i="31"/>
  <c r="D66" i="31" s="1"/>
  <c r="F26" i="31"/>
  <c r="F66" i="31" s="1"/>
  <c r="H26" i="31"/>
  <c r="H66" i="31" s="1"/>
  <c r="J26" i="31"/>
  <c r="J66" i="31" s="1"/>
  <c r="C26" i="31"/>
  <c r="C66" i="31" s="1"/>
  <c r="E26" i="32"/>
  <c r="E66" i="32" s="1"/>
  <c r="G26" i="32"/>
  <c r="G66" i="32" s="1"/>
  <c r="I26" i="32"/>
  <c r="I66" i="32" s="1"/>
  <c r="K26" i="32"/>
  <c r="K66" i="32" s="1"/>
  <c r="D26" i="32"/>
  <c r="D66" i="32" s="1"/>
  <c r="F26" i="32"/>
  <c r="F66" i="32" s="1"/>
  <c r="H26" i="32"/>
  <c r="H66" i="32" s="1"/>
  <c r="J26" i="32"/>
  <c r="J66" i="32" s="1"/>
  <c r="C26" i="32"/>
  <c r="C66" i="32" s="1"/>
  <c r="D193" i="5"/>
  <c r="E25" i="29"/>
  <c r="G25" i="29"/>
  <c r="I25" i="29"/>
  <c r="K25" i="29"/>
  <c r="D25" i="29"/>
  <c r="F25" i="29"/>
  <c r="H25" i="29"/>
  <c r="J25" i="29"/>
  <c r="C25" i="29"/>
  <c r="E26" i="30"/>
  <c r="E66" i="30" s="1"/>
  <c r="G26" i="30"/>
  <c r="G66" i="30" s="1"/>
  <c r="I26" i="30"/>
  <c r="I66" i="30" s="1"/>
  <c r="K26" i="30"/>
  <c r="K66" i="30" s="1"/>
  <c r="D26" i="30"/>
  <c r="D66" i="30" s="1"/>
  <c r="F26" i="30"/>
  <c r="F66" i="30" s="1"/>
  <c r="H26" i="30"/>
  <c r="H66" i="30" s="1"/>
  <c r="J26" i="30"/>
  <c r="J66" i="30" s="1"/>
  <c r="C26" i="30"/>
  <c r="C66" i="30" s="1"/>
  <c r="F857" i="14"/>
  <c r="C19" i="30" s="1"/>
  <c r="D905" i="14"/>
  <c r="E904" i="14"/>
  <c r="F798" i="14"/>
  <c r="E47" i="31" s="1"/>
  <c r="E36" i="31"/>
  <c r="B860" i="14"/>
  <c r="E47" i="30"/>
  <c r="E860" i="14"/>
  <c r="F813" i="14"/>
  <c r="C19" i="31" s="1"/>
  <c r="D768" i="14"/>
  <c r="E767" i="14"/>
  <c r="F767" i="14"/>
  <c r="C19" i="32" s="1"/>
  <c r="D814" i="14"/>
  <c r="D815" i="14" s="1"/>
  <c r="E815" i="14" s="1"/>
  <c r="C52" i="20"/>
  <c r="F574" i="14"/>
  <c r="B597" i="14" s="1"/>
  <c r="F575" i="14"/>
  <c r="B598" i="14" s="1"/>
  <c r="E598" i="14" s="1"/>
  <c r="F415" i="14"/>
  <c r="F630" i="14"/>
  <c r="B814" i="14"/>
  <c r="F629" i="14"/>
  <c r="B654" i="14" s="1"/>
  <c r="B659" i="14"/>
  <c r="E659" i="14" s="1"/>
  <c r="D509" i="14"/>
  <c r="D545" i="14"/>
  <c r="D546" i="14" s="1"/>
  <c r="D547" i="14" s="1"/>
  <c r="D548" i="14" s="1"/>
  <c r="D549" i="14" s="1"/>
  <c r="D550" i="14" s="1"/>
  <c r="D551" i="14" s="1"/>
  <c r="D552" i="14" s="1"/>
  <c r="D553" i="14" s="1"/>
  <c r="D554" i="14" s="1"/>
  <c r="D555" i="14" s="1"/>
  <c r="D184" i="14"/>
  <c r="B89" i="14"/>
  <c r="B91" i="14" s="1"/>
  <c r="B92" i="14" s="1"/>
  <c r="B93" i="14" s="1"/>
  <c r="B94" i="14" s="1"/>
  <c r="B95" i="14" s="1"/>
  <c r="B96" i="14" s="1"/>
  <c r="B100" i="14" s="1"/>
  <c r="B101" i="14" s="1"/>
  <c r="B102" i="14" s="1"/>
  <c r="B104" i="14" s="1"/>
  <c r="B106" i="14" s="1"/>
  <c r="B108" i="14" s="1"/>
  <c r="W53" i="22"/>
  <c r="W59" i="22" s="1"/>
  <c r="T53" i="22"/>
  <c r="T59" i="22" s="1"/>
  <c r="U53" i="22"/>
  <c r="U59" i="22" s="1"/>
  <c r="R53" i="22"/>
  <c r="R59" i="22" s="1"/>
  <c r="Z53" i="22"/>
  <c r="Z59" i="22" s="1"/>
  <c r="C53" i="21"/>
  <c r="C59" i="21" s="1"/>
  <c r="S53" i="22"/>
  <c r="S59" i="22" s="1"/>
  <c r="AA53" i="22"/>
  <c r="AA59" i="22" s="1"/>
  <c r="X53" i="22"/>
  <c r="X59" i="22" s="1"/>
  <c r="Q53" i="22"/>
  <c r="Q59" i="22" s="1"/>
  <c r="Y53" i="22"/>
  <c r="Y59" i="22" s="1"/>
  <c r="V53" i="22"/>
  <c r="V59" i="22" s="1"/>
  <c r="P53" i="22"/>
  <c r="P59" i="22" s="1"/>
  <c r="E46" i="14"/>
  <c r="C46" i="14" s="1"/>
  <c r="D46" i="14" s="1"/>
  <c r="E47" i="14" s="1"/>
  <c r="G36" i="21"/>
  <c r="D235" i="14"/>
  <c r="E236" i="14" s="1"/>
  <c r="F36" i="8" s="1"/>
  <c r="C581" i="14"/>
  <c r="D581" i="14" s="1"/>
  <c r="F234" i="14"/>
  <c r="B312" i="14" s="1"/>
  <c r="G36" i="22"/>
  <c r="F43" i="14"/>
  <c r="B122" i="14" s="1"/>
  <c r="F44" i="14"/>
  <c r="F424" i="14"/>
  <c r="B493" i="14" s="1"/>
  <c r="F425" i="14"/>
  <c r="C636" i="14"/>
  <c r="D636" i="14" s="1"/>
  <c r="E637" i="14" s="1"/>
  <c r="F637" i="14" s="1"/>
  <c r="F47" i="1"/>
  <c r="B126" i="14"/>
  <c r="F36" i="9"/>
  <c r="F426" i="14"/>
  <c r="C426" i="14"/>
  <c r="D426" i="14" s="1"/>
  <c r="E427" i="14" s="1"/>
  <c r="D156" i="14"/>
  <c r="D157" i="14" s="1"/>
  <c r="D159" i="14"/>
  <c r="D347" i="14"/>
  <c r="D350" i="14"/>
  <c r="B248" i="14"/>
  <c r="D185" i="14" l="1"/>
  <c r="D186" i="14"/>
  <c r="D26" i="29"/>
  <c r="D66" i="29" s="1"/>
  <c r="F26" i="29"/>
  <c r="F66" i="29" s="1"/>
  <c r="H26" i="29"/>
  <c r="H66" i="29" s="1"/>
  <c r="J26" i="29"/>
  <c r="J66" i="29" s="1"/>
  <c r="C26" i="29"/>
  <c r="C66" i="29" s="1"/>
  <c r="E26" i="29"/>
  <c r="E66" i="29" s="1"/>
  <c r="G26" i="29"/>
  <c r="G66" i="29" s="1"/>
  <c r="I26" i="29"/>
  <c r="I66" i="29" s="1"/>
  <c r="K26" i="29"/>
  <c r="K66" i="29" s="1"/>
  <c r="D906" i="14"/>
  <c r="E905" i="14"/>
  <c r="E58" i="31"/>
  <c r="E58" i="30"/>
  <c r="E814" i="14"/>
  <c r="F814" i="14" s="1"/>
  <c r="C20" i="31" s="1"/>
  <c r="C814" i="14"/>
  <c r="C843" i="14"/>
  <c r="D843" i="14" s="1"/>
  <c r="E844" i="14" s="1"/>
  <c r="C815" i="14"/>
  <c r="D816" i="14"/>
  <c r="D817" i="14" s="1"/>
  <c r="D818" i="14" s="1"/>
  <c r="D819" i="14" s="1"/>
  <c r="D820" i="14" s="1"/>
  <c r="D821" i="14" s="1"/>
  <c r="D822" i="14" s="1"/>
  <c r="D769" i="14"/>
  <c r="E768" i="14"/>
  <c r="F768" i="14" s="1"/>
  <c r="C20" i="32" s="1"/>
  <c r="D19" i="32" s="1"/>
  <c r="B816" i="14"/>
  <c r="C798" i="14"/>
  <c r="F46" i="14"/>
  <c r="G47" i="1" s="1"/>
  <c r="G58" i="1" s="1"/>
  <c r="C53" i="20"/>
  <c r="C59" i="20" s="1"/>
  <c r="C770" i="14"/>
  <c r="C771" i="14" s="1"/>
  <c r="C772" i="14" s="1"/>
  <c r="C773" i="14" s="1"/>
  <c r="C774" i="14" s="1"/>
  <c r="C775" i="14" s="1"/>
  <c r="C776" i="14" s="1"/>
  <c r="C53" i="32"/>
  <c r="C59" i="32" s="1"/>
  <c r="E654" i="14"/>
  <c r="C654" i="14"/>
  <c r="C47" i="21"/>
  <c r="B655" i="14"/>
  <c r="E655" i="14" s="1"/>
  <c r="E597" i="14"/>
  <c r="C597" i="14"/>
  <c r="G58" i="32"/>
  <c r="B660" i="14"/>
  <c r="E660" i="14" s="1"/>
  <c r="C493" i="14"/>
  <c r="F493" i="14" s="1"/>
  <c r="C312" i="14"/>
  <c r="C313" i="14" s="1"/>
  <c r="C314" i="14" s="1"/>
  <c r="C122" i="14"/>
  <c r="C123" i="14" s="1"/>
  <c r="C124" i="14" s="1"/>
  <c r="D188" i="14"/>
  <c r="B109" i="14"/>
  <c r="B110" i="14" s="1"/>
  <c r="F236" i="14"/>
  <c r="F47" i="8" s="1"/>
  <c r="G36" i="1"/>
  <c r="C47" i="14"/>
  <c r="D47" i="14" s="1"/>
  <c r="E48" i="14" s="1"/>
  <c r="C48" i="14" s="1"/>
  <c r="D48" i="14" s="1"/>
  <c r="E49" i="14" s="1"/>
  <c r="C49" i="14" s="1"/>
  <c r="H36" i="1"/>
  <c r="F47" i="14"/>
  <c r="H47" i="1" s="1"/>
  <c r="F47" i="21"/>
  <c r="G47" i="21"/>
  <c r="H36" i="21"/>
  <c r="C236" i="14"/>
  <c r="D236" i="14" s="1"/>
  <c r="E237" i="14" s="1"/>
  <c r="C237" i="14" s="1"/>
  <c r="D237" i="14" s="1"/>
  <c r="E238" i="14" s="1"/>
  <c r="E582" i="14"/>
  <c r="F582" i="14" s="1"/>
  <c r="B603" i="14" s="1"/>
  <c r="E601" i="14"/>
  <c r="F47" i="22"/>
  <c r="C47" i="22"/>
  <c r="E602" i="14"/>
  <c r="G47" i="22"/>
  <c r="E47" i="22"/>
  <c r="B315" i="14"/>
  <c r="E315" i="14" s="1"/>
  <c r="E47" i="8"/>
  <c r="E47" i="9"/>
  <c r="B496" i="14"/>
  <c r="E496" i="14" s="1"/>
  <c r="E47" i="1"/>
  <c r="B125" i="14"/>
  <c r="E125" i="14" s="1"/>
  <c r="C637" i="14"/>
  <c r="F58" i="1"/>
  <c r="E126" i="14"/>
  <c r="C427" i="14"/>
  <c r="D427" i="14" s="1"/>
  <c r="E428" i="14" s="1"/>
  <c r="F427" i="14"/>
  <c r="G36" i="9"/>
  <c r="F47" i="9"/>
  <c r="B497" i="14"/>
  <c r="B249" i="14"/>
  <c r="C494" i="14" l="1"/>
  <c r="C495" i="14" s="1"/>
  <c r="C496" i="14" s="1"/>
  <c r="C497" i="14" s="1"/>
  <c r="F48" i="14"/>
  <c r="I47" i="1" s="1"/>
  <c r="C21" i="31"/>
  <c r="C22" i="31" s="1"/>
  <c r="D19" i="31"/>
  <c r="C21" i="32"/>
  <c r="D907" i="14"/>
  <c r="E906" i="14"/>
  <c r="F844" i="14"/>
  <c r="F36" i="30"/>
  <c r="B127" i="14"/>
  <c r="E127" i="14" s="1"/>
  <c r="E816" i="14"/>
  <c r="C816" i="14"/>
  <c r="F815" i="14"/>
  <c r="D770" i="14"/>
  <c r="E769" i="14"/>
  <c r="F769" i="14" s="1"/>
  <c r="D20" i="32" s="1"/>
  <c r="E19" i="32" s="1"/>
  <c r="D798" i="14"/>
  <c r="E799" i="14" s="1"/>
  <c r="F122" i="14"/>
  <c r="F312" i="14"/>
  <c r="F313" i="14" s="1"/>
  <c r="F314" i="14" s="1"/>
  <c r="B128" i="14"/>
  <c r="E128" i="14" s="1"/>
  <c r="B316" i="14"/>
  <c r="E316" i="14" s="1"/>
  <c r="F597" i="14"/>
  <c r="C19" i="22" s="1"/>
  <c r="C598" i="14"/>
  <c r="C599" i="14" s="1"/>
  <c r="C600" i="14" s="1"/>
  <c r="C601" i="14" s="1"/>
  <c r="C602" i="14" s="1"/>
  <c r="C603" i="14" s="1"/>
  <c r="C58" i="21"/>
  <c r="F654" i="14"/>
  <c r="C655" i="14"/>
  <c r="C656" i="14" s="1"/>
  <c r="C657" i="14" s="1"/>
  <c r="C658" i="14" s="1"/>
  <c r="C659" i="14" s="1"/>
  <c r="C660" i="14" s="1"/>
  <c r="C58" i="32"/>
  <c r="H58" i="32"/>
  <c r="F494" i="14"/>
  <c r="F495" i="14" s="1"/>
  <c r="E19" i="9" s="1"/>
  <c r="I36" i="1"/>
  <c r="D189" i="14"/>
  <c r="B111" i="14"/>
  <c r="H47" i="21"/>
  <c r="G58" i="21"/>
  <c r="F58" i="21"/>
  <c r="H36" i="22"/>
  <c r="G36" i="8"/>
  <c r="F237" i="14"/>
  <c r="C582" i="14"/>
  <c r="D582" i="14" s="1"/>
  <c r="E583" i="14" s="1"/>
  <c r="F583" i="14" s="1"/>
  <c r="B604" i="14" s="1"/>
  <c r="C238" i="14"/>
  <c r="D238" i="14" s="1"/>
  <c r="E239" i="14" s="1"/>
  <c r="H36" i="8"/>
  <c r="F238" i="14"/>
  <c r="C315" i="14"/>
  <c r="E603" i="14"/>
  <c r="H47" i="22"/>
  <c r="E58" i="22"/>
  <c r="G58" i="22"/>
  <c r="C58" i="22"/>
  <c r="F58" i="22"/>
  <c r="E58" i="1"/>
  <c r="E58" i="9"/>
  <c r="F58" i="8"/>
  <c r="E58" i="8"/>
  <c r="C125" i="14"/>
  <c r="C126" i="14" s="1"/>
  <c r="D637" i="14"/>
  <c r="E638" i="14" s="1"/>
  <c r="F638" i="14" s="1"/>
  <c r="E497" i="14"/>
  <c r="C428" i="14"/>
  <c r="D428" i="14" s="1"/>
  <c r="E429" i="14" s="1"/>
  <c r="H36" i="9"/>
  <c r="F428" i="14"/>
  <c r="F58" i="9"/>
  <c r="G47" i="9"/>
  <c r="B498" i="14"/>
  <c r="E498" i="14" s="1"/>
  <c r="D49" i="14"/>
  <c r="E50" i="14" s="1"/>
  <c r="B250" i="14"/>
  <c r="B252" i="14" s="1"/>
  <c r="J36" i="1"/>
  <c r="F49" i="14"/>
  <c r="H58" i="1"/>
  <c r="B129" i="14" l="1"/>
  <c r="E129" i="14" s="1"/>
  <c r="C65" i="31"/>
  <c r="C67" i="31" s="1"/>
  <c r="C39" i="31"/>
  <c r="C56" i="31" s="1"/>
  <c r="F816" i="14"/>
  <c r="E20" i="31" s="1"/>
  <c r="F19" i="31" s="1"/>
  <c r="D20" i="31"/>
  <c r="D21" i="31" s="1"/>
  <c r="D22" i="31" s="1"/>
  <c r="D908" i="14"/>
  <c r="E907" i="14"/>
  <c r="C127" i="14"/>
  <c r="C128" i="14" s="1"/>
  <c r="F799" i="14"/>
  <c r="F47" i="31" s="1"/>
  <c r="F36" i="31"/>
  <c r="B861" i="14"/>
  <c r="E861" i="14" s="1"/>
  <c r="F47" i="30"/>
  <c r="C844" i="14"/>
  <c r="D844" i="14" s="1"/>
  <c r="E845" i="14" s="1"/>
  <c r="F123" i="14"/>
  <c r="F124" i="14" s="1"/>
  <c r="E19" i="1" s="1"/>
  <c r="D771" i="14"/>
  <c r="E770" i="14"/>
  <c r="F770" i="14" s="1"/>
  <c r="E20" i="32" s="1"/>
  <c r="F19" i="32" s="1"/>
  <c r="C799" i="14"/>
  <c r="C316" i="14"/>
  <c r="F655" i="14"/>
  <c r="C19" i="21"/>
  <c r="F598" i="14"/>
  <c r="F496" i="14"/>
  <c r="E20" i="9" s="1"/>
  <c r="B661" i="14"/>
  <c r="E661" i="14" s="1"/>
  <c r="D190" i="14"/>
  <c r="B112" i="14"/>
  <c r="I36" i="21"/>
  <c r="H58" i="21"/>
  <c r="F315" i="14"/>
  <c r="F316" i="14" s="1"/>
  <c r="E19" i="8"/>
  <c r="H47" i="8"/>
  <c r="B318" i="14"/>
  <c r="E318" i="14" s="1"/>
  <c r="C239" i="14"/>
  <c r="D239" i="14" s="1"/>
  <c r="E240" i="14" s="1"/>
  <c r="I36" i="8"/>
  <c r="F239" i="14"/>
  <c r="B317" i="14"/>
  <c r="G47" i="8"/>
  <c r="C583" i="14"/>
  <c r="H58" i="22"/>
  <c r="I36" i="22"/>
  <c r="C638" i="14"/>
  <c r="B499" i="14"/>
  <c r="E499" i="14" s="1"/>
  <c r="H47" i="9"/>
  <c r="C429" i="14"/>
  <c r="D429" i="14" s="1"/>
  <c r="E431" i="14" s="1"/>
  <c r="F429" i="14"/>
  <c r="I36" i="9"/>
  <c r="G58" i="9"/>
  <c r="C498" i="14"/>
  <c r="K36" i="1"/>
  <c r="F50" i="14"/>
  <c r="I58" i="1"/>
  <c r="B130" i="14"/>
  <c r="E130" i="14" s="1"/>
  <c r="J47" i="1"/>
  <c r="C50" i="14"/>
  <c r="C129" i="14" l="1"/>
  <c r="F125" i="14"/>
  <c r="E20" i="1" s="1"/>
  <c r="D65" i="31"/>
  <c r="D67" i="31" s="1"/>
  <c r="D39" i="31"/>
  <c r="D56" i="31" s="1"/>
  <c r="E19" i="31"/>
  <c r="C44" i="31"/>
  <c r="C57" i="31" s="1"/>
  <c r="C60" i="31" s="1"/>
  <c r="C68" i="31" s="1"/>
  <c r="D909" i="14"/>
  <c r="E908" i="14"/>
  <c r="B817" i="14"/>
  <c r="C817" i="14" s="1"/>
  <c r="F58" i="31"/>
  <c r="F845" i="14"/>
  <c r="G36" i="30"/>
  <c r="F58" i="30"/>
  <c r="C845" i="14"/>
  <c r="D845" i="14" s="1"/>
  <c r="E846" i="14" s="1"/>
  <c r="D772" i="14"/>
  <c r="E771" i="14"/>
  <c r="F771" i="14" s="1"/>
  <c r="F20" i="32" s="1"/>
  <c r="G19" i="32" s="1"/>
  <c r="E817" i="14"/>
  <c r="F817" i="14" s="1"/>
  <c r="F20" i="31" s="1"/>
  <c r="D799" i="14"/>
  <c r="E800" i="14" s="1"/>
  <c r="E21" i="9"/>
  <c r="E22" i="9" s="1"/>
  <c r="E39" i="9" s="1"/>
  <c r="E56" i="9" s="1"/>
  <c r="F497" i="14"/>
  <c r="F498" i="14" s="1"/>
  <c r="G20" i="9" s="1"/>
  <c r="F656" i="14"/>
  <c r="C20" i="21"/>
  <c r="C21" i="21" s="1"/>
  <c r="C22" i="21" s="1"/>
  <c r="F599" i="14"/>
  <c r="C20" i="22"/>
  <c r="F19" i="9"/>
  <c r="I58" i="32"/>
  <c r="C499" i="14"/>
  <c r="E20" i="8"/>
  <c r="F19" i="8" s="1"/>
  <c r="D191" i="14"/>
  <c r="B113" i="14"/>
  <c r="I47" i="21"/>
  <c r="G58" i="8"/>
  <c r="I47" i="8"/>
  <c r="B319" i="14"/>
  <c r="E319" i="14" s="1"/>
  <c r="C240" i="14"/>
  <c r="D240" i="14" s="1"/>
  <c r="E241" i="14" s="1"/>
  <c r="J36" i="8"/>
  <c r="F240" i="14"/>
  <c r="H58" i="8"/>
  <c r="E317" i="14"/>
  <c r="F317" i="14" s="1"/>
  <c r="C317" i="14"/>
  <c r="C318" i="14" s="1"/>
  <c r="I47" i="22"/>
  <c r="F20" i="8"/>
  <c r="D638" i="14"/>
  <c r="E639" i="14" s="1"/>
  <c r="F639" i="14" s="1"/>
  <c r="D583" i="14"/>
  <c r="C431" i="14"/>
  <c r="J36" i="9"/>
  <c r="E433" i="14"/>
  <c r="F431" i="14"/>
  <c r="I47" i="9"/>
  <c r="B500" i="14"/>
  <c r="E500" i="14" s="1"/>
  <c r="H58" i="9"/>
  <c r="D50" i="14"/>
  <c r="E51" i="14" s="1"/>
  <c r="C51" i="14" s="1"/>
  <c r="B131" i="14"/>
  <c r="E131" i="14" s="1"/>
  <c r="K47" i="1"/>
  <c r="J58" i="1"/>
  <c r="B254" i="14"/>
  <c r="B256" i="14" s="1"/>
  <c r="C130" i="14"/>
  <c r="F19" i="1" l="1"/>
  <c r="D44" i="31"/>
  <c r="D57" i="31" s="1"/>
  <c r="D60" i="31" s="1"/>
  <c r="D68" i="31" s="1"/>
  <c r="F126" i="14"/>
  <c r="F20" i="1" s="1"/>
  <c r="E21" i="1"/>
  <c r="E22" i="1" s="1"/>
  <c r="E65" i="1" s="1"/>
  <c r="E67" i="1" s="1"/>
  <c r="E21" i="31"/>
  <c r="E22" i="31" s="1"/>
  <c r="D910" i="14"/>
  <c r="E909" i="14"/>
  <c r="C69" i="31"/>
  <c r="AP24" i="6" s="1"/>
  <c r="F800" i="14"/>
  <c r="G36" i="31"/>
  <c r="G19" i="31"/>
  <c r="F21" i="31"/>
  <c r="F22" i="31" s="1"/>
  <c r="F846" i="14"/>
  <c r="H36" i="30"/>
  <c r="B862" i="14"/>
  <c r="E862" i="14" s="1"/>
  <c r="G47" i="30"/>
  <c r="C846" i="14"/>
  <c r="D846" i="14" s="1"/>
  <c r="E847" i="14" s="1"/>
  <c r="D773" i="14"/>
  <c r="E772" i="14"/>
  <c r="F772" i="14" s="1"/>
  <c r="G20" i="32" s="1"/>
  <c r="H19" i="32" s="1"/>
  <c r="C800" i="14"/>
  <c r="E65" i="9"/>
  <c r="E67" i="9" s="1"/>
  <c r="F20" i="9"/>
  <c r="G19" i="9" s="1"/>
  <c r="G21" i="9" s="1"/>
  <c r="G22" i="9" s="1"/>
  <c r="G39" i="9" s="1"/>
  <c r="F499" i="14"/>
  <c r="H20" i="9" s="1"/>
  <c r="H19" i="9" s="1"/>
  <c r="H21" i="9" s="1"/>
  <c r="H22" i="9" s="1"/>
  <c r="E21" i="8"/>
  <c r="E22" i="8" s="1"/>
  <c r="E39" i="8" s="1"/>
  <c r="E56" i="8" s="1"/>
  <c r="E44" i="9"/>
  <c r="E57" i="9" s="1"/>
  <c r="E60" i="9" s="1"/>
  <c r="E68" i="9" s="1"/>
  <c r="F600" i="14"/>
  <c r="D20" i="22"/>
  <c r="D19" i="21"/>
  <c r="C39" i="21"/>
  <c r="C56" i="21" s="1"/>
  <c r="C65" i="21"/>
  <c r="C67" i="21" s="1"/>
  <c r="D19" i="22"/>
  <c r="C21" i="22"/>
  <c r="C22" i="22" s="1"/>
  <c r="F657" i="14"/>
  <c r="D20" i="21"/>
  <c r="B662" i="14"/>
  <c r="E662" i="14" s="1"/>
  <c r="D192" i="14"/>
  <c r="B114" i="14"/>
  <c r="B115" i="14" s="1"/>
  <c r="C319" i="14"/>
  <c r="C131" i="14"/>
  <c r="C661" i="14"/>
  <c r="J36" i="21"/>
  <c r="I58" i="21"/>
  <c r="E584" i="14"/>
  <c r="F584" i="14" s="1"/>
  <c r="B605" i="14" s="1"/>
  <c r="J47" i="8"/>
  <c r="B320" i="14"/>
  <c r="E320" i="14" s="1"/>
  <c r="C241" i="14"/>
  <c r="D241" i="14" s="1"/>
  <c r="E242" i="14" s="1"/>
  <c r="K36" i="8"/>
  <c r="F241" i="14"/>
  <c r="I58" i="8"/>
  <c r="C604" i="14"/>
  <c r="E604" i="14"/>
  <c r="I58" i="22"/>
  <c r="F21" i="8"/>
  <c r="F22" i="8" s="1"/>
  <c r="G19" i="8"/>
  <c r="G20" i="8"/>
  <c r="F318" i="14"/>
  <c r="C639" i="14"/>
  <c r="D639" i="14" s="1"/>
  <c r="D431" i="14"/>
  <c r="I6" i="18"/>
  <c r="J6" i="18" s="1"/>
  <c r="K19" i="18" s="1"/>
  <c r="C500" i="14"/>
  <c r="I58" i="9"/>
  <c r="G65" i="9"/>
  <c r="G67" i="9" s="1"/>
  <c r="B502" i="14"/>
  <c r="E502" i="14" s="1"/>
  <c r="F433" i="14"/>
  <c r="J47" i="9"/>
  <c r="D51" i="14"/>
  <c r="E52" i="14" s="1"/>
  <c r="C52" i="14" s="1"/>
  <c r="B257" i="14"/>
  <c r="K58" i="1"/>
  <c r="L36" i="1"/>
  <c r="F51" i="14"/>
  <c r="I22" i="18" l="1"/>
  <c r="J22" i="18"/>
  <c r="G19" i="1"/>
  <c r="F21" i="1"/>
  <c r="F22" i="1" s="1"/>
  <c r="F39" i="1" s="1"/>
  <c r="F56" i="1" s="1"/>
  <c r="D69" i="31"/>
  <c r="AQ24" i="6" s="1"/>
  <c r="E34" i="6"/>
  <c r="E39" i="1"/>
  <c r="E56" i="1" s="1"/>
  <c r="F127" i="14"/>
  <c r="G20" i="1" s="1"/>
  <c r="D911" i="14"/>
  <c r="E910" i="14"/>
  <c r="E39" i="31"/>
  <c r="E56" i="31" s="1"/>
  <c r="E65" i="31"/>
  <c r="E67" i="31" s="1"/>
  <c r="F39" i="31"/>
  <c r="F56" i="31" s="1"/>
  <c r="F65" i="31"/>
  <c r="F67" i="31" s="1"/>
  <c r="G47" i="31"/>
  <c r="B818" i="14"/>
  <c r="F847" i="14"/>
  <c r="I36" i="30"/>
  <c r="B863" i="14"/>
  <c r="E863" i="14" s="1"/>
  <c r="H47" i="30"/>
  <c r="G58" i="30"/>
  <c r="D774" i="14"/>
  <c r="E773" i="14"/>
  <c r="F773" i="14" s="1"/>
  <c r="H20" i="32" s="1"/>
  <c r="I19" i="32" s="1"/>
  <c r="D800" i="14"/>
  <c r="E801" i="14" s="1"/>
  <c r="E65" i="8"/>
  <c r="E67" i="8" s="1"/>
  <c r="F500" i="14"/>
  <c r="I20" i="9" s="1"/>
  <c r="C320" i="14"/>
  <c r="F21" i="9"/>
  <c r="F22" i="9" s="1"/>
  <c r="F39" i="9" s="1"/>
  <c r="F56" i="9" s="1"/>
  <c r="E69" i="9"/>
  <c r="E19" i="6" s="1"/>
  <c r="F658" i="14"/>
  <c r="E20" i="21"/>
  <c r="C39" i="22"/>
  <c r="C65" i="22"/>
  <c r="C67" i="22" s="1"/>
  <c r="E19" i="22"/>
  <c r="E19" i="21"/>
  <c r="D21" i="22"/>
  <c r="D22" i="22" s="1"/>
  <c r="D21" i="21"/>
  <c r="D22" i="21" s="1"/>
  <c r="F601" i="14"/>
  <c r="E20" i="22"/>
  <c r="C44" i="21"/>
  <c r="C57" i="21" s="1"/>
  <c r="C60" i="21" s="1"/>
  <c r="C68" i="21" s="1"/>
  <c r="J58" i="32"/>
  <c r="D193" i="14"/>
  <c r="J36" i="22"/>
  <c r="C605" i="14"/>
  <c r="E640" i="14"/>
  <c r="F640" i="14" s="1"/>
  <c r="J47" i="21"/>
  <c r="C662" i="14"/>
  <c r="C584" i="14"/>
  <c r="D584" i="14" s="1"/>
  <c r="E585" i="14" s="1"/>
  <c r="K47" i="8"/>
  <c r="B321" i="14"/>
  <c r="E321" i="14" s="1"/>
  <c r="C242" i="14"/>
  <c r="D242" i="14" s="1"/>
  <c r="E243" i="14" s="1"/>
  <c r="L36" i="8"/>
  <c r="F242" i="14"/>
  <c r="J58" i="8"/>
  <c r="E44" i="8"/>
  <c r="E57" i="8" s="1"/>
  <c r="E60" i="8" s="1"/>
  <c r="E68" i="8" s="1"/>
  <c r="J47" i="22"/>
  <c r="F319" i="14"/>
  <c r="H20" i="8"/>
  <c r="H19" i="8" s="1"/>
  <c r="G21" i="8"/>
  <c r="G22" i="8" s="1"/>
  <c r="E36" i="6"/>
  <c r="F39" i="8"/>
  <c r="F56" i="8" s="1"/>
  <c r="F65" i="8"/>
  <c r="F67" i="8" s="1"/>
  <c r="G56" i="9"/>
  <c r="G44" i="9"/>
  <c r="G57" i="9" s="1"/>
  <c r="C502" i="14"/>
  <c r="E6" i="18" s="1"/>
  <c r="F6" i="18" s="1"/>
  <c r="J58" i="9"/>
  <c r="K6" i="18"/>
  <c r="C432" i="14"/>
  <c r="M36" i="1"/>
  <c r="F52" i="14"/>
  <c r="L47" i="1"/>
  <c r="B132" i="14"/>
  <c r="H65" i="9"/>
  <c r="H67" i="9" s="1"/>
  <c r="H39" i="9"/>
  <c r="H56" i="9" s="1"/>
  <c r="B258" i="14"/>
  <c r="D52" i="14"/>
  <c r="E53" i="14" s="1"/>
  <c r="C53" i="14" s="1"/>
  <c r="K22" i="18" l="1"/>
  <c r="F65" i="9"/>
  <c r="F67" i="9" s="1"/>
  <c r="F65" i="1"/>
  <c r="F67" i="1" s="1"/>
  <c r="E44" i="1"/>
  <c r="E57" i="1" s="1"/>
  <c r="E60" i="1" s="1"/>
  <c r="E68" i="1" s="1"/>
  <c r="E35" i="6"/>
  <c r="E37" i="6" s="1"/>
  <c r="D47" i="10" s="1"/>
  <c r="D51" i="10" s="1"/>
  <c r="D53" i="10" s="1"/>
  <c r="F44" i="1"/>
  <c r="F57" i="1" s="1"/>
  <c r="F60" i="1" s="1"/>
  <c r="F68" i="1" s="1"/>
  <c r="E44" i="31"/>
  <c r="E57" i="31" s="1"/>
  <c r="E60" i="31" s="1"/>
  <c r="E68" i="31" s="1"/>
  <c r="C640" i="14"/>
  <c r="D640" i="14" s="1"/>
  <c r="E641" i="14" s="1"/>
  <c r="F641" i="14" s="1"/>
  <c r="F128" i="14"/>
  <c r="H20" i="1" s="1"/>
  <c r="H19" i="1" s="1"/>
  <c r="D912" i="14"/>
  <c r="E912" i="14" s="1"/>
  <c r="E911" i="14"/>
  <c r="F801" i="14"/>
  <c r="H47" i="31" s="1"/>
  <c r="H36" i="31"/>
  <c r="E818" i="14"/>
  <c r="F818" i="14" s="1"/>
  <c r="G20" i="31" s="1"/>
  <c r="C818" i="14"/>
  <c r="G58" i="31"/>
  <c r="F44" i="31"/>
  <c r="F57" i="31" s="1"/>
  <c r="F60" i="31" s="1"/>
  <c r="F68" i="31" s="1"/>
  <c r="B864" i="14"/>
  <c r="E864" i="14" s="1"/>
  <c r="I47" i="30"/>
  <c r="H58" i="30"/>
  <c r="G21" i="1"/>
  <c r="G22" i="1" s="1"/>
  <c r="G39" i="1" s="1"/>
  <c r="G56" i="1" s="1"/>
  <c r="C847" i="14"/>
  <c r="D847" i="14" s="1"/>
  <c r="E848" i="14" s="1"/>
  <c r="D775" i="14"/>
  <c r="E774" i="14"/>
  <c r="F774" i="14" s="1"/>
  <c r="I20" i="32" s="1"/>
  <c r="J19" i="32" s="1"/>
  <c r="B819" i="14"/>
  <c r="C801" i="14"/>
  <c r="I19" i="9"/>
  <c r="F502" i="14"/>
  <c r="F44" i="9"/>
  <c r="F57" i="9" s="1"/>
  <c r="F60" i="9" s="1"/>
  <c r="F68" i="9" s="1"/>
  <c r="F44" i="8"/>
  <c r="F57" i="8" s="1"/>
  <c r="F60" i="8" s="1"/>
  <c r="F68" i="8" s="1"/>
  <c r="E69" i="8"/>
  <c r="E18" i="6" s="1"/>
  <c r="E21" i="22"/>
  <c r="E22" i="22" s="1"/>
  <c r="F19" i="22"/>
  <c r="D39" i="21"/>
  <c r="D65" i="21"/>
  <c r="D67" i="21" s="1"/>
  <c r="F19" i="21"/>
  <c r="C69" i="21"/>
  <c r="AL21" i="6" s="1"/>
  <c r="F602" i="14"/>
  <c r="F20" i="22"/>
  <c r="D65" i="22"/>
  <c r="D67" i="22" s="1"/>
  <c r="D39" i="22"/>
  <c r="D56" i="22" s="1"/>
  <c r="E21" i="21"/>
  <c r="E22" i="21" s="1"/>
  <c r="C56" i="22"/>
  <c r="C44" i="22"/>
  <c r="C57" i="22" s="1"/>
  <c r="F659" i="14"/>
  <c r="F20" i="21"/>
  <c r="B663" i="14"/>
  <c r="E663" i="14" s="1"/>
  <c r="D194" i="14"/>
  <c r="K36" i="21"/>
  <c r="K47" i="21"/>
  <c r="K58" i="21" s="1"/>
  <c r="J58" i="21"/>
  <c r="C321" i="14"/>
  <c r="F585" i="14"/>
  <c r="B606" i="14" s="1"/>
  <c r="C606" i="14" s="1"/>
  <c r="C585" i="14"/>
  <c r="D585" i="14" s="1"/>
  <c r="E586" i="14" s="1"/>
  <c r="F586" i="14" s="1"/>
  <c r="B607" i="14" s="1"/>
  <c r="B322" i="14"/>
  <c r="E322" i="14" s="1"/>
  <c r="L47" i="8"/>
  <c r="C243" i="14"/>
  <c r="D243" i="14" s="1"/>
  <c r="E244" i="14" s="1"/>
  <c r="M36" i="8"/>
  <c r="F243" i="14"/>
  <c r="K58" i="8"/>
  <c r="K36" i="22"/>
  <c r="E605" i="14"/>
  <c r="J58" i="22"/>
  <c r="G65" i="8"/>
  <c r="G67" i="8" s="1"/>
  <c r="G39" i="8"/>
  <c r="G56" i="8" s="1"/>
  <c r="I20" i="8"/>
  <c r="F320" i="14"/>
  <c r="D432" i="14"/>
  <c r="D433" i="14" s="1"/>
  <c r="E435" i="14" s="1"/>
  <c r="C433" i="14"/>
  <c r="G60" i="9"/>
  <c r="G68" i="9" s="1"/>
  <c r="H44" i="9"/>
  <c r="H57" i="9" s="1"/>
  <c r="H60" i="9" s="1"/>
  <c r="H68" i="9" s="1"/>
  <c r="N36" i="1"/>
  <c r="F53" i="14"/>
  <c r="B259" i="14"/>
  <c r="E132" i="14"/>
  <c r="C132" i="14"/>
  <c r="D53" i="14"/>
  <c r="E56" i="14" s="1"/>
  <c r="G6" i="18"/>
  <c r="B503" i="14"/>
  <c r="L58" i="1"/>
  <c r="B133" i="14"/>
  <c r="E133" i="14" s="1"/>
  <c r="M47" i="1"/>
  <c r="F69" i="9" l="1"/>
  <c r="F19" i="6" s="1"/>
  <c r="F69" i="1"/>
  <c r="F17" i="6" s="1"/>
  <c r="E69" i="1"/>
  <c r="E17" i="6" s="1"/>
  <c r="E27" i="6" s="1"/>
  <c r="D12" i="10" s="1"/>
  <c r="D16" i="10" s="1"/>
  <c r="D18" i="10" s="1"/>
  <c r="D20" i="10" s="1"/>
  <c r="D22" i="10" s="1"/>
  <c r="D23" i="10" s="1"/>
  <c r="E10" i="10" s="1"/>
  <c r="E69" i="31"/>
  <c r="AR24" i="6" s="1"/>
  <c r="F129" i="14"/>
  <c r="I20" i="1" s="1"/>
  <c r="F69" i="31"/>
  <c r="AS24" i="6" s="1"/>
  <c r="H19" i="31"/>
  <c r="G21" i="31"/>
  <c r="G22" i="31" s="1"/>
  <c r="H58" i="31"/>
  <c r="F848" i="14"/>
  <c r="J36" i="30"/>
  <c r="I58" i="30"/>
  <c r="G65" i="1"/>
  <c r="G67" i="1" s="1"/>
  <c r="G44" i="1"/>
  <c r="G57" i="1" s="1"/>
  <c r="G60" i="1" s="1"/>
  <c r="G68" i="1" s="1"/>
  <c r="C848" i="14"/>
  <c r="E819" i="14"/>
  <c r="F819" i="14" s="1"/>
  <c r="H20" i="31" s="1"/>
  <c r="C819" i="14"/>
  <c r="D776" i="14"/>
  <c r="E776" i="14" s="1"/>
  <c r="E775" i="14"/>
  <c r="F775" i="14" s="1"/>
  <c r="J20" i="32" s="1"/>
  <c r="K19" i="32" s="1"/>
  <c r="D801" i="14"/>
  <c r="I21" i="9"/>
  <c r="I22" i="9" s="1"/>
  <c r="K47" i="22"/>
  <c r="H21" i="1"/>
  <c r="H22" i="1" s="1"/>
  <c r="G19" i="21"/>
  <c r="C60" i="22"/>
  <c r="C68" i="22" s="1"/>
  <c r="D44" i="22"/>
  <c r="D57" i="22" s="1"/>
  <c r="D60" i="22" s="1"/>
  <c r="D68" i="22" s="1"/>
  <c r="F603" i="14"/>
  <c r="G20" i="22"/>
  <c r="F21" i="21"/>
  <c r="F22" i="21" s="1"/>
  <c r="E39" i="22"/>
  <c r="E56" i="22" s="1"/>
  <c r="E65" i="22"/>
  <c r="E67" i="22" s="1"/>
  <c r="F660" i="14"/>
  <c r="G20" i="21"/>
  <c r="E65" i="21"/>
  <c r="E67" i="21" s="1"/>
  <c r="E39" i="21"/>
  <c r="G19" i="22"/>
  <c r="D56" i="21"/>
  <c r="D44" i="21"/>
  <c r="D57" i="21" s="1"/>
  <c r="F21" i="22"/>
  <c r="F22" i="22" s="1"/>
  <c r="K58" i="32"/>
  <c r="B664" i="14"/>
  <c r="E664" i="14" s="1"/>
  <c r="E606" i="14"/>
  <c r="D195" i="14"/>
  <c r="C56" i="14"/>
  <c r="D56" i="14" s="1"/>
  <c r="E57" i="14" s="1"/>
  <c r="C57" i="14" s="1"/>
  <c r="F56" i="14"/>
  <c r="L36" i="22"/>
  <c r="C322" i="14"/>
  <c r="C586" i="14"/>
  <c r="D586" i="14" s="1"/>
  <c r="E587" i="14" s="1"/>
  <c r="F587" i="14" s="1"/>
  <c r="B608" i="14" s="1"/>
  <c r="C607" i="14"/>
  <c r="B323" i="14"/>
  <c r="E323" i="14" s="1"/>
  <c r="M47" i="8"/>
  <c r="C244" i="14"/>
  <c r="D244" i="14" s="1"/>
  <c r="E247" i="14" s="1"/>
  <c r="F244" i="14"/>
  <c r="N36" i="8"/>
  <c r="L58" i="8"/>
  <c r="F321" i="14"/>
  <c r="J20" i="8"/>
  <c r="F69" i="8"/>
  <c r="F18" i="6" s="1"/>
  <c r="G44" i="8"/>
  <c r="G57" i="8" s="1"/>
  <c r="G60" i="8" s="1"/>
  <c r="G68" i="8" s="1"/>
  <c r="I19" i="8"/>
  <c r="D55" i="10"/>
  <c r="D57" i="10" s="1"/>
  <c r="D58" i="10" s="1"/>
  <c r="D59" i="10"/>
  <c r="H21" i="8"/>
  <c r="H22" i="8" s="1"/>
  <c r="F35" i="6"/>
  <c r="H69" i="9"/>
  <c r="H19" i="6" s="1"/>
  <c r="C663" i="14"/>
  <c r="G69" i="9"/>
  <c r="G19" i="6" s="1"/>
  <c r="C435" i="14"/>
  <c r="D435" i="14" s="1"/>
  <c r="E436" i="14" s="1"/>
  <c r="G36" i="6"/>
  <c r="F435" i="14"/>
  <c r="K36" i="9"/>
  <c r="H36" i="6"/>
  <c r="M58" i="1"/>
  <c r="C503" i="14"/>
  <c r="C504" i="14" s="1"/>
  <c r="E503" i="14"/>
  <c r="B504" i="14"/>
  <c r="O36" i="1"/>
  <c r="B261" i="14"/>
  <c r="B134" i="14"/>
  <c r="B135" i="14" s="1"/>
  <c r="N47" i="1"/>
  <c r="C133" i="14"/>
  <c r="F130" i="14" l="1"/>
  <c r="F131" i="14" s="1"/>
  <c r="K20" i="1" s="1"/>
  <c r="I19" i="1"/>
  <c r="I21" i="1" s="1"/>
  <c r="I22" i="1" s="1"/>
  <c r="E39" i="6"/>
  <c r="E41" i="6" s="1"/>
  <c r="F27" i="6"/>
  <c r="E12" i="10" s="1"/>
  <c r="E16" i="10" s="1"/>
  <c r="E18" i="10" s="1"/>
  <c r="E24" i="10" s="1"/>
  <c r="E25" i="10" s="1"/>
  <c r="F34" i="6"/>
  <c r="E44" i="22"/>
  <c r="E57" i="22" s="1"/>
  <c r="E60" i="22" s="1"/>
  <c r="E68" i="22" s="1"/>
  <c r="G34" i="6"/>
  <c r="D24" i="10"/>
  <c r="K58" i="22"/>
  <c r="I19" i="31"/>
  <c r="G39" i="31"/>
  <c r="G56" i="31" s="1"/>
  <c r="G65" i="31"/>
  <c r="G67" i="31" s="1"/>
  <c r="H21" i="31"/>
  <c r="H22" i="31" s="1"/>
  <c r="B865" i="14"/>
  <c r="E865" i="14" s="1"/>
  <c r="J47" i="30"/>
  <c r="G69" i="1"/>
  <c r="G17" i="6" s="1"/>
  <c r="D848" i="14"/>
  <c r="E849" i="14" s="1"/>
  <c r="F776" i="14"/>
  <c r="K20" i="32" s="1"/>
  <c r="E802" i="14"/>
  <c r="I36" i="31" s="1"/>
  <c r="I39" i="9"/>
  <c r="I65" i="9"/>
  <c r="I67" i="9" s="1"/>
  <c r="D60" i="21"/>
  <c r="D68" i="21" s="1"/>
  <c r="F36" i="6"/>
  <c r="F37" i="6" s="1"/>
  <c r="E47" i="10" s="1"/>
  <c r="E51" i="10" s="1"/>
  <c r="H65" i="1"/>
  <c r="H67" i="1" s="1"/>
  <c r="H39" i="1"/>
  <c r="H56" i="1" s="1"/>
  <c r="G21" i="22"/>
  <c r="G22" i="22" s="1"/>
  <c r="E56" i="21"/>
  <c r="E44" i="21"/>
  <c r="E57" i="21" s="1"/>
  <c r="F661" i="14"/>
  <c r="H20" i="21"/>
  <c r="F604" i="14"/>
  <c r="H20" i="22"/>
  <c r="F65" i="22"/>
  <c r="F67" i="22" s="1"/>
  <c r="F39" i="22"/>
  <c r="F56" i="22" s="1"/>
  <c r="H19" i="21"/>
  <c r="F39" i="21"/>
  <c r="F56" i="21" s="1"/>
  <c r="F65" i="21"/>
  <c r="F67" i="21" s="1"/>
  <c r="H19" i="22"/>
  <c r="D69" i="22"/>
  <c r="AM20" i="6" s="1"/>
  <c r="C69" i="22"/>
  <c r="AL20" i="6" s="1"/>
  <c r="G21" i="21"/>
  <c r="G22" i="21" s="1"/>
  <c r="E134" i="14"/>
  <c r="C587" i="14"/>
  <c r="D587" i="14" s="1"/>
  <c r="C323" i="14"/>
  <c r="C641" i="14"/>
  <c r="D641" i="14" s="1"/>
  <c r="E642" i="14" s="1"/>
  <c r="F642" i="14" s="1"/>
  <c r="L36" i="21"/>
  <c r="C608" i="14"/>
  <c r="C247" i="14"/>
  <c r="D247" i="14" s="1"/>
  <c r="E248" i="14" s="1"/>
  <c r="O36" i="8"/>
  <c r="F247" i="14"/>
  <c r="B324" i="14"/>
  <c r="N47" i="8"/>
  <c r="M58" i="8"/>
  <c r="E607" i="14"/>
  <c r="L47" i="22"/>
  <c r="M36" i="22"/>
  <c r="G35" i="6"/>
  <c r="G69" i="8"/>
  <c r="G18" i="6" s="1"/>
  <c r="F322" i="14"/>
  <c r="K20" i="8"/>
  <c r="H65" i="8"/>
  <c r="H67" i="8" s="1"/>
  <c r="H39" i="8"/>
  <c r="H56" i="8" s="1"/>
  <c r="E45" i="10"/>
  <c r="D60" i="10"/>
  <c r="I21" i="8"/>
  <c r="I22" i="8" s="1"/>
  <c r="J19" i="8"/>
  <c r="C134" i="14"/>
  <c r="K47" i="9"/>
  <c r="B506" i="14"/>
  <c r="E506" i="14" s="1"/>
  <c r="C436" i="14"/>
  <c r="D436" i="14" s="1"/>
  <c r="E437" i="14" s="1"/>
  <c r="L36" i="9"/>
  <c r="F436" i="14"/>
  <c r="D57" i="14"/>
  <c r="E58" i="14" s="1"/>
  <c r="C58" i="14" s="1"/>
  <c r="B263" i="14"/>
  <c r="B265" i="14" s="1"/>
  <c r="O47" i="1"/>
  <c r="B137" i="14"/>
  <c r="E137" i="14" s="1"/>
  <c r="F503" i="14"/>
  <c r="E504" i="14"/>
  <c r="N58" i="1"/>
  <c r="P36" i="1"/>
  <c r="F57" i="14"/>
  <c r="F132" i="14" l="1"/>
  <c r="F133" i="14" s="1"/>
  <c r="J20" i="1"/>
  <c r="K19" i="1" s="1"/>
  <c r="C324" i="14"/>
  <c r="D25" i="10"/>
  <c r="E69" i="22"/>
  <c r="AN20" i="6" s="1"/>
  <c r="G37" i="6"/>
  <c r="F47" i="10" s="1"/>
  <c r="F51" i="10" s="1"/>
  <c r="G44" i="31"/>
  <c r="G57" i="31" s="1"/>
  <c r="G60" i="31" s="1"/>
  <c r="G68" i="31" s="1"/>
  <c r="G27" i="6"/>
  <c r="H65" i="31"/>
  <c r="H67" i="31" s="1"/>
  <c r="H39" i="31"/>
  <c r="H56" i="31" s="1"/>
  <c r="F849" i="14"/>
  <c r="K36" i="30"/>
  <c r="J58" i="30"/>
  <c r="D69" i="21"/>
  <c r="AM21" i="6" s="1"/>
  <c r="C849" i="14"/>
  <c r="F802" i="14"/>
  <c r="C802" i="14"/>
  <c r="D802" i="14" s="1"/>
  <c r="J19" i="1"/>
  <c r="F777" i="14"/>
  <c r="I56" i="9"/>
  <c r="I44" i="9"/>
  <c r="I57" i="9" s="1"/>
  <c r="F44" i="21"/>
  <c r="F57" i="21" s="1"/>
  <c r="F60" i="21" s="1"/>
  <c r="F68" i="21" s="1"/>
  <c r="F44" i="22"/>
  <c r="F57" i="22" s="1"/>
  <c r="F60" i="22" s="1"/>
  <c r="F68" i="22" s="1"/>
  <c r="H44" i="1"/>
  <c r="H57" i="1" s="1"/>
  <c r="H60" i="1" s="1"/>
  <c r="H68" i="1" s="1"/>
  <c r="F39" i="6"/>
  <c r="F41" i="6" s="1"/>
  <c r="E60" i="21"/>
  <c r="E68" i="21" s="1"/>
  <c r="I39" i="1"/>
  <c r="I56" i="1" s="1"/>
  <c r="I65" i="1"/>
  <c r="I67" i="1" s="1"/>
  <c r="K21" i="1"/>
  <c r="K22" i="1" s="1"/>
  <c r="G39" i="21"/>
  <c r="G65" i="21"/>
  <c r="G67" i="21" s="1"/>
  <c r="I20" i="22"/>
  <c r="F605" i="14"/>
  <c r="F662" i="14"/>
  <c r="I20" i="21"/>
  <c r="G39" i="22"/>
  <c r="G65" i="22"/>
  <c r="G67" i="22" s="1"/>
  <c r="H21" i="22"/>
  <c r="H22" i="22" s="1"/>
  <c r="H21" i="21"/>
  <c r="H22" i="21" s="1"/>
  <c r="I19" i="21"/>
  <c r="B665" i="14"/>
  <c r="E665" i="14" s="1"/>
  <c r="F504" i="14"/>
  <c r="J20" i="9" s="1"/>
  <c r="E324" i="14"/>
  <c r="B325" i="14"/>
  <c r="L47" i="21"/>
  <c r="M36" i="21"/>
  <c r="N58" i="8"/>
  <c r="B327" i="14"/>
  <c r="O47" i="8"/>
  <c r="C248" i="14"/>
  <c r="D248" i="14" s="1"/>
  <c r="E249" i="14" s="1"/>
  <c r="P36" i="8"/>
  <c r="F248" i="14"/>
  <c r="E588" i="14"/>
  <c r="F588" i="14" s="1"/>
  <c r="B609" i="14" s="1"/>
  <c r="C609" i="14" s="1"/>
  <c r="C664" i="14"/>
  <c r="F10" i="10"/>
  <c r="E20" i="10"/>
  <c r="E22" i="10" s="1"/>
  <c r="E608" i="14"/>
  <c r="M47" i="22"/>
  <c r="L58" i="22"/>
  <c r="J21" i="8"/>
  <c r="J22" i="8" s="1"/>
  <c r="I65" i="8"/>
  <c r="I67" i="8" s="1"/>
  <c r="I39" i="8"/>
  <c r="I56" i="8" s="1"/>
  <c r="K19" i="8"/>
  <c r="H44" i="8"/>
  <c r="H57" i="8" s="1"/>
  <c r="H60" i="8" s="1"/>
  <c r="H68" i="8" s="1"/>
  <c r="E53" i="10"/>
  <c r="E55" i="10" s="1"/>
  <c r="E57" i="10" s="1"/>
  <c r="F323" i="14"/>
  <c r="L20" i="8"/>
  <c r="C506" i="14"/>
  <c r="C642" i="14"/>
  <c r="D642" i="14" s="1"/>
  <c r="E643" i="14" s="1"/>
  <c r="F643" i="14" s="1"/>
  <c r="C137" i="14"/>
  <c r="L47" i="9"/>
  <c r="B507" i="14"/>
  <c r="E507" i="14" s="1"/>
  <c r="C437" i="14"/>
  <c r="D437" i="14" s="1"/>
  <c r="E438" i="14" s="1"/>
  <c r="M36" i="9"/>
  <c r="F437" i="14"/>
  <c r="K58" i="9"/>
  <c r="B267" i="14"/>
  <c r="B269" i="14" s="1"/>
  <c r="Q36" i="1"/>
  <c r="F58" i="14"/>
  <c r="B138" i="14"/>
  <c r="E138" i="14" s="1"/>
  <c r="P47" i="1"/>
  <c r="O58" i="1"/>
  <c r="D58" i="14"/>
  <c r="E59" i="14" s="1"/>
  <c r="C59" i="14" s="1"/>
  <c r="C327" i="14" l="1"/>
  <c r="L20" i="1"/>
  <c r="G39" i="6"/>
  <c r="G41" i="6" s="1"/>
  <c r="G69" i="31"/>
  <c r="AT24" i="6" s="1"/>
  <c r="F506" i="14"/>
  <c r="K20" i="9" s="1"/>
  <c r="F12" i="10"/>
  <c r="F16" i="10" s="1"/>
  <c r="F18" i="10" s="1"/>
  <c r="F20" i="10" s="1"/>
  <c r="F22" i="10" s="1"/>
  <c r="N36" i="22"/>
  <c r="I44" i="1"/>
  <c r="I57" i="1" s="1"/>
  <c r="I60" i="1" s="1"/>
  <c r="I68" i="1" s="1"/>
  <c r="J21" i="1"/>
  <c r="J22" i="1" s="1"/>
  <c r="J39" i="1" s="1"/>
  <c r="J56" i="1" s="1"/>
  <c r="B820" i="14"/>
  <c r="I47" i="31"/>
  <c r="H44" i="31"/>
  <c r="H57" i="31" s="1"/>
  <c r="H60" i="31" s="1"/>
  <c r="H68" i="31" s="1"/>
  <c r="B866" i="14"/>
  <c r="E866" i="14" s="1"/>
  <c r="K47" i="30"/>
  <c r="D849" i="14"/>
  <c r="E803" i="14"/>
  <c r="J36" i="31" s="1"/>
  <c r="I60" i="9"/>
  <c r="I68" i="9" s="1"/>
  <c r="E69" i="21"/>
  <c r="AN21" i="6" s="1"/>
  <c r="H69" i="1"/>
  <c r="H17" i="6" s="1"/>
  <c r="M20" i="1"/>
  <c r="F134" i="14"/>
  <c r="F135" i="14" s="1"/>
  <c r="L19" i="1"/>
  <c r="K39" i="1"/>
  <c r="K65" i="1"/>
  <c r="K67" i="1" s="1"/>
  <c r="I21" i="21"/>
  <c r="I22" i="21" s="1"/>
  <c r="G56" i="22"/>
  <c r="G44" i="22"/>
  <c r="G57" i="22" s="1"/>
  <c r="J20" i="21"/>
  <c r="F663" i="14"/>
  <c r="K20" i="21" s="1"/>
  <c r="I19" i="22"/>
  <c r="F69" i="21"/>
  <c r="AO21" i="6" s="1"/>
  <c r="G56" i="21"/>
  <c r="G44" i="21"/>
  <c r="G57" i="21" s="1"/>
  <c r="H65" i="21"/>
  <c r="H67" i="21" s="1"/>
  <c r="H39" i="21"/>
  <c r="H39" i="22"/>
  <c r="H56" i="22" s="1"/>
  <c r="H65" i="22"/>
  <c r="H67" i="22" s="1"/>
  <c r="J19" i="21"/>
  <c r="J20" i="22"/>
  <c r="F606" i="14"/>
  <c r="F69" i="22"/>
  <c r="AO20" i="6" s="1"/>
  <c r="B666" i="14"/>
  <c r="E666" i="14" s="1"/>
  <c r="E327" i="14"/>
  <c r="L58" i="21"/>
  <c r="N36" i="21"/>
  <c r="M47" i="21"/>
  <c r="C665" i="14"/>
  <c r="B328" i="14"/>
  <c r="E328" i="14" s="1"/>
  <c r="P47" i="8"/>
  <c r="C249" i="14"/>
  <c r="D249" i="14" s="1"/>
  <c r="E250" i="14" s="1"/>
  <c r="Q36" i="8"/>
  <c r="F249" i="14"/>
  <c r="O58" i="8"/>
  <c r="C588" i="14"/>
  <c r="D588" i="14" s="1"/>
  <c r="E589" i="14" s="1"/>
  <c r="F589" i="14" s="1"/>
  <c r="B610" i="14" s="1"/>
  <c r="E609" i="14"/>
  <c r="N47" i="22"/>
  <c r="M58" i="22"/>
  <c r="I44" i="8"/>
  <c r="I57" i="8" s="1"/>
  <c r="I60" i="8" s="1"/>
  <c r="I68" i="8" s="1"/>
  <c r="L19" i="8"/>
  <c r="H35" i="6"/>
  <c r="J39" i="8"/>
  <c r="J56" i="8" s="1"/>
  <c r="J65" i="8"/>
  <c r="J67" i="8" s="1"/>
  <c r="H69" i="8"/>
  <c r="H18" i="6" s="1"/>
  <c r="M20" i="8"/>
  <c r="F324" i="14"/>
  <c r="F325" i="14" s="1"/>
  <c r="F45" i="10"/>
  <c r="E59" i="10"/>
  <c r="E60" i="10" s="1"/>
  <c r="K21" i="8"/>
  <c r="K22" i="8" s="1"/>
  <c r="C643" i="14"/>
  <c r="C507" i="14"/>
  <c r="B508" i="14"/>
  <c r="E508" i="14" s="1"/>
  <c r="M47" i="9"/>
  <c r="C438" i="14"/>
  <c r="D438" i="14" s="1"/>
  <c r="E441" i="14" s="1"/>
  <c r="F438" i="14"/>
  <c r="N36" i="9"/>
  <c r="L58" i="9"/>
  <c r="C138" i="14"/>
  <c r="R36" i="1"/>
  <c r="F59" i="14"/>
  <c r="J19" i="9"/>
  <c r="D59" i="14"/>
  <c r="E60" i="14" s="1"/>
  <c r="C60" i="14" s="1"/>
  <c r="P58" i="1"/>
  <c r="B139" i="14"/>
  <c r="Q47" i="1"/>
  <c r="B271" i="14"/>
  <c r="B275" i="14" s="1"/>
  <c r="F507" i="14" l="1"/>
  <c r="L20" i="9" s="1"/>
  <c r="H34" i="6"/>
  <c r="H37" i="6" s="1"/>
  <c r="G47" i="10" s="1"/>
  <c r="G51" i="10" s="1"/>
  <c r="I34" i="6"/>
  <c r="I69" i="1"/>
  <c r="I17" i="6" s="1"/>
  <c r="J65" i="1"/>
  <c r="J67" i="1" s="1"/>
  <c r="H27" i="6"/>
  <c r="G12" i="10" s="1"/>
  <c r="G16" i="10" s="1"/>
  <c r="H69" i="31"/>
  <c r="AU24" i="6" s="1"/>
  <c r="E820" i="14"/>
  <c r="F820" i="14" s="1"/>
  <c r="I20" i="31" s="1"/>
  <c r="C820" i="14"/>
  <c r="I58" i="31"/>
  <c r="K58" i="30"/>
  <c r="F803" i="14"/>
  <c r="C803" i="14"/>
  <c r="E139" i="14"/>
  <c r="I36" i="6"/>
  <c r="I69" i="9"/>
  <c r="I19" i="6" s="1"/>
  <c r="J44" i="8"/>
  <c r="J57" i="8" s="1"/>
  <c r="J60" i="8" s="1"/>
  <c r="J68" i="8" s="1"/>
  <c r="G60" i="21"/>
  <c r="G68" i="21" s="1"/>
  <c r="G60" i="22"/>
  <c r="G68" i="22" s="1"/>
  <c r="H44" i="22"/>
  <c r="H57" i="22" s="1"/>
  <c r="H60" i="22" s="1"/>
  <c r="H68" i="22" s="1"/>
  <c r="L21" i="1"/>
  <c r="L22" i="1" s="1"/>
  <c r="F137" i="14"/>
  <c r="N20" i="1"/>
  <c r="M19" i="1"/>
  <c r="F664" i="14"/>
  <c r="F665" i="14" s="1"/>
  <c r="J44" i="1"/>
  <c r="J57" i="1" s="1"/>
  <c r="J60" i="1" s="1"/>
  <c r="J68" i="1" s="1"/>
  <c r="K56" i="1"/>
  <c r="K44" i="1"/>
  <c r="K57" i="1" s="1"/>
  <c r="F24" i="10"/>
  <c r="G10" i="10"/>
  <c r="J19" i="22"/>
  <c r="I21" i="22"/>
  <c r="I22" i="22" s="1"/>
  <c r="K19" i="21"/>
  <c r="K20" i="22"/>
  <c r="F607" i="14"/>
  <c r="J21" i="21"/>
  <c r="J22" i="21" s="1"/>
  <c r="H56" i="21"/>
  <c r="H44" i="21"/>
  <c r="H57" i="21" s="1"/>
  <c r="L19" i="21"/>
  <c r="I39" i="21"/>
  <c r="I56" i="21" s="1"/>
  <c r="I65" i="21"/>
  <c r="I67" i="21" s="1"/>
  <c r="C610" i="14"/>
  <c r="B611" i="14"/>
  <c r="O36" i="22"/>
  <c r="N47" i="21"/>
  <c r="M58" i="21"/>
  <c r="C328" i="14"/>
  <c r="B329" i="14"/>
  <c r="E329" i="14" s="1"/>
  <c r="Q47" i="8"/>
  <c r="C250" i="14"/>
  <c r="D250" i="14" s="1"/>
  <c r="E252" i="14" s="1"/>
  <c r="R36" i="8"/>
  <c r="F250" i="14"/>
  <c r="P58" i="8"/>
  <c r="C589" i="14"/>
  <c r="O47" i="22"/>
  <c r="N58" i="22"/>
  <c r="I35" i="6"/>
  <c r="F327" i="14"/>
  <c r="N20" i="8"/>
  <c r="I69" i="8"/>
  <c r="I18" i="6" s="1"/>
  <c r="K39" i="8"/>
  <c r="K56" i="8" s="1"/>
  <c r="K65" i="8"/>
  <c r="K67" i="8" s="1"/>
  <c r="F53" i="10"/>
  <c r="F55" i="10" s="1"/>
  <c r="F57" i="10" s="1"/>
  <c r="M19" i="8"/>
  <c r="L21" i="8"/>
  <c r="L22" i="8" s="1"/>
  <c r="D643" i="14"/>
  <c r="E644" i="14" s="1"/>
  <c r="F644" i="14" s="1"/>
  <c r="C508" i="14"/>
  <c r="B509" i="14"/>
  <c r="B510" i="14" s="1"/>
  <c r="N47" i="9"/>
  <c r="M58" i="9"/>
  <c r="C441" i="14"/>
  <c r="D441" i="14" s="1"/>
  <c r="E442" i="14" s="1"/>
  <c r="O36" i="9"/>
  <c r="F441" i="14"/>
  <c r="K19" i="9"/>
  <c r="S36" i="1"/>
  <c r="F60" i="14"/>
  <c r="J21" i="9"/>
  <c r="J22" i="9" s="1"/>
  <c r="C139" i="14"/>
  <c r="B276" i="14"/>
  <c r="Q58" i="1"/>
  <c r="D60" i="14"/>
  <c r="E62" i="14" s="1"/>
  <c r="R47" i="1"/>
  <c r="B140" i="14"/>
  <c r="F508" i="14" l="1"/>
  <c r="M20" i="9" s="1"/>
  <c r="F25" i="10"/>
  <c r="I37" i="6"/>
  <c r="H47" i="10" s="1"/>
  <c r="H51" i="10" s="1"/>
  <c r="K44" i="8"/>
  <c r="K57" i="8" s="1"/>
  <c r="K60" i="8" s="1"/>
  <c r="K68" i="8" s="1"/>
  <c r="H39" i="6"/>
  <c r="H41" i="6" s="1"/>
  <c r="I27" i="6"/>
  <c r="J34" i="6"/>
  <c r="B821" i="14"/>
  <c r="C821" i="14" s="1"/>
  <c r="J47" i="31"/>
  <c r="J19" i="31"/>
  <c r="I21" i="31"/>
  <c r="I22" i="31" s="1"/>
  <c r="G69" i="22"/>
  <c r="AP20" i="6" s="1"/>
  <c r="E821" i="14"/>
  <c r="F821" i="14" s="1"/>
  <c r="J20" i="31" s="1"/>
  <c r="J69" i="1"/>
  <c r="J17" i="6" s="1"/>
  <c r="D803" i="14"/>
  <c r="E804" i="14" s="1"/>
  <c r="E140" i="14"/>
  <c r="G18" i="10"/>
  <c r="G20" i="10" s="1"/>
  <c r="G22" i="10" s="1"/>
  <c r="G23" i="10" s="1"/>
  <c r="H10" i="10" s="1"/>
  <c r="H69" i="22"/>
  <c r="AQ20" i="6" s="1"/>
  <c r="G69" i="21"/>
  <c r="AP21" i="6" s="1"/>
  <c r="L20" i="21"/>
  <c r="M19" i="21" s="1"/>
  <c r="K34" i="6"/>
  <c r="M21" i="1"/>
  <c r="M22" i="1" s="1"/>
  <c r="N19" i="1"/>
  <c r="F138" i="14"/>
  <c r="O20" i="1"/>
  <c r="L39" i="1"/>
  <c r="L65" i="1"/>
  <c r="L67" i="1" s="1"/>
  <c r="H60" i="21"/>
  <c r="H68" i="21" s="1"/>
  <c r="K60" i="1"/>
  <c r="K68" i="1" s="1"/>
  <c r="I44" i="21"/>
  <c r="I57" i="21" s="1"/>
  <c r="I60" i="21" s="1"/>
  <c r="I68" i="21" s="1"/>
  <c r="J65" i="21"/>
  <c r="J67" i="21" s="1"/>
  <c r="J39" i="21"/>
  <c r="K19" i="22"/>
  <c r="K21" i="21"/>
  <c r="K22" i="21" s="1"/>
  <c r="I39" i="22"/>
  <c r="I56" i="22" s="1"/>
  <c r="I65" i="22"/>
  <c r="I67" i="22" s="1"/>
  <c r="L20" i="22"/>
  <c r="F608" i="14"/>
  <c r="J21" i="22"/>
  <c r="J22" i="22" s="1"/>
  <c r="B667" i="14"/>
  <c r="E667" i="14" s="1"/>
  <c r="B668" i="14"/>
  <c r="O36" i="21"/>
  <c r="C666" i="14"/>
  <c r="N58" i="21"/>
  <c r="F666" i="14"/>
  <c r="N20" i="21" s="1"/>
  <c r="M20" i="21"/>
  <c r="C329" i="14"/>
  <c r="R47" i="8"/>
  <c r="B330" i="14"/>
  <c r="E330" i="14" s="1"/>
  <c r="C252" i="14"/>
  <c r="F252" i="14"/>
  <c r="S36" i="8"/>
  <c r="E254" i="14"/>
  <c r="D589" i="14"/>
  <c r="Q58" i="8"/>
  <c r="E610" i="14"/>
  <c r="O58" i="22"/>
  <c r="Q36" i="22"/>
  <c r="L65" i="8"/>
  <c r="L67" i="8" s="1"/>
  <c r="L39" i="8"/>
  <c r="L56" i="8" s="1"/>
  <c r="M21" i="8"/>
  <c r="M22" i="8" s="1"/>
  <c r="N19" i="8"/>
  <c r="J35" i="6"/>
  <c r="F59" i="10"/>
  <c r="F60" i="10" s="1"/>
  <c r="G45" i="10"/>
  <c r="G53" i="10" s="1"/>
  <c r="J69" i="8"/>
  <c r="J18" i="6" s="1"/>
  <c r="O20" i="8"/>
  <c r="F328" i="14"/>
  <c r="C644" i="14"/>
  <c r="B512" i="14"/>
  <c r="E512" i="14" s="1"/>
  <c r="O47" i="9"/>
  <c r="C442" i="14"/>
  <c r="D442" i="14" s="1"/>
  <c r="E443" i="14" s="1"/>
  <c r="F442" i="14"/>
  <c r="P36" i="9"/>
  <c r="E509" i="14"/>
  <c r="C509" i="14"/>
  <c r="C512" i="14" s="1"/>
  <c r="N58" i="9"/>
  <c r="F62" i="14"/>
  <c r="T36" i="1"/>
  <c r="E64" i="14"/>
  <c r="L19" i="9"/>
  <c r="B277" i="14"/>
  <c r="J65" i="9"/>
  <c r="J67" i="9" s="1"/>
  <c r="J39" i="9"/>
  <c r="J56" i="9" s="1"/>
  <c r="B141" i="14"/>
  <c r="S47" i="1"/>
  <c r="R58" i="1"/>
  <c r="K21" i="9"/>
  <c r="K22" i="9" s="1"/>
  <c r="C62" i="14"/>
  <c r="C140" i="14"/>
  <c r="F509" i="14" l="1"/>
  <c r="F510" i="14" s="1"/>
  <c r="I39" i="6"/>
  <c r="H12" i="10"/>
  <c r="H16" i="10" s="1"/>
  <c r="H18" i="10" s="1"/>
  <c r="H20" i="10" s="1"/>
  <c r="H22" i="10" s="1"/>
  <c r="I41" i="6"/>
  <c r="H69" i="21"/>
  <c r="AQ21" i="6" s="1"/>
  <c r="I44" i="22"/>
  <c r="I57" i="22" s="1"/>
  <c r="I60" i="22" s="1"/>
  <c r="I68" i="22" s="1"/>
  <c r="F804" i="14"/>
  <c r="K36" i="31"/>
  <c r="I65" i="31"/>
  <c r="I67" i="31" s="1"/>
  <c r="I39" i="31"/>
  <c r="I56" i="31" s="1"/>
  <c r="J21" i="31"/>
  <c r="J22" i="31" s="1"/>
  <c r="J58" i="31"/>
  <c r="K19" i="31"/>
  <c r="C804" i="14"/>
  <c r="D804" i="14" s="1"/>
  <c r="G24" i="10"/>
  <c r="E141" i="14"/>
  <c r="L21" i="21"/>
  <c r="L22" i="21" s="1"/>
  <c r="L65" i="21" s="1"/>
  <c r="L67" i="21" s="1"/>
  <c r="L56" i="1"/>
  <c r="L44" i="1"/>
  <c r="L57" i="1" s="1"/>
  <c r="P20" i="1"/>
  <c r="F139" i="14"/>
  <c r="M65" i="1"/>
  <c r="M67" i="1" s="1"/>
  <c r="M39" i="1"/>
  <c r="O19" i="1"/>
  <c r="N21" i="1"/>
  <c r="N22" i="1" s="1"/>
  <c r="K69" i="1"/>
  <c r="K17" i="6" s="1"/>
  <c r="I69" i="21"/>
  <c r="AR21" i="6" s="1"/>
  <c r="L19" i="22"/>
  <c r="K21" i="22"/>
  <c r="K22" i="22" s="1"/>
  <c r="J56" i="21"/>
  <c r="J44" i="21"/>
  <c r="J57" i="21" s="1"/>
  <c r="J39" i="22"/>
  <c r="J56" i="22" s="1"/>
  <c r="J65" i="22"/>
  <c r="J67" i="22" s="1"/>
  <c r="M20" i="22"/>
  <c r="F609" i="14"/>
  <c r="N20" i="22" s="1"/>
  <c r="K65" i="21"/>
  <c r="K67" i="21" s="1"/>
  <c r="K39" i="21"/>
  <c r="K56" i="21" s="1"/>
  <c r="C330" i="14"/>
  <c r="O47" i="21"/>
  <c r="N19" i="21"/>
  <c r="M21" i="21"/>
  <c r="M22" i="21" s="1"/>
  <c r="O19" i="21"/>
  <c r="P36" i="22"/>
  <c r="D252" i="14"/>
  <c r="I6" i="19"/>
  <c r="J6" i="19" s="1"/>
  <c r="K20" i="19" s="1"/>
  <c r="R58" i="8"/>
  <c r="B332" i="14"/>
  <c r="E332" i="14" s="1"/>
  <c r="F254" i="14"/>
  <c r="S47" i="8"/>
  <c r="R36" i="22"/>
  <c r="K35" i="6"/>
  <c r="O19" i="8"/>
  <c r="G55" i="10"/>
  <c r="G57" i="10" s="1"/>
  <c r="G58" i="10" s="1"/>
  <c r="H45" i="10" s="1"/>
  <c r="G59" i="10"/>
  <c r="N21" i="8"/>
  <c r="N22" i="8" s="1"/>
  <c r="M39" i="8"/>
  <c r="M56" i="8" s="1"/>
  <c r="M65" i="8"/>
  <c r="M67" i="8" s="1"/>
  <c r="L44" i="8"/>
  <c r="L57" i="8" s="1"/>
  <c r="L60" i="8" s="1"/>
  <c r="L68" i="8" s="1"/>
  <c r="F329" i="14"/>
  <c r="P20" i="8"/>
  <c r="K69" i="8"/>
  <c r="K18" i="6" s="1"/>
  <c r="C141" i="14"/>
  <c r="D644" i="14"/>
  <c r="C443" i="14"/>
  <c r="Q36" i="9"/>
  <c r="F443" i="14"/>
  <c r="B513" i="14"/>
  <c r="E513" i="14" s="1"/>
  <c r="P47" i="9"/>
  <c r="O58" i="9"/>
  <c r="D62" i="14"/>
  <c r="I6" i="17"/>
  <c r="K65" i="9"/>
  <c r="K67" i="9" s="1"/>
  <c r="K39" i="9"/>
  <c r="K56" i="9" s="1"/>
  <c r="M19" i="9"/>
  <c r="S58" i="1"/>
  <c r="B278" i="14"/>
  <c r="L21" i="9"/>
  <c r="L22" i="9" s="1"/>
  <c r="J44" i="9"/>
  <c r="J57" i="9" s="1"/>
  <c r="J60" i="9" s="1"/>
  <c r="J68" i="9" s="1"/>
  <c r="N20" i="9"/>
  <c r="F64" i="14"/>
  <c r="B143" i="14"/>
  <c r="T47" i="1"/>
  <c r="F512" i="14" l="1"/>
  <c r="F513" i="14" s="1"/>
  <c r="J26" i="19"/>
  <c r="I26" i="19"/>
  <c r="G25" i="10"/>
  <c r="I69" i="22"/>
  <c r="AR20" i="6" s="1"/>
  <c r="I44" i="31"/>
  <c r="I57" i="31" s="1"/>
  <c r="I60" i="31" s="1"/>
  <c r="I68" i="31" s="1"/>
  <c r="J44" i="22"/>
  <c r="J57" i="22" s="1"/>
  <c r="J60" i="22" s="1"/>
  <c r="J68" i="22" s="1"/>
  <c r="L39" i="21"/>
  <c r="L56" i="21" s="1"/>
  <c r="J65" i="31"/>
  <c r="J67" i="31" s="1"/>
  <c r="J39" i="31"/>
  <c r="J56" i="31" s="1"/>
  <c r="B822" i="14"/>
  <c r="K47" i="31"/>
  <c r="M44" i="8"/>
  <c r="M57" i="8" s="1"/>
  <c r="M60" i="8" s="1"/>
  <c r="M68" i="8" s="1"/>
  <c r="K44" i="21"/>
  <c r="K57" i="21" s="1"/>
  <c r="K60" i="21" s="1"/>
  <c r="K68" i="21" s="1"/>
  <c r="F610" i="14"/>
  <c r="F611" i="14" s="1"/>
  <c r="N19" i="22"/>
  <c r="J60" i="21"/>
  <c r="J68" i="21" s="1"/>
  <c r="M56" i="1"/>
  <c r="M44" i="1"/>
  <c r="M57" i="1" s="1"/>
  <c r="Q20" i="1"/>
  <c r="F140" i="14"/>
  <c r="L60" i="1"/>
  <c r="L68" i="1" s="1"/>
  <c r="N65" i="1"/>
  <c r="N67" i="1" s="1"/>
  <c r="N39" i="1"/>
  <c r="O21" i="1"/>
  <c r="O22" i="1" s="1"/>
  <c r="P19" i="1"/>
  <c r="L21" i="22"/>
  <c r="L22" i="22" s="1"/>
  <c r="M19" i="22"/>
  <c r="K65" i="22"/>
  <c r="K67" i="22" s="1"/>
  <c r="K39" i="22"/>
  <c r="K56" i="22" s="1"/>
  <c r="H24" i="10"/>
  <c r="H25" i="10" s="1"/>
  <c r="I10" i="10"/>
  <c r="F667" i="14"/>
  <c r="C667" i="14"/>
  <c r="O58" i="21"/>
  <c r="L44" i="21"/>
  <c r="L57" i="21" s="1"/>
  <c r="L60" i="21" s="1"/>
  <c r="L68" i="21" s="1"/>
  <c r="M65" i="21"/>
  <c r="M67" i="21" s="1"/>
  <c r="M39" i="21"/>
  <c r="M56" i="21" s="1"/>
  <c r="N21" i="21"/>
  <c r="N22" i="21" s="1"/>
  <c r="C332" i="14"/>
  <c r="E6" i="19" s="1"/>
  <c r="F6" i="19" s="1"/>
  <c r="G6" i="19" s="1"/>
  <c r="S58" i="8"/>
  <c r="P47" i="22"/>
  <c r="C253" i="14"/>
  <c r="K6" i="19"/>
  <c r="P39" i="22"/>
  <c r="R39" i="22"/>
  <c r="L69" i="8"/>
  <c r="L18" i="6" s="1"/>
  <c r="P19" i="8"/>
  <c r="N65" i="8"/>
  <c r="N67" i="8" s="1"/>
  <c r="N39" i="8"/>
  <c r="N56" i="8" s="1"/>
  <c r="G60" i="10"/>
  <c r="Q20" i="8"/>
  <c r="F330" i="14"/>
  <c r="L35" i="6"/>
  <c r="H53" i="10"/>
  <c r="H55" i="10" s="1"/>
  <c r="H57" i="10" s="1"/>
  <c r="O21" i="8"/>
  <c r="O22" i="8" s="1"/>
  <c r="J36" i="6"/>
  <c r="J37" i="6" s="1"/>
  <c r="I47" i="10" s="1"/>
  <c r="I51" i="10" s="1"/>
  <c r="B514" i="14"/>
  <c r="E514" i="14" s="1"/>
  <c r="Q47" i="9"/>
  <c r="D443" i="14"/>
  <c r="E444" i="14" s="1"/>
  <c r="P58" i="9"/>
  <c r="C513" i="14"/>
  <c r="K44" i="9"/>
  <c r="K57" i="9" s="1"/>
  <c r="K60" i="9" s="1"/>
  <c r="K68" i="9" s="1"/>
  <c r="E143" i="14"/>
  <c r="O20" i="9"/>
  <c r="B279" i="14"/>
  <c r="M21" i="9"/>
  <c r="M22" i="9" s="1"/>
  <c r="C143" i="14"/>
  <c r="J69" i="9"/>
  <c r="J19" i="6" s="1"/>
  <c r="J27" i="6" s="1"/>
  <c r="T58" i="1"/>
  <c r="N19" i="9"/>
  <c r="L65" i="9"/>
  <c r="L67" i="9" s="1"/>
  <c r="L39" i="9"/>
  <c r="L56" i="9" s="1"/>
  <c r="J6" i="17"/>
  <c r="K19" i="17" s="1"/>
  <c r="I25" i="17" l="1"/>
  <c r="J25" i="17"/>
  <c r="K26" i="19"/>
  <c r="I69" i="31"/>
  <c r="AV24" i="6" s="1"/>
  <c r="M69" i="8"/>
  <c r="M18" i="6" s="1"/>
  <c r="J69" i="22"/>
  <c r="AS20" i="6" s="1"/>
  <c r="C822" i="14"/>
  <c r="B823" i="14"/>
  <c r="E822" i="14"/>
  <c r="F822" i="14" s="1"/>
  <c r="K58" i="31"/>
  <c r="J44" i="31"/>
  <c r="J57" i="31" s="1"/>
  <c r="J60" i="31" s="1"/>
  <c r="J68" i="31" s="1"/>
  <c r="O20" i="22"/>
  <c r="Q19" i="22" s="1"/>
  <c r="Q21" i="22" s="1"/>
  <c r="Q22" i="22" s="1"/>
  <c r="N21" i="22"/>
  <c r="N22" i="22" s="1"/>
  <c r="N65" i="22" s="1"/>
  <c r="N67" i="22" s="1"/>
  <c r="J69" i="21"/>
  <c r="AS21" i="6" s="1"/>
  <c r="K69" i="21"/>
  <c r="AT21" i="6" s="1"/>
  <c r="M60" i="1"/>
  <c r="M68" i="1" s="1"/>
  <c r="P21" i="1"/>
  <c r="P22" i="1" s="1"/>
  <c r="O39" i="1"/>
  <c r="O65" i="1"/>
  <c r="O67" i="1" s="1"/>
  <c r="L69" i="1"/>
  <c r="L17" i="6" s="1"/>
  <c r="Q19" i="1"/>
  <c r="L34" i="6"/>
  <c r="N56" i="1"/>
  <c r="N44" i="1"/>
  <c r="N57" i="1" s="1"/>
  <c r="R20" i="1"/>
  <c r="F141" i="14"/>
  <c r="M35" i="6"/>
  <c r="K44" i="22"/>
  <c r="K57" i="22" s="1"/>
  <c r="K60" i="22" s="1"/>
  <c r="K68" i="22" s="1"/>
  <c r="M21" i="22"/>
  <c r="M22" i="22" s="1"/>
  <c r="L65" i="22"/>
  <c r="L67" i="22" s="1"/>
  <c r="L39" i="22"/>
  <c r="L56" i="22" s="1"/>
  <c r="O20" i="21"/>
  <c r="F668" i="14"/>
  <c r="L69" i="21"/>
  <c r="AU21" i="6" s="1"/>
  <c r="N39" i="21"/>
  <c r="N56" i="21" s="1"/>
  <c r="N65" i="21"/>
  <c r="N67" i="21" s="1"/>
  <c r="B333" i="14"/>
  <c r="B334" i="14" s="1"/>
  <c r="M44" i="21"/>
  <c r="M57" i="21" s="1"/>
  <c r="M60" i="21" s="1"/>
  <c r="M68" i="21" s="1"/>
  <c r="P44" i="22"/>
  <c r="P57" i="22" s="1"/>
  <c r="P56" i="22"/>
  <c r="D253" i="14"/>
  <c r="D254" i="14" s="1"/>
  <c r="E256" i="14" s="1"/>
  <c r="C254" i="14"/>
  <c r="P58" i="22"/>
  <c r="S36" i="22"/>
  <c r="R56" i="22"/>
  <c r="R44" i="22"/>
  <c r="R57" i="22" s="1"/>
  <c r="O39" i="8"/>
  <c r="O56" i="8" s="1"/>
  <c r="O65" i="8"/>
  <c r="O67" i="8" s="1"/>
  <c r="Q19" i="8"/>
  <c r="P21" i="8"/>
  <c r="P22" i="8" s="1"/>
  <c r="N44" i="8"/>
  <c r="N57" i="8" s="1"/>
  <c r="N60" i="8" s="1"/>
  <c r="N68" i="8" s="1"/>
  <c r="H59" i="10"/>
  <c r="H60" i="10" s="1"/>
  <c r="I45" i="10"/>
  <c r="R20" i="8"/>
  <c r="F332" i="14"/>
  <c r="K69" i="9"/>
  <c r="K19" i="6" s="1"/>
  <c r="K27" i="6" s="1"/>
  <c r="J12" i="10" s="1"/>
  <c r="J16" i="10" s="1"/>
  <c r="C514" i="14"/>
  <c r="F444" i="14"/>
  <c r="R36" i="9"/>
  <c r="Q58" i="9"/>
  <c r="C444" i="14"/>
  <c r="D444" i="14" s="1"/>
  <c r="E446" i="14" s="1"/>
  <c r="L44" i="9"/>
  <c r="L57" i="9" s="1"/>
  <c r="L60" i="9" s="1"/>
  <c r="L68" i="9" s="1"/>
  <c r="C63" i="14"/>
  <c r="K6" i="17"/>
  <c r="E6" i="17"/>
  <c r="M65" i="9"/>
  <c r="M67" i="9" s="1"/>
  <c r="M39" i="9"/>
  <c r="M56" i="9" s="1"/>
  <c r="B280" i="14"/>
  <c r="B281" i="14" s="1"/>
  <c r="P20" i="9"/>
  <c r="F514" i="14"/>
  <c r="K36" i="6"/>
  <c r="K37" i="6" s="1"/>
  <c r="J47" i="10" s="1"/>
  <c r="J51" i="10" s="1"/>
  <c r="N21" i="9"/>
  <c r="N22" i="9" s="1"/>
  <c r="J39" i="6"/>
  <c r="J41" i="6" s="1"/>
  <c r="I12" i="10"/>
  <c r="I16" i="10" s="1"/>
  <c r="I18" i="10" s="1"/>
  <c r="O19" i="9"/>
  <c r="K69" i="22" l="1"/>
  <c r="AT20" i="6" s="1"/>
  <c r="K25" i="17"/>
  <c r="C333" i="14"/>
  <c r="C334" i="14" s="1"/>
  <c r="O44" i="8"/>
  <c r="O57" i="8" s="1"/>
  <c r="O60" i="8" s="1"/>
  <c r="O68" i="8" s="1"/>
  <c r="N39" i="22"/>
  <c r="N44" i="22" s="1"/>
  <c r="N57" i="22" s="1"/>
  <c r="Q65" i="22"/>
  <c r="Q67" i="22" s="1"/>
  <c r="Q39" i="22"/>
  <c r="Q44" i="22" s="1"/>
  <c r="Q57" i="22" s="1"/>
  <c r="O19" i="22"/>
  <c r="N44" i="21"/>
  <c r="N57" i="21" s="1"/>
  <c r="N60" i="21" s="1"/>
  <c r="N68" i="21" s="1"/>
  <c r="J69" i="31"/>
  <c r="AW24" i="6" s="1"/>
  <c r="K20" i="31"/>
  <c r="F823" i="14"/>
  <c r="S20" i="1"/>
  <c r="M69" i="1"/>
  <c r="M17" i="6" s="1"/>
  <c r="N60" i="1"/>
  <c r="N68" i="1" s="1"/>
  <c r="M34" i="6"/>
  <c r="F143" i="14"/>
  <c r="Q21" i="1"/>
  <c r="Q22" i="1" s="1"/>
  <c r="O56" i="1"/>
  <c r="O44" i="1"/>
  <c r="O57" i="1" s="1"/>
  <c r="R19" i="1"/>
  <c r="P39" i="1"/>
  <c r="P65" i="1"/>
  <c r="P67" i="1" s="1"/>
  <c r="L44" i="22"/>
  <c r="L57" i="22" s="1"/>
  <c r="L60" i="22" s="1"/>
  <c r="L68" i="22" s="1"/>
  <c r="M39" i="22"/>
  <c r="M56" i="22" s="1"/>
  <c r="M65" i="22"/>
  <c r="M67" i="22" s="1"/>
  <c r="O21" i="21"/>
  <c r="O22" i="21" s="1"/>
  <c r="M69" i="21"/>
  <c r="AV21" i="6" s="1"/>
  <c r="L36" i="6"/>
  <c r="L37" i="6" s="1"/>
  <c r="K47" i="10" s="1"/>
  <c r="K51" i="10" s="1"/>
  <c r="E333" i="14"/>
  <c r="E334" i="14" s="1"/>
  <c r="C256" i="14"/>
  <c r="D256" i="14" s="1"/>
  <c r="E257" i="14" s="1"/>
  <c r="F257" i="14" s="1"/>
  <c r="F256" i="14"/>
  <c r="T36" i="8"/>
  <c r="P60" i="22"/>
  <c r="P68" i="22" s="1"/>
  <c r="P69" i="22" s="1"/>
  <c r="R60" i="22"/>
  <c r="R68" i="22" s="1"/>
  <c r="R69" i="22" s="1"/>
  <c r="S39" i="22"/>
  <c r="N69" i="8"/>
  <c r="N18" i="6" s="1"/>
  <c r="P65" i="8"/>
  <c r="P67" i="8" s="1"/>
  <c r="P39" i="8"/>
  <c r="P56" i="8" s="1"/>
  <c r="N35" i="6"/>
  <c r="R19" i="8"/>
  <c r="Q21" i="8"/>
  <c r="Q22" i="8" s="1"/>
  <c r="I53" i="10"/>
  <c r="L69" i="9"/>
  <c r="L19" i="6" s="1"/>
  <c r="L27" i="6" s="1"/>
  <c r="K12" i="10" s="1"/>
  <c r="K16" i="10" s="1"/>
  <c r="C446" i="14"/>
  <c r="I7" i="18" s="1"/>
  <c r="S36" i="9"/>
  <c r="E448" i="14"/>
  <c r="F446" i="14"/>
  <c r="B515" i="14"/>
  <c r="R47" i="9"/>
  <c r="M44" i="9"/>
  <c r="M57" i="9" s="1"/>
  <c r="M60" i="9" s="1"/>
  <c r="M68" i="9" s="1"/>
  <c r="I24" i="10"/>
  <c r="J10" i="10"/>
  <c r="I20" i="10"/>
  <c r="I22" i="10" s="1"/>
  <c r="Q20" i="9"/>
  <c r="F6" i="17"/>
  <c r="K39" i="6"/>
  <c r="K41" i="6" s="1"/>
  <c r="O21" i="9"/>
  <c r="O22" i="9" s="1"/>
  <c r="N65" i="9"/>
  <c r="N67" i="9" s="1"/>
  <c r="N39" i="9"/>
  <c r="N56" i="9" s="1"/>
  <c r="P19" i="9"/>
  <c r="D63" i="14"/>
  <c r="D64" i="14" s="1"/>
  <c r="E66" i="14" s="1"/>
  <c r="C64" i="14"/>
  <c r="L69" i="22" l="1"/>
  <c r="AU20" i="6" s="1"/>
  <c r="N69" i="21"/>
  <c r="AW21" i="6" s="1"/>
  <c r="I25" i="10"/>
  <c r="N56" i="22"/>
  <c r="N60" i="22" s="1"/>
  <c r="N68" i="22" s="1"/>
  <c r="N69" i="1"/>
  <c r="N17" i="6" s="1"/>
  <c r="O69" i="8"/>
  <c r="O18" i="6" s="1"/>
  <c r="M44" i="22"/>
  <c r="M57" i="22" s="1"/>
  <c r="M60" i="22" s="1"/>
  <c r="M68" i="22" s="1"/>
  <c r="Q56" i="22"/>
  <c r="Q60" i="22" s="1"/>
  <c r="Q68" i="22" s="1"/>
  <c r="Q69" i="22" s="1"/>
  <c r="O21" i="22"/>
  <c r="O22" i="22" s="1"/>
  <c r="K21" i="31"/>
  <c r="K22" i="31" s="1"/>
  <c r="N34" i="6"/>
  <c r="S19" i="1"/>
  <c r="O60" i="1"/>
  <c r="O68" i="1" s="1"/>
  <c r="Q65" i="1"/>
  <c r="Q67" i="1" s="1"/>
  <c r="Q39" i="1"/>
  <c r="P56" i="1"/>
  <c r="P44" i="1"/>
  <c r="P57" i="1" s="1"/>
  <c r="R21" i="1"/>
  <c r="R22" i="1" s="1"/>
  <c r="O65" i="21"/>
  <c r="O67" i="21" s="1"/>
  <c r="O39" i="21"/>
  <c r="L39" i="6"/>
  <c r="L41" i="6" s="1"/>
  <c r="C257" i="14"/>
  <c r="D257" i="14" s="1"/>
  <c r="E258" i="14" s="1"/>
  <c r="V36" i="8" s="1"/>
  <c r="F333" i="14"/>
  <c r="F334" i="14" s="1"/>
  <c r="U36" i="8"/>
  <c r="B336" i="14"/>
  <c r="T47" i="8"/>
  <c r="U47" i="8"/>
  <c r="B337" i="14"/>
  <c r="E337" i="14" s="1"/>
  <c r="O35" i="6"/>
  <c r="S56" i="22"/>
  <c r="S44" i="22"/>
  <c r="S57" i="22" s="1"/>
  <c r="Q65" i="8"/>
  <c r="Q67" i="8" s="1"/>
  <c r="Q39" i="8"/>
  <c r="Q56" i="8" s="1"/>
  <c r="P44" i="8"/>
  <c r="P57" i="8" s="1"/>
  <c r="P60" i="8" s="1"/>
  <c r="P68" i="8" s="1"/>
  <c r="I59" i="10"/>
  <c r="I60" i="10" s="1"/>
  <c r="J45" i="10"/>
  <c r="R21" i="8"/>
  <c r="R22" i="8" s="1"/>
  <c r="I55" i="10"/>
  <c r="I57" i="10" s="1"/>
  <c r="M69" i="9"/>
  <c r="M19" i="6" s="1"/>
  <c r="M27" i="6" s="1"/>
  <c r="L12" i="10" s="1"/>
  <c r="L16" i="10" s="1"/>
  <c r="E515" i="14"/>
  <c r="F515" i="14" s="1"/>
  <c r="R20" i="9" s="1"/>
  <c r="C515" i="14"/>
  <c r="D446" i="14"/>
  <c r="C447" i="14"/>
  <c r="D447" i="14" s="1"/>
  <c r="R58" i="9"/>
  <c r="F448" i="14"/>
  <c r="B517" i="14"/>
  <c r="S47" i="9"/>
  <c r="N44" i="9"/>
  <c r="N57" i="9" s="1"/>
  <c r="N60" i="9" s="1"/>
  <c r="N68" i="9" s="1"/>
  <c r="B282" i="14"/>
  <c r="J18" i="10"/>
  <c r="J20" i="10" s="1"/>
  <c r="J22" i="10" s="1"/>
  <c r="J23" i="10" s="1"/>
  <c r="C66" i="14"/>
  <c r="M36" i="6"/>
  <c r="M37" i="6" s="1"/>
  <c r="L47" i="10" s="1"/>
  <c r="L51" i="10" s="1"/>
  <c r="U36" i="1"/>
  <c r="F66" i="14"/>
  <c r="P21" i="9"/>
  <c r="P22" i="9" s="1"/>
  <c r="O65" i="9"/>
  <c r="O67" i="9" s="1"/>
  <c r="O39" i="9"/>
  <c r="O56" i="9" s="1"/>
  <c r="G6" i="17"/>
  <c r="B144" i="14"/>
  <c r="Q19" i="9"/>
  <c r="M69" i="22" l="1"/>
  <c r="AV20" i="6" s="1"/>
  <c r="O39" i="22"/>
  <c r="O56" i="22" s="1"/>
  <c r="O65" i="22"/>
  <c r="O67" i="22" s="1"/>
  <c r="K65" i="31"/>
  <c r="K67" i="31" s="1"/>
  <c r="K39" i="31"/>
  <c r="K56" i="31" s="1"/>
  <c r="S21" i="1"/>
  <c r="S22" i="1" s="1"/>
  <c r="P34" i="6"/>
  <c r="P60" i="1"/>
  <c r="P68" i="1" s="1"/>
  <c r="R65" i="1"/>
  <c r="R67" i="1" s="1"/>
  <c r="R39" i="1"/>
  <c r="Q56" i="1"/>
  <c r="Q44" i="1"/>
  <c r="Q57" i="1" s="1"/>
  <c r="O69" i="1"/>
  <c r="O17" i="6" s="1"/>
  <c r="O34" i="6"/>
  <c r="E517" i="14"/>
  <c r="F517" i="14" s="1"/>
  <c r="E518" i="14" s="1"/>
  <c r="O56" i="21"/>
  <c r="O44" i="21"/>
  <c r="O57" i="21" s="1"/>
  <c r="F258" i="14"/>
  <c r="V47" i="8" s="1"/>
  <c r="S20" i="8"/>
  <c r="C258" i="14"/>
  <c r="D258" i="14" s="1"/>
  <c r="E259" i="14" s="1"/>
  <c r="C259" i="14" s="1"/>
  <c r="D259" i="14" s="1"/>
  <c r="E261" i="14" s="1"/>
  <c r="N69" i="22"/>
  <c r="AW20" i="6" s="1"/>
  <c r="T58" i="8"/>
  <c r="U58" i="8"/>
  <c r="E336" i="14"/>
  <c r="F336" i="14" s="1"/>
  <c r="C336" i="14"/>
  <c r="C337" i="14" s="1"/>
  <c r="P35" i="6"/>
  <c r="S60" i="22"/>
  <c r="S68" i="22" s="1"/>
  <c r="S69" i="22" s="1"/>
  <c r="R39" i="8"/>
  <c r="R56" i="8" s="1"/>
  <c r="R65" i="8"/>
  <c r="R67" i="8" s="1"/>
  <c r="J53" i="10"/>
  <c r="Q44" i="8"/>
  <c r="Q57" i="8" s="1"/>
  <c r="Q60" i="8" s="1"/>
  <c r="Q68" i="8" s="1"/>
  <c r="P69" i="8"/>
  <c r="P18" i="6" s="1"/>
  <c r="N69" i="9"/>
  <c r="N19" i="6" s="1"/>
  <c r="N27" i="6" s="1"/>
  <c r="M12" i="10" s="1"/>
  <c r="M16" i="10" s="1"/>
  <c r="C448" i="14"/>
  <c r="D448" i="14"/>
  <c r="E450" i="14" s="1"/>
  <c r="S58" i="9"/>
  <c r="C517" i="14"/>
  <c r="Q21" i="9"/>
  <c r="Q22" i="9" s="1"/>
  <c r="C144" i="14"/>
  <c r="C145" i="14" s="1"/>
  <c r="E144" i="14"/>
  <c r="B145" i="14"/>
  <c r="P65" i="9"/>
  <c r="P67" i="9" s="1"/>
  <c r="P39" i="9"/>
  <c r="P56" i="9" s="1"/>
  <c r="J24" i="10"/>
  <c r="J25" i="10" s="1"/>
  <c r="K10" i="10"/>
  <c r="R19" i="9"/>
  <c r="B283" i="14"/>
  <c r="O44" i="9"/>
  <c r="O57" i="9" s="1"/>
  <c r="O60" i="9" s="1"/>
  <c r="O68" i="9" s="1"/>
  <c r="N36" i="6"/>
  <c r="N37" i="6" s="1"/>
  <c r="M47" i="10" s="1"/>
  <c r="M51" i="10" s="1"/>
  <c r="M39" i="6"/>
  <c r="M41" i="6" s="1"/>
  <c r="B147" i="14"/>
  <c r="E147" i="14" s="1"/>
  <c r="U47" i="1"/>
  <c r="D66" i="14"/>
  <c r="E67" i="14" s="1"/>
  <c r="C67" i="14" s="1"/>
  <c r="P69" i="1" l="1"/>
  <c r="P17" i="6" s="1"/>
  <c r="O44" i="22"/>
  <c r="O57" i="22" s="1"/>
  <c r="O60" i="22" s="1"/>
  <c r="O68" i="22" s="1"/>
  <c r="K44" i="31"/>
  <c r="K57" i="31" s="1"/>
  <c r="K60" i="31" s="1"/>
  <c r="K68" i="31" s="1"/>
  <c r="S65" i="1"/>
  <c r="S67" i="1" s="1"/>
  <c r="S39" i="1"/>
  <c r="Q60" i="1"/>
  <c r="Q68" i="1" s="1"/>
  <c r="R44" i="8"/>
  <c r="R57" i="8" s="1"/>
  <c r="R60" i="8" s="1"/>
  <c r="R68" i="8" s="1"/>
  <c r="B338" i="14"/>
  <c r="E338" i="14" s="1"/>
  <c r="O60" i="21"/>
  <c r="O68" i="21" s="1"/>
  <c r="R56" i="1"/>
  <c r="R44" i="1"/>
  <c r="R57" i="1" s="1"/>
  <c r="F259" i="14"/>
  <c r="W47" i="8" s="1"/>
  <c r="W36" i="8"/>
  <c r="S19" i="8"/>
  <c r="N39" i="6"/>
  <c r="N41" i="6" s="1"/>
  <c r="C261" i="14"/>
  <c r="X36" i="8"/>
  <c r="F261" i="14"/>
  <c r="E263" i="14"/>
  <c r="V58" i="8"/>
  <c r="F337" i="14"/>
  <c r="T20" i="8"/>
  <c r="Q69" i="8"/>
  <c r="Q18" i="6" s="1"/>
  <c r="J59" i="10"/>
  <c r="Q35" i="6"/>
  <c r="J55" i="10"/>
  <c r="J57" i="10" s="1"/>
  <c r="J58" i="10" s="1"/>
  <c r="O36" i="6"/>
  <c r="O37" i="6" s="1"/>
  <c r="N47" i="10" s="1"/>
  <c r="N51" i="10" s="1"/>
  <c r="C450" i="14"/>
  <c r="D450" i="14" s="1"/>
  <c r="E451" i="14" s="1"/>
  <c r="U36" i="9" s="1"/>
  <c r="E7" i="18"/>
  <c r="T36" i="9"/>
  <c r="F450" i="14"/>
  <c r="O69" i="9"/>
  <c r="O19" i="6" s="1"/>
  <c r="O27" i="6" s="1"/>
  <c r="N12" i="10" s="1"/>
  <c r="N16" i="10" s="1"/>
  <c r="F518" i="14"/>
  <c r="F519" i="14" s="1"/>
  <c r="E519" i="14"/>
  <c r="D67" i="14"/>
  <c r="E68" i="14" s="1"/>
  <c r="U58" i="1"/>
  <c r="B284" i="14"/>
  <c r="C147" i="14"/>
  <c r="V36" i="1"/>
  <c r="F67" i="14"/>
  <c r="R21" i="9"/>
  <c r="R22" i="9" s="1"/>
  <c r="K18" i="10"/>
  <c r="K20" i="10" s="1"/>
  <c r="K22" i="10" s="1"/>
  <c r="F144" i="14"/>
  <c r="E145" i="14"/>
  <c r="Q65" i="9"/>
  <c r="Q67" i="9" s="1"/>
  <c r="Q39" i="9"/>
  <c r="Q56" i="9" s="1"/>
  <c r="P44" i="9"/>
  <c r="P57" i="9" s="1"/>
  <c r="P60" i="9" s="1"/>
  <c r="P68" i="9" s="1"/>
  <c r="O69" i="22" l="1"/>
  <c r="AX20" i="6" s="1"/>
  <c r="O69" i="21"/>
  <c r="AX21" i="6" s="1"/>
  <c r="K69" i="31"/>
  <c r="AX24" i="6" s="1"/>
  <c r="J60" i="10"/>
  <c r="S56" i="1"/>
  <c r="S44" i="1"/>
  <c r="S57" i="1" s="1"/>
  <c r="F145" i="14"/>
  <c r="T20" i="1" s="1"/>
  <c r="Q69" i="1"/>
  <c r="Q17" i="6" s="1"/>
  <c r="C338" i="14"/>
  <c r="R60" i="1"/>
  <c r="R68" i="1" s="1"/>
  <c r="Q34" i="6"/>
  <c r="B339" i="14"/>
  <c r="E339" i="14" s="1"/>
  <c r="S21" i="8"/>
  <c r="S22" i="8" s="1"/>
  <c r="T19" i="8"/>
  <c r="B341" i="14"/>
  <c r="F263" i="14"/>
  <c r="X47" i="8"/>
  <c r="D261" i="14"/>
  <c r="I7" i="19"/>
  <c r="J7" i="19" s="1"/>
  <c r="K21" i="19" s="1"/>
  <c r="W58" i="8"/>
  <c r="U20" i="8"/>
  <c r="F338" i="14"/>
  <c r="R69" i="8"/>
  <c r="R18" i="6" s="1"/>
  <c r="K45" i="10"/>
  <c r="K53" i="10" s="1"/>
  <c r="R35" i="6"/>
  <c r="O39" i="6"/>
  <c r="O41" i="6" s="1"/>
  <c r="P36" i="6"/>
  <c r="P37" i="6" s="1"/>
  <c r="O47" i="10" s="1"/>
  <c r="O51" i="10" s="1"/>
  <c r="F451" i="14"/>
  <c r="U47" i="9" s="1"/>
  <c r="C451" i="14"/>
  <c r="D451" i="14" s="1"/>
  <c r="E452" i="14" s="1"/>
  <c r="V36" i="9" s="1"/>
  <c r="T47" i="9"/>
  <c r="B521" i="14"/>
  <c r="F7" i="18"/>
  <c r="E13" i="18"/>
  <c r="J7" i="18"/>
  <c r="K20" i="18" s="1"/>
  <c r="I13" i="18"/>
  <c r="B522" i="14"/>
  <c r="K24" i="10"/>
  <c r="K25" i="10" s="1"/>
  <c r="L10" i="10"/>
  <c r="R65" i="9"/>
  <c r="R67" i="9" s="1"/>
  <c r="R39" i="9"/>
  <c r="R56" i="9" s="1"/>
  <c r="B148" i="14"/>
  <c r="E148" i="14" s="1"/>
  <c r="V47" i="1"/>
  <c r="B285" i="14"/>
  <c r="W36" i="1"/>
  <c r="F68" i="14"/>
  <c r="S20" i="9"/>
  <c r="Q44" i="9"/>
  <c r="Q57" i="9" s="1"/>
  <c r="Q60" i="9" s="1"/>
  <c r="Q68" i="9" s="1"/>
  <c r="P69" i="9"/>
  <c r="P19" i="6" s="1"/>
  <c r="P27" i="6" s="1"/>
  <c r="C68" i="14"/>
  <c r="I27" i="19" l="1"/>
  <c r="J27" i="19"/>
  <c r="J23" i="18"/>
  <c r="J25" i="18" s="1"/>
  <c r="I23" i="18"/>
  <c r="R69" i="1"/>
  <c r="R17" i="6" s="1"/>
  <c r="F147" i="14"/>
  <c r="U20" i="1" s="1"/>
  <c r="S60" i="1"/>
  <c r="S68" i="1" s="1"/>
  <c r="R34" i="6"/>
  <c r="C339" i="14"/>
  <c r="E521" i="14"/>
  <c r="F521" i="14" s="1"/>
  <c r="T20" i="9" s="1"/>
  <c r="B903" i="14"/>
  <c r="E522" i="14"/>
  <c r="S39" i="8"/>
  <c r="S56" i="8" s="1"/>
  <c r="S65" i="8"/>
  <c r="S67" i="8" s="1"/>
  <c r="C148" i="14"/>
  <c r="V20" i="8"/>
  <c r="F339" i="14"/>
  <c r="K7" i="19"/>
  <c r="C262" i="14"/>
  <c r="X58" i="8"/>
  <c r="C341" i="14"/>
  <c r="E7" i="19" s="1"/>
  <c r="F7" i="19" s="1"/>
  <c r="E341" i="14"/>
  <c r="T21" i="8"/>
  <c r="T22" i="8" s="1"/>
  <c r="U19" i="8"/>
  <c r="K55" i="10"/>
  <c r="K57" i="10" s="1"/>
  <c r="L45" i="10"/>
  <c r="L53" i="10" s="1"/>
  <c r="K59" i="10"/>
  <c r="K60" i="10" s="1"/>
  <c r="F452" i="14"/>
  <c r="V47" i="9" s="1"/>
  <c r="C452" i="14"/>
  <c r="D452" i="14" s="1"/>
  <c r="E453" i="14" s="1"/>
  <c r="U58" i="9"/>
  <c r="G7" i="18"/>
  <c r="G13" i="18" s="1"/>
  <c r="F13" i="18"/>
  <c r="B518" i="14"/>
  <c r="T58" i="9"/>
  <c r="K7" i="18"/>
  <c r="K13" i="18" s="1"/>
  <c r="J13" i="18"/>
  <c r="O12" i="10"/>
  <c r="O16" i="10" s="1"/>
  <c r="P39" i="6"/>
  <c r="P41" i="6" s="1"/>
  <c r="B149" i="14"/>
  <c r="E149" i="14" s="1"/>
  <c r="W47" i="1"/>
  <c r="L18" i="10"/>
  <c r="L20" i="10" s="1"/>
  <c r="L22" i="10" s="1"/>
  <c r="D68" i="14"/>
  <c r="E70" i="14" s="1"/>
  <c r="C70" i="14" s="1"/>
  <c r="S19" i="9"/>
  <c r="B286" i="14"/>
  <c r="B289" i="14" s="1"/>
  <c r="B290" i="14" s="1"/>
  <c r="B291" i="14" s="1"/>
  <c r="B292" i="14" s="1"/>
  <c r="B293" i="14" s="1"/>
  <c r="B294" i="14" s="1"/>
  <c r="B295" i="14" s="1"/>
  <c r="B296" i="14" s="1"/>
  <c r="B297" i="14" s="1"/>
  <c r="B298" i="14" s="1"/>
  <c r="B300" i="14" s="1"/>
  <c r="V58" i="1"/>
  <c r="T19" i="1"/>
  <c r="Q36" i="6"/>
  <c r="Q37" i="6" s="1"/>
  <c r="P47" i="10" s="1"/>
  <c r="P51" i="10" s="1"/>
  <c r="R44" i="9"/>
  <c r="R57" i="9" s="1"/>
  <c r="R60" i="9" s="1"/>
  <c r="R68" i="9" s="1"/>
  <c r="Q69" i="9"/>
  <c r="Q19" i="6" s="1"/>
  <c r="Q27" i="6" s="1"/>
  <c r="K27" i="19" l="1"/>
  <c r="K23" i="18"/>
  <c r="K25" i="18" s="1"/>
  <c r="I25" i="18"/>
  <c r="B302" i="14"/>
  <c r="B304" i="14" s="1"/>
  <c r="F148" i="14"/>
  <c r="F149" i="14" s="1"/>
  <c r="S44" i="8"/>
  <c r="S57" i="8" s="1"/>
  <c r="S60" i="8" s="1"/>
  <c r="S68" i="8" s="1"/>
  <c r="E903" i="14"/>
  <c r="C903" i="14"/>
  <c r="B913" i="14"/>
  <c r="S34" i="6"/>
  <c r="S69" i="1"/>
  <c r="S17" i="6" s="1"/>
  <c r="F522" i="14"/>
  <c r="U20" i="9" s="1"/>
  <c r="C149" i="14"/>
  <c r="S35" i="6"/>
  <c r="U21" i="8"/>
  <c r="U22" i="8" s="1"/>
  <c r="V19" i="8"/>
  <c r="T39" i="8"/>
  <c r="T56" i="8" s="1"/>
  <c r="T65" i="8"/>
  <c r="T67" i="8" s="1"/>
  <c r="D262" i="14"/>
  <c r="D263" i="14" s="1"/>
  <c r="E265" i="14" s="1"/>
  <c r="C263" i="14"/>
  <c r="W20" i="8"/>
  <c r="F341" i="14"/>
  <c r="L55" i="10"/>
  <c r="L57" i="10" s="1"/>
  <c r="M45" i="10"/>
  <c r="M53" i="10" s="1"/>
  <c r="M55" i="10" s="1"/>
  <c r="M57" i="10" s="1"/>
  <c r="L59" i="10"/>
  <c r="L60" i="10" s="1"/>
  <c r="B523" i="14"/>
  <c r="C518" i="14"/>
  <c r="C519" i="14" s="1"/>
  <c r="C521" i="14" s="1"/>
  <c r="C522" i="14" s="1"/>
  <c r="B519" i="14"/>
  <c r="F453" i="14"/>
  <c r="W36" i="9"/>
  <c r="V58" i="9"/>
  <c r="C453" i="14"/>
  <c r="D453" i="14" s="1"/>
  <c r="E454" i="14" s="1"/>
  <c r="R36" i="6"/>
  <c r="R37" i="6" s="1"/>
  <c r="Q47" i="10" s="1"/>
  <c r="Q51" i="10" s="1"/>
  <c r="T21" i="1"/>
  <c r="T22" i="1" s="1"/>
  <c r="S21" i="9"/>
  <c r="S22" i="9" s="1"/>
  <c r="F70" i="14"/>
  <c r="X36" i="1"/>
  <c r="E72" i="14"/>
  <c r="L24" i="10"/>
  <c r="L25" i="10" s="1"/>
  <c r="M10" i="10"/>
  <c r="W58" i="1"/>
  <c r="T19" i="9"/>
  <c r="P12" i="10"/>
  <c r="P16" i="10" s="1"/>
  <c r="Q39" i="6"/>
  <c r="Q41" i="6" s="1"/>
  <c r="D70" i="14"/>
  <c r="I7" i="17"/>
  <c r="U19" i="1"/>
  <c r="G7" i="19"/>
  <c r="B342" i="14"/>
  <c r="R69" i="9"/>
  <c r="R19" i="6" s="1"/>
  <c r="R27" i="6" s="1"/>
  <c r="V20" i="1" l="1"/>
  <c r="V19" i="1" s="1"/>
  <c r="S69" i="8"/>
  <c r="S18" i="6" s="1"/>
  <c r="C904" i="14"/>
  <c r="C905" i="14" s="1"/>
  <c r="C906" i="14" s="1"/>
  <c r="C907" i="14" s="1"/>
  <c r="C908" i="14" s="1"/>
  <c r="C909" i="14" s="1"/>
  <c r="C910" i="14" s="1"/>
  <c r="C911" i="14" s="1"/>
  <c r="C912" i="14" s="1"/>
  <c r="F903" i="14"/>
  <c r="T44" i="8"/>
  <c r="T57" i="8" s="1"/>
  <c r="T60" i="8" s="1"/>
  <c r="T68" i="8" s="1"/>
  <c r="E523" i="14"/>
  <c r="F523" i="14" s="1"/>
  <c r="V20" i="9" s="1"/>
  <c r="M59" i="10"/>
  <c r="C523" i="14"/>
  <c r="W19" i="8"/>
  <c r="F265" i="14"/>
  <c r="Y36" i="8"/>
  <c r="E267" i="14"/>
  <c r="V21" i="8"/>
  <c r="V22" i="8" s="1"/>
  <c r="U39" i="8"/>
  <c r="U56" i="8" s="1"/>
  <c r="U65" i="8"/>
  <c r="U67" i="8" s="1"/>
  <c r="C265" i="14"/>
  <c r="N45" i="10"/>
  <c r="M58" i="10"/>
  <c r="C454" i="14"/>
  <c r="D454" i="14" s="1"/>
  <c r="E455" i="14" s="1"/>
  <c r="X36" i="9"/>
  <c r="F454" i="14"/>
  <c r="W47" i="9"/>
  <c r="B524" i="14"/>
  <c r="Q12" i="10"/>
  <c r="Q16" i="10" s="1"/>
  <c r="R39" i="6"/>
  <c r="R41" i="6" s="1"/>
  <c r="U19" i="9"/>
  <c r="J7" i="17"/>
  <c r="K20" i="17" s="1"/>
  <c r="T21" i="9"/>
  <c r="T22" i="9" s="1"/>
  <c r="W20" i="1"/>
  <c r="N53" i="10"/>
  <c r="N55" i="10" s="1"/>
  <c r="N57" i="10" s="1"/>
  <c r="S65" i="9"/>
  <c r="S67" i="9" s="1"/>
  <c r="S39" i="9"/>
  <c r="S56" i="9" s="1"/>
  <c r="T65" i="1"/>
  <c r="T67" i="1" s="1"/>
  <c r="T39" i="1"/>
  <c r="T56" i="1" s="1"/>
  <c r="C342" i="14"/>
  <c r="C343" i="14" s="1"/>
  <c r="E342" i="14"/>
  <c r="B343" i="14"/>
  <c r="U21" i="1"/>
  <c r="U22" i="1" s="1"/>
  <c r="M18" i="10"/>
  <c r="M20" i="10" s="1"/>
  <c r="M22" i="10" s="1"/>
  <c r="M23" i="10" s="1"/>
  <c r="B151" i="14"/>
  <c r="X47" i="1"/>
  <c r="F72" i="14"/>
  <c r="I26" i="17" l="1"/>
  <c r="J26" i="17"/>
  <c r="F904" i="14"/>
  <c r="C19" i="29"/>
  <c r="M60" i="10"/>
  <c r="U44" i="8"/>
  <c r="U57" i="8" s="1"/>
  <c r="U60" i="8" s="1"/>
  <c r="U68" i="8" s="1"/>
  <c r="T35" i="6"/>
  <c r="E524" i="14"/>
  <c r="F524" i="14" s="1"/>
  <c r="W20" i="9" s="1"/>
  <c r="V39" i="8"/>
  <c r="V56" i="8" s="1"/>
  <c r="V65" i="8"/>
  <c r="V67" i="8" s="1"/>
  <c r="B345" i="14"/>
  <c r="E345" i="14" s="1"/>
  <c r="Y47" i="8"/>
  <c r="F267" i="14"/>
  <c r="W21" i="8"/>
  <c r="W22" i="8" s="1"/>
  <c r="T69" i="8"/>
  <c r="T18" i="6" s="1"/>
  <c r="I8" i="19"/>
  <c r="J8" i="19" s="1"/>
  <c r="K22" i="19" s="1"/>
  <c r="D265" i="14"/>
  <c r="B525" i="14"/>
  <c r="X47" i="9"/>
  <c r="C455" i="14"/>
  <c r="D455" i="14" s="1"/>
  <c r="E456" i="14" s="1"/>
  <c r="Y36" i="9"/>
  <c r="F455" i="14"/>
  <c r="W58" i="9"/>
  <c r="C524" i="14"/>
  <c r="X58" i="1"/>
  <c r="V21" i="1"/>
  <c r="V22" i="1" s="1"/>
  <c r="O45" i="10"/>
  <c r="N59" i="10"/>
  <c r="N60" i="10" s="1"/>
  <c r="T65" i="9"/>
  <c r="T67" i="9" s="1"/>
  <c r="T39" i="9"/>
  <c r="T56" i="9" s="1"/>
  <c r="C71" i="14"/>
  <c r="K7" i="17"/>
  <c r="V19" i="9"/>
  <c r="U21" i="9"/>
  <c r="U22" i="9" s="1"/>
  <c r="T44" i="1"/>
  <c r="T57" i="1" s="1"/>
  <c r="T60" i="1" s="1"/>
  <c r="T68" i="1" s="1"/>
  <c r="S44" i="9"/>
  <c r="S57" i="9" s="1"/>
  <c r="S60" i="9" s="1"/>
  <c r="S68" i="9" s="1"/>
  <c r="E151" i="14"/>
  <c r="C151" i="14"/>
  <c r="N10" i="10"/>
  <c r="M24" i="10"/>
  <c r="M25" i="10" s="1"/>
  <c r="U65" i="1"/>
  <c r="U67" i="1" s="1"/>
  <c r="U39" i="1"/>
  <c r="U56" i="1" s="1"/>
  <c r="F342" i="14"/>
  <c r="E343" i="14"/>
  <c r="W19" i="1"/>
  <c r="K26" i="17" l="1"/>
  <c r="I28" i="19"/>
  <c r="J28" i="19"/>
  <c r="V44" i="8"/>
  <c r="V57" i="8" s="1"/>
  <c r="V60" i="8" s="1"/>
  <c r="V68" i="8" s="1"/>
  <c r="M62" i="10"/>
  <c r="C20" i="29"/>
  <c r="F905" i="14"/>
  <c r="U35" i="6"/>
  <c r="U69" i="8"/>
  <c r="U18" i="6" s="1"/>
  <c r="E525" i="14"/>
  <c r="F525" i="14" s="1"/>
  <c r="X20" i="9" s="1"/>
  <c r="F343" i="14"/>
  <c r="F345" i="14" s="1"/>
  <c r="C345" i="14"/>
  <c r="E8" i="19" s="1"/>
  <c r="F8" i="19" s="1"/>
  <c r="Y58" i="8"/>
  <c r="K8" i="19"/>
  <c r="C266" i="14"/>
  <c r="W39" i="8"/>
  <c r="W56" i="8" s="1"/>
  <c r="W65" i="8"/>
  <c r="W67" i="8" s="1"/>
  <c r="C525" i="14"/>
  <c r="B526" i="14"/>
  <c r="Y47" i="9"/>
  <c r="C456" i="14"/>
  <c r="D456" i="14" s="1"/>
  <c r="E460" i="14" s="1"/>
  <c r="F456" i="14"/>
  <c r="Z36" i="9"/>
  <c r="X58" i="9"/>
  <c r="U44" i="1"/>
  <c r="U57" i="1" s="1"/>
  <c r="U60" i="1" s="1"/>
  <c r="U68" i="1" s="1"/>
  <c r="W19" i="9"/>
  <c r="W21" i="1"/>
  <c r="W22" i="1" s="1"/>
  <c r="N18" i="10"/>
  <c r="N20" i="10" s="1"/>
  <c r="N22" i="10" s="1"/>
  <c r="F151" i="14"/>
  <c r="D71" i="14"/>
  <c r="D72" i="14" s="1"/>
  <c r="E74" i="14" s="1"/>
  <c r="C72" i="14"/>
  <c r="V65" i="1"/>
  <c r="V67" i="1" s="1"/>
  <c r="V39" i="1"/>
  <c r="V56" i="1" s="1"/>
  <c r="S69" i="9"/>
  <c r="S19" i="6" s="1"/>
  <c r="S27" i="6" s="1"/>
  <c r="T69" i="1"/>
  <c r="T17" i="6" s="1"/>
  <c r="E7" i="17"/>
  <c r="U65" i="9"/>
  <c r="U67" i="9" s="1"/>
  <c r="U39" i="9"/>
  <c r="U56" i="9" s="1"/>
  <c r="V21" i="9"/>
  <c r="V22" i="9" s="1"/>
  <c r="O53" i="10"/>
  <c r="O55" i="10" s="1"/>
  <c r="O57" i="10" s="1"/>
  <c r="T44" i="9"/>
  <c r="T57" i="9" s="1"/>
  <c r="T60" i="9" s="1"/>
  <c r="T68" i="9" s="1"/>
  <c r="S36" i="6"/>
  <c r="S37" i="6" s="1"/>
  <c r="R47" i="10" s="1"/>
  <c r="R51" i="10" s="1"/>
  <c r="T34" i="6"/>
  <c r="K28" i="19" l="1"/>
  <c r="W44" i="8"/>
  <c r="W57" i="8" s="1"/>
  <c r="W60" i="8" s="1"/>
  <c r="W68" i="8" s="1"/>
  <c r="V69" i="8"/>
  <c r="V18" i="6" s="1"/>
  <c r="D20" i="29"/>
  <c r="F906" i="14"/>
  <c r="D19" i="29"/>
  <c r="C21" i="29"/>
  <c r="C22" i="29" s="1"/>
  <c r="X20" i="8"/>
  <c r="X19" i="8" s="1"/>
  <c r="D266" i="14"/>
  <c r="D267" i="14" s="1"/>
  <c r="E269" i="14" s="1"/>
  <c r="C267" i="14"/>
  <c r="V35" i="6"/>
  <c r="C460" i="14"/>
  <c r="F460" i="14"/>
  <c r="AA36" i="9"/>
  <c r="E526" i="14"/>
  <c r="F526" i="14" s="1"/>
  <c r="C526" i="14"/>
  <c r="B527" i="14"/>
  <c r="B528" i="14" s="1"/>
  <c r="Z47" i="9"/>
  <c r="Y58" i="9"/>
  <c r="U44" i="9"/>
  <c r="U57" i="9" s="1"/>
  <c r="U60" i="9" s="1"/>
  <c r="U68" i="9" s="1"/>
  <c r="T69" i="9"/>
  <c r="T19" i="6" s="1"/>
  <c r="T27" i="6" s="1"/>
  <c r="P45" i="10"/>
  <c r="O59" i="10"/>
  <c r="O60" i="10" s="1"/>
  <c r="V65" i="9"/>
  <c r="V67" i="9" s="1"/>
  <c r="V39" i="9"/>
  <c r="V56" i="9" s="1"/>
  <c r="X19" i="9"/>
  <c r="N24" i="10"/>
  <c r="N25" i="10" s="1"/>
  <c r="O10" i="10"/>
  <c r="W65" i="1"/>
  <c r="W67" i="1" s="1"/>
  <c r="W39" i="1"/>
  <c r="W56" i="1" s="1"/>
  <c r="V44" i="1"/>
  <c r="V57" i="1" s="1"/>
  <c r="V60" i="1" s="1"/>
  <c r="V68" i="1" s="1"/>
  <c r="C74" i="14"/>
  <c r="U69" i="1"/>
  <c r="U17" i="6" s="1"/>
  <c r="B346" i="14"/>
  <c r="G8" i="19"/>
  <c r="F7" i="17"/>
  <c r="R12" i="10"/>
  <c r="R16" i="10" s="1"/>
  <c r="S39" i="6"/>
  <c r="S41" i="6" s="1"/>
  <c r="Y36" i="1"/>
  <c r="E76" i="14"/>
  <c r="F74" i="14"/>
  <c r="W21" i="9"/>
  <c r="W22" i="9" s="1"/>
  <c r="U34" i="6"/>
  <c r="T36" i="6"/>
  <c r="T37" i="6" s="1"/>
  <c r="S47" i="10" s="1"/>
  <c r="S51" i="10" s="1"/>
  <c r="W69" i="8" l="1"/>
  <c r="W18" i="6" s="1"/>
  <c r="E20" i="29"/>
  <c r="F907" i="14"/>
  <c r="C39" i="29"/>
  <c r="C56" i="29" s="1"/>
  <c r="C65" i="29"/>
  <c r="C67" i="29" s="1"/>
  <c r="D21" i="29"/>
  <c r="D22" i="29" s="1"/>
  <c r="E19" i="29"/>
  <c r="E527" i="14"/>
  <c r="F527" i="14" s="1"/>
  <c r="F528" i="14" s="1"/>
  <c r="Y20" i="9"/>
  <c r="Y19" i="9" s="1"/>
  <c r="C269" i="14"/>
  <c r="I9" i="19" s="1"/>
  <c r="Z36" i="8"/>
  <c r="E271" i="14"/>
  <c r="F269" i="14"/>
  <c r="D269" i="14"/>
  <c r="W35" i="6"/>
  <c r="V34" i="6"/>
  <c r="U69" i="9"/>
  <c r="U19" i="6" s="1"/>
  <c r="U27" i="6" s="1"/>
  <c r="Z58" i="9"/>
  <c r="D460" i="14"/>
  <c r="E461" i="14" s="1"/>
  <c r="C461" i="14" s="1"/>
  <c r="D461" i="14" s="1"/>
  <c r="E462" i="14" s="1"/>
  <c r="C527" i="14"/>
  <c r="AA47" i="9"/>
  <c r="B530" i="14"/>
  <c r="V44" i="9"/>
  <c r="V57" i="9" s="1"/>
  <c r="V60" i="9" s="1"/>
  <c r="V68" i="9" s="1"/>
  <c r="X21" i="8"/>
  <c r="X22" i="8" s="1"/>
  <c r="I8" i="17"/>
  <c r="D74" i="14"/>
  <c r="S12" i="10"/>
  <c r="S16" i="10" s="1"/>
  <c r="T39" i="6"/>
  <c r="T41" i="6" s="1"/>
  <c r="W44" i="1"/>
  <c r="W57" i="1" s="1"/>
  <c r="W60" i="1" s="1"/>
  <c r="W68" i="1" s="1"/>
  <c r="V69" i="1"/>
  <c r="V17" i="6" s="1"/>
  <c r="W65" i="9"/>
  <c r="W67" i="9" s="1"/>
  <c r="W39" i="9"/>
  <c r="W56" i="9" s="1"/>
  <c r="B155" i="14"/>
  <c r="Y47" i="1"/>
  <c r="F76" i="14"/>
  <c r="G7" i="17"/>
  <c r="B152" i="14"/>
  <c r="C346" i="14"/>
  <c r="C347" i="14" s="1"/>
  <c r="E346" i="14"/>
  <c r="B347" i="14"/>
  <c r="O18" i="10"/>
  <c r="O20" i="10" s="1"/>
  <c r="O22" i="10" s="1"/>
  <c r="X21" i="9"/>
  <c r="X22" i="9" s="1"/>
  <c r="P53" i="10"/>
  <c r="P55" i="10" s="1"/>
  <c r="P57" i="10" s="1"/>
  <c r="P58" i="10" s="1"/>
  <c r="U36" i="6"/>
  <c r="U37" i="6" s="1"/>
  <c r="T47" i="10" s="1"/>
  <c r="T51" i="10" s="1"/>
  <c r="C44" i="29" l="1"/>
  <c r="C57" i="29" s="1"/>
  <c r="C60" i="29" s="1"/>
  <c r="C68" i="29" s="1"/>
  <c r="E21" i="29"/>
  <c r="E22" i="29" s="1"/>
  <c r="D65" i="29"/>
  <c r="D67" i="29" s="1"/>
  <c r="D39" i="29"/>
  <c r="D56" i="29" s="1"/>
  <c r="F19" i="29"/>
  <c r="F908" i="14"/>
  <c r="F20" i="29"/>
  <c r="E530" i="14"/>
  <c r="F530" i="14" s="1"/>
  <c r="Z20" i="9"/>
  <c r="J9" i="19"/>
  <c r="K23" i="19" s="1"/>
  <c r="B349" i="14"/>
  <c r="E349" i="14" s="1"/>
  <c r="F271" i="14"/>
  <c r="Z47" i="8"/>
  <c r="V69" i="9"/>
  <c r="V19" i="6" s="1"/>
  <c r="V27" i="6" s="1"/>
  <c r="C462" i="14"/>
  <c r="D462" i="14" s="1"/>
  <c r="E463" i="14" s="1"/>
  <c r="C463" i="14" s="1"/>
  <c r="D463" i="14" s="1"/>
  <c r="E464" i="14" s="1"/>
  <c r="F462" i="14"/>
  <c r="AC47" i="9" s="1"/>
  <c r="AC36" i="9"/>
  <c r="F461" i="14"/>
  <c r="AB36" i="9"/>
  <c r="C530" i="14"/>
  <c r="AA58" i="9"/>
  <c r="Q45" i="10"/>
  <c r="P59" i="10"/>
  <c r="P60" i="10" s="1"/>
  <c r="X65" i="9"/>
  <c r="X67" i="9" s="1"/>
  <c r="X39" i="9"/>
  <c r="X56" i="9" s="1"/>
  <c r="F346" i="14"/>
  <c r="F347" i="14" s="1"/>
  <c r="E347" i="14"/>
  <c r="Y58" i="1"/>
  <c r="W44" i="9"/>
  <c r="W57" i="9" s="1"/>
  <c r="W60" i="9" s="1"/>
  <c r="W68" i="9" s="1"/>
  <c r="W69" i="1"/>
  <c r="W17" i="6" s="1"/>
  <c r="V36" i="6"/>
  <c r="V37" i="6" s="1"/>
  <c r="U47" i="10" s="1"/>
  <c r="U51" i="10" s="1"/>
  <c r="W34" i="6"/>
  <c r="O24" i="10"/>
  <c r="O25" i="10" s="1"/>
  <c r="P10" i="10"/>
  <c r="E152" i="14"/>
  <c r="C152" i="14"/>
  <c r="C153" i="14" s="1"/>
  <c r="C155" i="14" s="1"/>
  <c r="B153" i="14"/>
  <c r="E155" i="14"/>
  <c r="T12" i="10"/>
  <c r="T16" i="10" s="1"/>
  <c r="U39" i="6"/>
  <c r="U41" i="6" s="1"/>
  <c r="J8" i="17"/>
  <c r="K21" i="17" s="1"/>
  <c r="X65" i="8"/>
  <c r="X67" i="8" s="1"/>
  <c r="X39" i="8"/>
  <c r="X56" i="8" s="1"/>
  <c r="Y21" i="9"/>
  <c r="Y22" i="9" s="1"/>
  <c r="B532" i="14" l="1"/>
  <c r="E532" i="14" s="1"/>
  <c r="I27" i="17"/>
  <c r="J27" i="17"/>
  <c r="J29" i="19"/>
  <c r="I29" i="19"/>
  <c r="D44" i="29"/>
  <c r="D57" i="29" s="1"/>
  <c r="D60" i="29" s="1"/>
  <c r="D68" i="29" s="1"/>
  <c r="G19" i="29"/>
  <c r="C69" i="29"/>
  <c r="AP26" i="6" s="1"/>
  <c r="E65" i="29"/>
  <c r="E67" i="29" s="1"/>
  <c r="E39" i="29"/>
  <c r="E56" i="29" s="1"/>
  <c r="G20" i="29"/>
  <c r="F909" i="14"/>
  <c r="F21" i="29"/>
  <c r="F22" i="29" s="1"/>
  <c r="Z19" i="9"/>
  <c r="AA20" i="9"/>
  <c r="AA19" i="9" s="1"/>
  <c r="C464" i="14"/>
  <c r="D464" i="14" s="1"/>
  <c r="E465" i="14" s="1"/>
  <c r="AE36" i="9"/>
  <c r="C349" i="14"/>
  <c r="E9" i="19" s="1"/>
  <c r="Z58" i="8"/>
  <c r="C270" i="14"/>
  <c r="K9" i="19"/>
  <c r="F463" i="14"/>
  <c r="AD47" i="9" s="1"/>
  <c r="C36" i="20"/>
  <c r="AD36" i="9"/>
  <c r="B531" i="14"/>
  <c r="C531" i="14" s="1"/>
  <c r="AB47" i="9"/>
  <c r="Y65" i="9"/>
  <c r="Y67" i="9" s="1"/>
  <c r="Y39" i="9"/>
  <c r="Y56" i="9" s="1"/>
  <c r="K8" i="17"/>
  <c r="C75" i="14"/>
  <c r="E8" i="17"/>
  <c r="AC58" i="9"/>
  <c r="P18" i="10"/>
  <c r="P20" i="10" s="1"/>
  <c r="P22" i="10" s="1"/>
  <c r="P23" i="10" s="1"/>
  <c r="U12" i="10"/>
  <c r="U16" i="10" s="1"/>
  <c r="V39" i="6"/>
  <c r="V41" i="6" s="1"/>
  <c r="Q53" i="10"/>
  <c r="Q55" i="10" s="1"/>
  <c r="Q57" i="10" s="1"/>
  <c r="X44" i="8"/>
  <c r="X57" i="8" s="1"/>
  <c r="X60" i="8" s="1"/>
  <c r="X68" i="8" s="1"/>
  <c r="W69" i="9"/>
  <c r="W19" i="6" s="1"/>
  <c r="W27" i="6" s="1"/>
  <c r="X44" i="9"/>
  <c r="X57" i="9" s="1"/>
  <c r="X60" i="9" s="1"/>
  <c r="X68" i="9" s="1"/>
  <c r="F464" i="14"/>
  <c r="F152" i="14"/>
  <c r="F153" i="14" s="1"/>
  <c r="E153" i="14"/>
  <c r="F349" i="14"/>
  <c r="Y20" i="8"/>
  <c r="W36" i="6"/>
  <c r="W37" i="6" s="1"/>
  <c r="V47" i="10" s="1"/>
  <c r="V51" i="10" s="1"/>
  <c r="C532" i="14" l="1"/>
  <c r="K27" i="17"/>
  <c r="K29" i="19"/>
  <c r="Z21" i="9"/>
  <c r="Z22" i="9" s="1"/>
  <c r="Z39" i="9" s="1"/>
  <c r="Z56" i="9" s="1"/>
  <c r="D69" i="29"/>
  <c r="AQ26" i="6" s="1"/>
  <c r="H20" i="29"/>
  <c r="F910" i="14"/>
  <c r="E44" i="29"/>
  <c r="E57" i="29" s="1"/>
  <c r="E60" i="29" s="1"/>
  <c r="E68" i="29" s="1"/>
  <c r="F65" i="29"/>
  <c r="F67" i="29" s="1"/>
  <c r="F39" i="29"/>
  <c r="F56" i="29" s="1"/>
  <c r="H19" i="29"/>
  <c r="G21" i="29"/>
  <c r="G22" i="29" s="1"/>
  <c r="B533" i="14"/>
  <c r="F9" i="19"/>
  <c r="B350" i="14" s="1"/>
  <c r="D270" i="14"/>
  <c r="D271" i="14" s="1"/>
  <c r="E275" i="14" s="1"/>
  <c r="C271" i="14"/>
  <c r="E531" i="14"/>
  <c r="F531" i="14" s="1"/>
  <c r="F688" i="14"/>
  <c r="F691" i="14" s="1"/>
  <c r="AB58" i="9"/>
  <c r="Y44" i="9"/>
  <c r="Y57" i="9" s="1"/>
  <c r="Y60" i="9" s="1"/>
  <c r="Y68" i="9" s="1"/>
  <c r="X35" i="6"/>
  <c r="Y19" i="8"/>
  <c r="Z20" i="8"/>
  <c r="F155" i="14"/>
  <c r="X20" i="1"/>
  <c r="AA21" i="9"/>
  <c r="AA22" i="9" s="1"/>
  <c r="R45" i="10"/>
  <c r="Q59" i="10"/>
  <c r="Q60" i="10" s="1"/>
  <c r="D75" i="14"/>
  <c r="D76" i="14" s="1"/>
  <c r="E78" i="14" s="1"/>
  <c r="C76" i="14"/>
  <c r="AF36" i="9"/>
  <c r="F465" i="14"/>
  <c r="X69" i="8"/>
  <c r="X18" i="6" s="1"/>
  <c r="V12" i="10"/>
  <c r="V16" i="10" s="1"/>
  <c r="W39" i="6"/>
  <c r="W41" i="6" s="1"/>
  <c r="AD58" i="9"/>
  <c r="AE47" i="9"/>
  <c r="B534" i="14"/>
  <c r="P24" i="10"/>
  <c r="P25" i="10" s="1"/>
  <c r="Q10" i="10"/>
  <c r="F8" i="17"/>
  <c r="X69" i="9"/>
  <c r="X19" i="6" s="1"/>
  <c r="X36" i="6"/>
  <c r="C465" i="14"/>
  <c r="C533" i="14" l="1"/>
  <c r="C534" i="14" s="1"/>
  <c r="E69" i="29"/>
  <c r="AR26" i="6" s="1"/>
  <c r="Z65" i="9"/>
  <c r="Z67" i="9" s="1"/>
  <c r="E533" i="14"/>
  <c r="H21" i="29"/>
  <c r="H22" i="29" s="1"/>
  <c r="F44" i="29"/>
  <c r="F57" i="29" s="1"/>
  <c r="F60" i="29" s="1"/>
  <c r="F68" i="29" s="1"/>
  <c r="I19" i="29"/>
  <c r="G39" i="29"/>
  <c r="G56" i="29" s="1"/>
  <c r="G65" i="29"/>
  <c r="G67" i="29" s="1"/>
  <c r="I20" i="29"/>
  <c r="F911" i="14"/>
  <c r="G9" i="19"/>
  <c r="B858" i="14"/>
  <c r="B716" i="14"/>
  <c r="E716" i="14" s="1"/>
  <c r="F692" i="14"/>
  <c r="D692" i="14"/>
  <c r="C275" i="14"/>
  <c r="D275" i="14" s="1"/>
  <c r="E276" i="14" s="1"/>
  <c r="AA36" i="8"/>
  <c r="F275" i="14"/>
  <c r="F532" i="14"/>
  <c r="AB20" i="9"/>
  <c r="E534" i="14"/>
  <c r="Y69" i="9"/>
  <c r="Y19" i="6" s="1"/>
  <c r="C78" i="14"/>
  <c r="D78" i="14" s="1"/>
  <c r="E81" i="14" s="1"/>
  <c r="D465" i="14"/>
  <c r="E466" i="14" s="1"/>
  <c r="Q18" i="10"/>
  <c r="Q20" i="10" s="1"/>
  <c r="Q22" i="10" s="1"/>
  <c r="AE58" i="9"/>
  <c r="Z36" i="1"/>
  <c r="F78" i="14"/>
  <c r="R53" i="10"/>
  <c r="R55" i="10" s="1"/>
  <c r="R57" i="10" s="1"/>
  <c r="AA65" i="9"/>
  <c r="AA67" i="9" s="1"/>
  <c r="AA39" i="9"/>
  <c r="AA56" i="9" s="1"/>
  <c r="Z44" i="9"/>
  <c r="Z57" i="9" s="1"/>
  <c r="Z60" i="9" s="1"/>
  <c r="Z68" i="9" s="1"/>
  <c r="G8" i="17"/>
  <c r="B156" i="14"/>
  <c r="B535" i="14"/>
  <c r="AF47" i="9"/>
  <c r="E350" i="14"/>
  <c r="C350" i="14"/>
  <c r="C351" i="14" s="1"/>
  <c r="B351" i="14"/>
  <c r="B353" i="14" s="1"/>
  <c r="X19" i="1"/>
  <c r="Z19" i="8"/>
  <c r="Y21" i="8"/>
  <c r="Y22" i="8" s="1"/>
  <c r="Y36" i="6"/>
  <c r="G44" i="29" l="1"/>
  <c r="G57" i="29" s="1"/>
  <c r="G60" i="29" s="1"/>
  <c r="G68" i="29" s="1"/>
  <c r="G69" i="29" s="1"/>
  <c r="AT26" i="6" s="1"/>
  <c r="F69" i="29"/>
  <c r="AS26" i="6" s="1"/>
  <c r="B717" i="14"/>
  <c r="E717" i="14" s="1"/>
  <c r="C47" i="20"/>
  <c r="J19" i="29"/>
  <c r="H39" i="29"/>
  <c r="H56" i="29" s="1"/>
  <c r="H65" i="29"/>
  <c r="H67" i="29" s="1"/>
  <c r="J20" i="29"/>
  <c r="F912" i="14"/>
  <c r="I21" i="29"/>
  <c r="I22" i="29" s="1"/>
  <c r="E858" i="14"/>
  <c r="F858" i="14" s="1"/>
  <c r="C20" i="30" s="1"/>
  <c r="B867" i="14"/>
  <c r="C858" i="14"/>
  <c r="C859" i="14" s="1"/>
  <c r="C860" i="14" s="1"/>
  <c r="C861" i="14" s="1"/>
  <c r="C862" i="14" s="1"/>
  <c r="C863" i="14" s="1"/>
  <c r="C864" i="14" s="1"/>
  <c r="C865" i="14" s="1"/>
  <c r="C866" i="14" s="1"/>
  <c r="E695" i="14"/>
  <c r="C695" i="14" s="1"/>
  <c r="C716" i="14"/>
  <c r="C81" i="14"/>
  <c r="D81" i="14" s="1"/>
  <c r="C276" i="14"/>
  <c r="AB36" i="8"/>
  <c r="F276" i="14"/>
  <c r="B355" i="14"/>
  <c r="AA47" i="8"/>
  <c r="E535" i="14"/>
  <c r="F533" i="14"/>
  <c r="AC20" i="9"/>
  <c r="AB19" i="9"/>
  <c r="Z69" i="9"/>
  <c r="Z19" i="6" s="1"/>
  <c r="X21" i="1"/>
  <c r="X22" i="1" s="1"/>
  <c r="AF58" i="9"/>
  <c r="S45" i="10"/>
  <c r="S53" i="10" s="1"/>
  <c r="R59" i="10"/>
  <c r="R60" i="10" s="1"/>
  <c r="Q24" i="10"/>
  <c r="Q25" i="10" s="1"/>
  <c r="R10" i="10"/>
  <c r="AG36" i="9"/>
  <c r="F466" i="14"/>
  <c r="C535" i="14"/>
  <c r="AA44" i="9"/>
  <c r="AA57" i="9" s="1"/>
  <c r="AA60" i="9" s="1"/>
  <c r="AA68" i="9" s="1"/>
  <c r="Y39" i="8"/>
  <c r="Y56" i="8" s="1"/>
  <c r="Y65" i="8"/>
  <c r="Y67" i="8" s="1"/>
  <c r="Z21" i="8"/>
  <c r="Z22" i="8" s="1"/>
  <c r="F350" i="14"/>
  <c r="F351" i="14" s="1"/>
  <c r="F353" i="14" s="1"/>
  <c r="E351" i="14"/>
  <c r="AA36" i="1"/>
  <c r="F81" i="14"/>
  <c r="B162" i="14" s="1"/>
  <c r="E156" i="14"/>
  <c r="C156" i="14"/>
  <c r="C157" i="14" s="1"/>
  <c r="B157" i="14"/>
  <c r="B159" i="14"/>
  <c r="E159" i="14" s="1"/>
  <c r="Z47" i="1"/>
  <c r="Z36" i="6"/>
  <c r="C466" i="14"/>
  <c r="C58" i="20" l="1"/>
  <c r="H44" i="29"/>
  <c r="H57" i="29" s="1"/>
  <c r="H60" i="29" s="1"/>
  <c r="H68" i="29" s="1"/>
  <c r="K19" i="29"/>
  <c r="I39" i="29"/>
  <c r="I56" i="29" s="1"/>
  <c r="I65" i="29"/>
  <c r="I67" i="29" s="1"/>
  <c r="K20" i="29"/>
  <c r="F913" i="14"/>
  <c r="J21" i="29"/>
  <c r="J22" i="29" s="1"/>
  <c r="D19" i="30"/>
  <c r="C21" i="30"/>
  <c r="C22" i="30" s="1"/>
  <c r="F859" i="14"/>
  <c r="D36" i="20"/>
  <c r="C717" i="14"/>
  <c r="F716" i="14"/>
  <c r="F717" i="14" s="1"/>
  <c r="B160" i="14"/>
  <c r="E355" i="14"/>
  <c r="F355" i="14" s="1"/>
  <c r="E82" i="14"/>
  <c r="C82" i="14" s="1"/>
  <c r="D82" i="14" s="1"/>
  <c r="E83" i="14" s="1"/>
  <c r="F83" i="14" s="1"/>
  <c r="D695" i="14"/>
  <c r="AB47" i="8"/>
  <c r="B356" i="14"/>
  <c r="E356" i="14" s="1"/>
  <c r="D276" i="14"/>
  <c r="E277" i="14" s="1"/>
  <c r="AA58" i="8"/>
  <c r="C355" i="14"/>
  <c r="AA36" i="6"/>
  <c r="Y44" i="8"/>
  <c r="Y57" i="8" s="1"/>
  <c r="Y60" i="8" s="1"/>
  <c r="Y68" i="8" s="1"/>
  <c r="AB21" i="9"/>
  <c r="AB22" i="9" s="1"/>
  <c r="F534" i="14"/>
  <c r="AD20" i="9"/>
  <c r="AC19" i="9"/>
  <c r="D466" i="14"/>
  <c r="E467" i="14" s="1"/>
  <c r="C467" i="14" s="1"/>
  <c r="Z58" i="1"/>
  <c r="F156" i="14"/>
  <c r="F157" i="14" s="1"/>
  <c r="E157" i="14"/>
  <c r="S55" i="10"/>
  <c r="S57" i="10" s="1"/>
  <c r="S58" i="10" s="1"/>
  <c r="T45" i="10"/>
  <c r="T53" i="10" s="1"/>
  <c r="S59" i="10"/>
  <c r="AA69" i="9"/>
  <c r="AA19" i="6" s="1"/>
  <c r="AA47" i="1"/>
  <c r="Z65" i="8"/>
  <c r="Z67" i="8" s="1"/>
  <c r="Z39" i="8"/>
  <c r="Z56" i="8" s="1"/>
  <c r="AG47" i="9"/>
  <c r="B536" i="14"/>
  <c r="R18" i="10"/>
  <c r="X65" i="1"/>
  <c r="X67" i="1" s="1"/>
  <c r="X39" i="1"/>
  <c r="X56" i="1" s="1"/>
  <c r="C159" i="14"/>
  <c r="H69" i="29" l="1"/>
  <c r="AU26" i="6" s="1"/>
  <c r="C356" i="14"/>
  <c r="J39" i="29"/>
  <c r="J56" i="29" s="1"/>
  <c r="J65" i="29"/>
  <c r="J67" i="29" s="1"/>
  <c r="I44" i="29"/>
  <c r="I57" i="29" s="1"/>
  <c r="I60" i="29" s="1"/>
  <c r="I68" i="29" s="1"/>
  <c r="K21" i="29"/>
  <c r="K22" i="29" s="1"/>
  <c r="F860" i="14"/>
  <c r="D20" i="30"/>
  <c r="D21" i="30" s="1"/>
  <c r="D22" i="30" s="1"/>
  <c r="C65" i="30"/>
  <c r="C67" i="30" s="1"/>
  <c r="C39" i="30"/>
  <c r="C56" i="30" s="1"/>
  <c r="AA20" i="8"/>
  <c r="AA19" i="8" s="1"/>
  <c r="F82" i="14"/>
  <c r="B163" i="14" s="1"/>
  <c r="E163" i="14" s="1"/>
  <c r="C19" i="20"/>
  <c r="E696" i="14"/>
  <c r="C696" i="14" s="1"/>
  <c r="F356" i="14"/>
  <c r="AB20" i="8" s="1"/>
  <c r="C162" i="14"/>
  <c r="AB36" i="1"/>
  <c r="F277" i="14"/>
  <c r="AC36" i="8"/>
  <c r="AB58" i="8"/>
  <c r="C277" i="14"/>
  <c r="D277" i="14" s="1"/>
  <c r="E278" i="14" s="1"/>
  <c r="Y69" i="8"/>
  <c r="Y18" i="6" s="1"/>
  <c r="E536" i="14"/>
  <c r="AC21" i="9"/>
  <c r="AC22" i="9" s="1"/>
  <c r="F535" i="14"/>
  <c r="AF20" i="9" s="1"/>
  <c r="AE20" i="9"/>
  <c r="AD19" i="9"/>
  <c r="AB65" i="9"/>
  <c r="AB67" i="9" s="1"/>
  <c r="AB39" i="9"/>
  <c r="AB56" i="9" s="1"/>
  <c r="S60" i="10"/>
  <c r="X44" i="1"/>
  <c r="X57" i="1" s="1"/>
  <c r="X60" i="1" s="1"/>
  <c r="X68" i="1" s="1"/>
  <c r="R24" i="10"/>
  <c r="R25" i="10" s="1"/>
  <c r="S10" i="10"/>
  <c r="AG58" i="9"/>
  <c r="E162" i="14"/>
  <c r="AH36" i="9"/>
  <c r="F467" i="14"/>
  <c r="AC36" i="1"/>
  <c r="AA58" i="1"/>
  <c r="T55" i="10"/>
  <c r="T57" i="10" s="1"/>
  <c r="U45" i="10"/>
  <c r="U53" i="10" s="1"/>
  <c r="U55" i="10" s="1"/>
  <c r="U57" i="10" s="1"/>
  <c r="T59" i="10"/>
  <c r="T60" i="10" s="1"/>
  <c r="Y20" i="1"/>
  <c r="F159" i="14"/>
  <c r="F160" i="14" s="1"/>
  <c r="D467" i="14"/>
  <c r="E468" i="14" s="1"/>
  <c r="C468" i="14" s="1"/>
  <c r="R20" i="10"/>
  <c r="R22" i="10" s="1"/>
  <c r="Z44" i="8"/>
  <c r="Z57" i="8" s="1"/>
  <c r="Z60" i="8" s="1"/>
  <c r="Z68" i="8" s="1"/>
  <c r="C536" i="14"/>
  <c r="Y35" i="6"/>
  <c r="C83" i="14"/>
  <c r="J44" i="29" l="1"/>
  <c r="J57" i="29" s="1"/>
  <c r="J60" i="29" s="1"/>
  <c r="J68" i="29" s="1"/>
  <c r="C44" i="30"/>
  <c r="C57" i="30" s="1"/>
  <c r="C60" i="30" s="1"/>
  <c r="C68" i="30" s="1"/>
  <c r="I69" i="29"/>
  <c r="AV26" i="6" s="1"/>
  <c r="K65" i="29"/>
  <c r="K67" i="29" s="1"/>
  <c r="K39" i="29"/>
  <c r="K56" i="29" s="1"/>
  <c r="E19" i="30"/>
  <c r="D65" i="30"/>
  <c r="D67" i="30" s="1"/>
  <c r="D39" i="30"/>
  <c r="D56" i="30" s="1"/>
  <c r="F861" i="14"/>
  <c r="E20" i="30"/>
  <c r="C20" i="20"/>
  <c r="D19" i="20" s="1"/>
  <c r="AB47" i="1"/>
  <c r="AB58" i="1" s="1"/>
  <c r="C22" i="32"/>
  <c r="C65" i="32" s="1"/>
  <c r="E36" i="20"/>
  <c r="D696" i="14"/>
  <c r="AF19" i="9"/>
  <c r="AF21" i="9" s="1"/>
  <c r="AF22" i="9" s="1"/>
  <c r="C278" i="14"/>
  <c r="D278" i="14" s="1"/>
  <c r="E279" i="14" s="1"/>
  <c r="AD36" i="8"/>
  <c r="F278" i="14"/>
  <c r="AC47" i="8"/>
  <c r="B357" i="14"/>
  <c r="AB44" i="9"/>
  <c r="AB57" i="9" s="1"/>
  <c r="AB60" i="9" s="1"/>
  <c r="AB68" i="9" s="1"/>
  <c r="AC39" i="9"/>
  <c r="AC56" i="9" s="1"/>
  <c r="AC65" i="9"/>
  <c r="AC67" i="9" s="1"/>
  <c r="F536" i="14"/>
  <c r="AG20" i="9" s="1"/>
  <c r="AG19" i="9" s="1"/>
  <c r="AD21" i="9"/>
  <c r="AD22" i="9" s="1"/>
  <c r="AE19" i="9"/>
  <c r="V45" i="10"/>
  <c r="V53" i="10" s="1"/>
  <c r="Z35" i="6"/>
  <c r="C163" i="14"/>
  <c r="U59" i="10"/>
  <c r="U60" i="10" s="1"/>
  <c r="Z69" i="8"/>
  <c r="Z18" i="6" s="1"/>
  <c r="X34" i="6"/>
  <c r="X37" i="6" s="1"/>
  <c r="W47" i="10" s="1"/>
  <c r="W51" i="10" s="1"/>
  <c r="D468" i="14"/>
  <c r="E469" i="14" s="1"/>
  <c r="C469" i="14" s="1"/>
  <c r="D83" i="14"/>
  <c r="E84" i="14" s="1"/>
  <c r="C84" i="14" s="1"/>
  <c r="Z20" i="1"/>
  <c r="F162" i="14"/>
  <c r="AB19" i="8"/>
  <c r="B164" i="14"/>
  <c r="AC47" i="1"/>
  <c r="AH47" i="9"/>
  <c r="B537" i="14"/>
  <c r="C537" i="14" s="1"/>
  <c r="AA21" i="8"/>
  <c r="AA22" i="8" s="1"/>
  <c r="X69" i="1"/>
  <c r="X17" i="6" s="1"/>
  <c r="X27" i="6" s="1"/>
  <c r="AI36" i="9"/>
  <c r="F468" i="14"/>
  <c r="Y19" i="1"/>
  <c r="S18" i="10"/>
  <c r="S20" i="10" s="1"/>
  <c r="S22" i="10" s="1"/>
  <c r="S23" i="10" s="1"/>
  <c r="C69" i="30" l="1"/>
  <c r="AP25" i="6" s="1"/>
  <c r="D44" i="30"/>
  <c r="D57" i="30" s="1"/>
  <c r="D60" i="30" s="1"/>
  <c r="D68" i="30" s="1"/>
  <c r="J69" i="29"/>
  <c r="AW26" i="6" s="1"/>
  <c r="K44" i="29"/>
  <c r="K57" i="29" s="1"/>
  <c r="K60" i="29" s="1"/>
  <c r="K68" i="29" s="1"/>
  <c r="F862" i="14"/>
  <c r="F20" i="30"/>
  <c r="E21" i="30"/>
  <c r="E22" i="30" s="1"/>
  <c r="F19" i="30"/>
  <c r="C21" i="20"/>
  <c r="C22" i="20" s="1"/>
  <c r="C65" i="20" s="1"/>
  <c r="C67" i="20" s="1"/>
  <c r="C39" i="32"/>
  <c r="C56" i="32" s="1"/>
  <c r="C67" i="32"/>
  <c r="E697" i="14"/>
  <c r="C164" i="14"/>
  <c r="E357" i="14"/>
  <c r="F357" i="14" s="1"/>
  <c r="C357" i="14"/>
  <c r="AD47" i="8"/>
  <c r="B358" i="14"/>
  <c r="E358" i="14" s="1"/>
  <c r="C279" i="14"/>
  <c r="D279" i="14" s="1"/>
  <c r="E280" i="14" s="1"/>
  <c r="F279" i="14"/>
  <c r="AE36" i="8"/>
  <c r="AC58" i="8"/>
  <c r="AC44" i="9"/>
  <c r="AC57" i="9" s="1"/>
  <c r="AC60" i="9" s="1"/>
  <c r="AC68" i="9" s="1"/>
  <c r="AE21" i="9"/>
  <c r="AE22" i="9" s="1"/>
  <c r="AD65" i="9"/>
  <c r="AD67" i="9" s="1"/>
  <c r="AD39" i="9"/>
  <c r="AD56" i="9" s="1"/>
  <c r="E537" i="14"/>
  <c r="F537" i="14" s="1"/>
  <c r="AH20" i="9" s="1"/>
  <c r="AB69" i="9"/>
  <c r="AB19" i="6" s="1"/>
  <c r="Y21" i="1"/>
  <c r="Y22" i="1" s="1"/>
  <c r="AG21" i="9"/>
  <c r="AG22" i="9" s="1"/>
  <c r="AH58" i="9"/>
  <c r="E164" i="14"/>
  <c r="AB21" i="8"/>
  <c r="AB22" i="8" s="1"/>
  <c r="Z19" i="1"/>
  <c r="AF39" i="9"/>
  <c r="AF56" i="9" s="1"/>
  <c r="AF65" i="9"/>
  <c r="AF67" i="9" s="1"/>
  <c r="AD36" i="1"/>
  <c r="F84" i="14"/>
  <c r="AJ36" i="9"/>
  <c r="F469" i="14"/>
  <c r="S24" i="10"/>
  <c r="S25" i="10" s="1"/>
  <c r="T10" i="10"/>
  <c r="B538" i="14"/>
  <c r="AI47" i="9"/>
  <c r="W12" i="10"/>
  <c r="W16" i="10" s="1"/>
  <c r="X39" i="6"/>
  <c r="X41" i="6" s="1"/>
  <c r="AA65" i="8"/>
  <c r="AA67" i="8" s="1"/>
  <c r="AA39" i="8"/>
  <c r="AA56" i="8" s="1"/>
  <c r="AC58" i="1"/>
  <c r="F163" i="14"/>
  <c r="AA20" i="1"/>
  <c r="D84" i="14"/>
  <c r="E85" i="14" s="1"/>
  <c r="C85" i="14" s="1"/>
  <c r="D469" i="14"/>
  <c r="E470" i="14" s="1"/>
  <c r="C470" i="14" s="1"/>
  <c r="V59" i="10"/>
  <c r="W45" i="10"/>
  <c r="V55" i="10"/>
  <c r="V57" i="10" s="1"/>
  <c r="V58" i="10" s="1"/>
  <c r="V60" i="10" s="1"/>
  <c r="D69" i="30" l="1"/>
  <c r="AQ25" i="6" s="1"/>
  <c r="C44" i="32"/>
  <c r="C57" i="32" s="1"/>
  <c r="C60" i="32" s="1"/>
  <c r="C68" i="32" s="1"/>
  <c r="K69" i="29"/>
  <c r="AX26" i="6" s="1"/>
  <c r="G20" i="30"/>
  <c r="F863" i="14"/>
  <c r="F21" i="30"/>
  <c r="F22" i="30" s="1"/>
  <c r="E39" i="30"/>
  <c r="E56" i="30" s="1"/>
  <c r="E65" i="30"/>
  <c r="E67" i="30" s="1"/>
  <c r="G19" i="30"/>
  <c r="F36" i="20"/>
  <c r="C39" i="20"/>
  <c r="C56" i="20" s="1"/>
  <c r="AC20" i="8"/>
  <c r="AF44" i="9"/>
  <c r="AF57" i="9" s="1"/>
  <c r="AF60" i="9" s="1"/>
  <c r="AF68" i="9" s="1"/>
  <c r="C697" i="14"/>
  <c r="D697" i="14" s="1"/>
  <c r="AB36" i="6"/>
  <c r="C280" i="14"/>
  <c r="D280" i="14" s="1"/>
  <c r="E281" i="14" s="1"/>
  <c r="AF36" i="8"/>
  <c r="F280" i="14"/>
  <c r="AD58" i="8"/>
  <c r="B359" i="14"/>
  <c r="E359" i="14" s="1"/>
  <c r="AE47" i="8"/>
  <c r="F358" i="14"/>
  <c r="C358" i="14"/>
  <c r="AD44" i="9"/>
  <c r="AD57" i="9" s="1"/>
  <c r="AD60" i="9" s="1"/>
  <c r="AD68" i="9" s="1"/>
  <c r="E538" i="14"/>
  <c r="F538" i="14" s="1"/>
  <c r="AI20" i="9" s="1"/>
  <c r="F689" i="14"/>
  <c r="AC69" i="9"/>
  <c r="AC19" i="6" s="1"/>
  <c r="AE65" i="9"/>
  <c r="AE67" i="9" s="1"/>
  <c r="AE39" i="9"/>
  <c r="AC36" i="6"/>
  <c r="C538" i="14"/>
  <c r="AA44" i="8"/>
  <c r="AA57" i="8" s="1"/>
  <c r="AA60" i="8" s="1"/>
  <c r="AA68" i="8" s="1"/>
  <c r="D85" i="14"/>
  <c r="E87" i="14" s="1"/>
  <c r="E89" i="14" s="1"/>
  <c r="AK36" i="9"/>
  <c r="F470" i="14"/>
  <c r="AA19" i="1"/>
  <c r="AB20" i="1"/>
  <c r="F164" i="14"/>
  <c r="AH19" i="9"/>
  <c r="AI58" i="9"/>
  <c r="T18" i="10"/>
  <c r="T20" i="10" s="1"/>
  <c r="T22" i="10" s="1"/>
  <c r="B539" i="14"/>
  <c r="AJ47" i="9"/>
  <c r="AD47" i="1"/>
  <c r="B165" i="14"/>
  <c r="AB39" i="8"/>
  <c r="AB56" i="8" s="1"/>
  <c r="AB65" i="8"/>
  <c r="AB67" i="8" s="1"/>
  <c r="D470" i="14"/>
  <c r="AE36" i="1"/>
  <c r="F85" i="14"/>
  <c r="Z21" i="1"/>
  <c r="Z22" i="1" s="1"/>
  <c r="AG39" i="9"/>
  <c r="AG56" i="9" s="1"/>
  <c r="AG65" i="9"/>
  <c r="AG67" i="9" s="1"/>
  <c r="Y65" i="1"/>
  <c r="Y67" i="1" s="1"/>
  <c r="Y39" i="1"/>
  <c r="Y56" i="1" s="1"/>
  <c r="W53" i="10"/>
  <c r="W55" i="10" s="1"/>
  <c r="W57" i="10" s="1"/>
  <c r="C539" i="14" l="1"/>
  <c r="C44" i="20"/>
  <c r="C57" i="20" s="1"/>
  <c r="C60" i="20" s="1"/>
  <c r="C68" i="20" s="1"/>
  <c r="C69" i="32"/>
  <c r="AP23" i="6" s="1"/>
  <c r="E44" i="30"/>
  <c r="E57" i="30" s="1"/>
  <c r="E60" i="30" s="1"/>
  <c r="E68" i="30" s="1"/>
  <c r="H19" i="30"/>
  <c r="G21" i="30"/>
  <c r="G22" i="30" s="1"/>
  <c r="F39" i="30"/>
  <c r="F56" i="30" s="1"/>
  <c r="F65" i="30"/>
  <c r="F67" i="30" s="1"/>
  <c r="H20" i="30"/>
  <c r="F864" i="14"/>
  <c r="E698" i="14"/>
  <c r="AC19" i="8"/>
  <c r="E471" i="14"/>
  <c r="AL36" i="9" s="1"/>
  <c r="F695" i="14"/>
  <c r="F696" i="14"/>
  <c r="F697" i="14"/>
  <c r="C359" i="14"/>
  <c r="AE58" i="8"/>
  <c r="AF47" i="8"/>
  <c r="B360" i="14"/>
  <c r="C281" i="14"/>
  <c r="D281" i="14" s="1"/>
  <c r="E282" i="14" s="1"/>
  <c r="AG36" i="8"/>
  <c r="F281" i="14"/>
  <c r="AD20" i="8"/>
  <c r="F359" i="14"/>
  <c r="AD36" i="6"/>
  <c r="AG44" i="9"/>
  <c r="AG57" i="9" s="1"/>
  <c r="AG60" i="9" s="1"/>
  <c r="AG68" i="9" s="1"/>
  <c r="AD69" i="9"/>
  <c r="AD19" i="6" s="1"/>
  <c r="E539" i="14"/>
  <c r="F539" i="14" s="1"/>
  <c r="AJ20" i="9" s="1"/>
  <c r="AE56" i="9"/>
  <c r="AE44" i="9"/>
  <c r="AE57" i="9" s="1"/>
  <c r="AA35" i="6"/>
  <c r="AF36" i="6"/>
  <c r="AA69" i="8"/>
  <c r="AA18" i="6" s="1"/>
  <c r="Z65" i="1"/>
  <c r="Z67" i="1" s="1"/>
  <c r="Z39" i="1"/>
  <c r="Z56" i="1" s="1"/>
  <c r="AD58" i="1"/>
  <c r="T24" i="10"/>
  <c r="T25" i="10" s="1"/>
  <c r="U10" i="10"/>
  <c r="AB19" i="1"/>
  <c r="AF36" i="1"/>
  <c r="F87" i="14"/>
  <c r="F89" i="14" s="1"/>
  <c r="AF47" i="1" s="1"/>
  <c r="Y44" i="1"/>
  <c r="Y57" i="1" s="1"/>
  <c r="Y60" i="1" s="1"/>
  <c r="Y68" i="1" s="1"/>
  <c r="AF69" i="9"/>
  <c r="AF19" i="6" s="1"/>
  <c r="AB44" i="8"/>
  <c r="AB57" i="8" s="1"/>
  <c r="AB60" i="8" s="1"/>
  <c r="AB68" i="8" s="1"/>
  <c r="AI19" i="9"/>
  <c r="B166" i="14"/>
  <c r="E166" i="14" s="1"/>
  <c r="AE47" i="1"/>
  <c r="E165" i="14"/>
  <c r="F165" i="14" s="1"/>
  <c r="C165" i="14"/>
  <c r="AJ58" i="9"/>
  <c r="AH21" i="9"/>
  <c r="AH22" i="9" s="1"/>
  <c r="AC20" i="1"/>
  <c r="AA21" i="1"/>
  <c r="AA22" i="1" s="1"/>
  <c r="AK47" i="9"/>
  <c r="B540" i="14"/>
  <c r="C87" i="14"/>
  <c r="W59" i="10"/>
  <c r="W60" i="10" s="1"/>
  <c r="X45" i="10"/>
  <c r="C166" i="14" l="1"/>
  <c r="E69" i="30"/>
  <c r="AR25" i="6" s="1"/>
  <c r="C69" i="20"/>
  <c r="AL22" i="6" s="1"/>
  <c r="C698" i="14"/>
  <c r="D698" i="14" s="1"/>
  <c r="E699" i="14" s="1"/>
  <c r="B718" i="14"/>
  <c r="E718" i="14" s="1"/>
  <c r="F718" i="14" s="1"/>
  <c r="D47" i="20"/>
  <c r="F44" i="30"/>
  <c r="F57" i="30" s="1"/>
  <c r="F60" i="30" s="1"/>
  <c r="F68" i="30" s="1"/>
  <c r="B719" i="14"/>
  <c r="E719" i="14" s="1"/>
  <c r="E47" i="20"/>
  <c r="I20" i="30"/>
  <c r="F865" i="14"/>
  <c r="I19" i="30"/>
  <c r="G39" i="30"/>
  <c r="G56" i="30" s="1"/>
  <c r="G65" i="30"/>
  <c r="G67" i="30" s="1"/>
  <c r="H21" i="30"/>
  <c r="H22" i="30" s="1"/>
  <c r="B720" i="14"/>
  <c r="E720" i="14" s="1"/>
  <c r="F47" i="20"/>
  <c r="G36" i="20"/>
  <c r="F698" i="14"/>
  <c r="F471" i="14"/>
  <c r="B541" i="14" s="1"/>
  <c r="B542" i="14" s="1"/>
  <c r="AC21" i="8"/>
  <c r="AC22" i="8" s="1"/>
  <c r="C471" i="14"/>
  <c r="D471" i="14" s="1"/>
  <c r="E474" i="14" s="1"/>
  <c r="AE20" i="8"/>
  <c r="B361" i="14"/>
  <c r="AG47" i="8"/>
  <c r="C282" i="14"/>
  <c r="D282" i="14" s="1"/>
  <c r="E283" i="14" s="1"/>
  <c r="AH36" i="8"/>
  <c r="F282" i="14"/>
  <c r="AF58" i="8"/>
  <c r="AD19" i="8"/>
  <c r="E360" i="14"/>
  <c r="F360" i="14" s="1"/>
  <c r="C360" i="14"/>
  <c r="C361" i="14" s="1"/>
  <c r="AE60" i="9"/>
  <c r="AE68" i="9" s="1"/>
  <c r="AE36" i="6"/>
  <c r="E540" i="14"/>
  <c r="F540" i="14" s="1"/>
  <c r="AK20" i="9" s="1"/>
  <c r="I9" i="17"/>
  <c r="J9" i="17" s="1"/>
  <c r="K22" i="17" s="1"/>
  <c r="AG36" i="6"/>
  <c r="AB35" i="6"/>
  <c r="AD20" i="1"/>
  <c r="F166" i="14"/>
  <c r="D87" i="14"/>
  <c r="AK58" i="9"/>
  <c r="AA65" i="1"/>
  <c r="AA67" i="1" s="1"/>
  <c r="AA39" i="1"/>
  <c r="AA56" i="1" s="1"/>
  <c r="AE58" i="1"/>
  <c r="U18" i="10"/>
  <c r="U20" i="10" s="1"/>
  <c r="U22" i="10" s="1"/>
  <c r="C540" i="14"/>
  <c r="AB69" i="8"/>
  <c r="AB18" i="6" s="1"/>
  <c r="Y34" i="6"/>
  <c r="Y37" i="6" s="1"/>
  <c r="X47" i="10" s="1"/>
  <c r="X51" i="10" s="1"/>
  <c r="X53" i="10" s="1"/>
  <c r="X55" i="10" s="1"/>
  <c r="X57" i="10" s="1"/>
  <c r="Z44" i="1"/>
  <c r="Z57" i="1" s="1"/>
  <c r="Z60" i="1" s="1"/>
  <c r="Z68" i="1" s="1"/>
  <c r="Y69" i="1"/>
  <c r="Y17" i="6" s="1"/>
  <c r="Y27" i="6" s="1"/>
  <c r="AC19" i="1"/>
  <c r="AH39" i="9"/>
  <c r="AH56" i="9" s="1"/>
  <c r="AH65" i="9"/>
  <c r="AH67" i="9" s="1"/>
  <c r="AI21" i="9"/>
  <c r="AI22" i="9" s="1"/>
  <c r="B168" i="14"/>
  <c r="AB21" i="1"/>
  <c r="AB22" i="1" s="1"/>
  <c r="AJ19" i="9"/>
  <c r="AG69" i="9"/>
  <c r="AG19" i="6" s="1"/>
  <c r="I28" i="17" l="1"/>
  <c r="J28" i="17"/>
  <c r="AL47" i="9"/>
  <c r="AL58" i="9" s="1"/>
  <c r="C718" i="14"/>
  <c r="C719" i="14" s="1"/>
  <c r="C720" i="14" s="1"/>
  <c r="D58" i="20"/>
  <c r="F69" i="30"/>
  <c r="AS25" i="6" s="1"/>
  <c r="E58" i="20"/>
  <c r="H65" i="30"/>
  <c r="H67" i="30" s="1"/>
  <c r="H39" i="30"/>
  <c r="G44" i="30"/>
  <c r="G57" i="30" s="1"/>
  <c r="G60" i="30" s="1"/>
  <c r="G68" i="30" s="1"/>
  <c r="J20" i="30"/>
  <c r="F866" i="14"/>
  <c r="I21" i="30"/>
  <c r="I22" i="30" s="1"/>
  <c r="J19" i="30"/>
  <c r="F58" i="20"/>
  <c r="B721" i="14"/>
  <c r="E721" i="14" s="1"/>
  <c r="G47" i="20"/>
  <c r="F699" i="14"/>
  <c r="D21" i="32"/>
  <c r="D22" i="32" s="1"/>
  <c r="AC65" i="8"/>
  <c r="AC67" i="8" s="1"/>
  <c r="AC39" i="8"/>
  <c r="E361" i="14"/>
  <c r="F361" i="14" s="1"/>
  <c r="F474" i="14"/>
  <c r="AM36" i="9"/>
  <c r="C474" i="14"/>
  <c r="D474" i="14" s="1"/>
  <c r="E475" i="14" s="1"/>
  <c r="D20" i="20"/>
  <c r="F719" i="14"/>
  <c r="H36" i="20"/>
  <c r="AE69" i="9"/>
  <c r="AE19" i="6" s="1"/>
  <c r="C699" i="14"/>
  <c r="AF20" i="8"/>
  <c r="AH47" i="8"/>
  <c r="B362" i="14"/>
  <c r="C283" i="14"/>
  <c r="D283" i="14" s="1"/>
  <c r="E284" i="14" s="1"/>
  <c r="AI36" i="8"/>
  <c r="F283" i="14"/>
  <c r="AE19" i="8"/>
  <c r="AD21" i="8"/>
  <c r="AD22" i="8" s="1"/>
  <c r="AG58" i="8"/>
  <c r="AH44" i="9"/>
  <c r="AH57" i="9" s="1"/>
  <c r="AH60" i="9" s="1"/>
  <c r="AH68" i="9" s="1"/>
  <c r="E541" i="14"/>
  <c r="F541" i="14" s="1"/>
  <c r="F542" i="14" s="1"/>
  <c r="E168" i="14"/>
  <c r="F168" i="14" s="1"/>
  <c r="K9" i="17"/>
  <c r="C88" i="14"/>
  <c r="AA44" i="1"/>
  <c r="AA57" i="1" s="1"/>
  <c r="AA60" i="1" s="1"/>
  <c r="AA68" i="1" s="1"/>
  <c r="C168" i="14"/>
  <c r="C541" i="14"/>
  <c r="AB65" i="1"/>
  <c r="AB67" i="1" s="1"/>
  <c r="AB39" i="1"/>
  <c r="AB56" i="1" s="1"/>
  <c r="AJ21" i="9"/>
  <c r="AJ22" i="9" s="1"/>
  <c r="AF58" i="1"/>
  <c r="AI39" i="9"/>
  <c r="AI56" i="9" s="1"/>
  <c r="AI65" i="9"/>
  <c r="AI67" i="9" s="1"/>
  <c r="AD19" i="1"/>
  <c r="AK19" i="9"/>
  <c r="Z34" i="6"/>
  <c r="Z37" i="6" s="1"/>
  <c r="Y47" i="10" s="1"/>
  <c r="Y51" i="10" s="1"/>
  <c r="AC21" i="1"/>
  <c r="AC22" i="1" s="1"/>
  <c r="X12" i="10"/>
  <c r="X16" i="10" s="1"/>
  <c r="Y39" i="6"/>
  <c r="Y41" i="6" s="1"/>
  <c r="U24" i="10"/>
  <c r="U25" i="10" s="1"/>
  <c r="V10" i="10"/>
  <c r="AE20" i="1"/>
  <c r="Z69" i="1"/>
  <c r="Z17" i="6" s="1"/>
  <c r="Z27" i="6" s="1"/>
  <c r="X59" i="10"/>
  <c r="X60" i="10" s="1"/>
  <c r="Y45" i="10"/>
  <c r="G69" i="30" l="1"/>
  <c r="AT25" i="6" s="1"/>
  <c r="K28" i="17"/>
  <c r="C721" i="14"/>
  <c r="K19" i="30"/>
  <c r="J21" i="30"/>
  <c r="J22" i="30" s="1"/>
  <c r="I65" i="30"/>
  <c r="I67" i="30" s="1"/>
  <c r="I39" i="30"/>
  <c r="I56" i="30" s="1"/>
  <c r="F867" i="14"/>
  <c r="K20" i="30"/>
  <c r="H56" i="30"/>
  <c r="H44" i="30"/>
  <c r="H57" i="30" s="1"/>
  <c r="G58" i="20"/>
  <c r="B722" i="14"/>
  <c r="E722" i="14" s="1"/>
  <c r="H47" i="20"/>
  <c r="E21" i="32"/>
  <c r="E22" i="32" s="1"/>
  <c r="D39" i="32"/>
  <c r="D56" i="32" s="1"/>
  <c r="D65" i="32"/>
  <c r="D67" i="32" s="1"/>
  <c r="AI44" i="9"/>
  <c r="AI57" i="9" s="1"/>
  <c r="AI60" i="9" s="1"/>
  <c r="AI68" i="9" s="1"/>
  <c r="AC56" i="8"/>
  <c r="AC44" i="8"/>
  <c r="AC57" i="8" s="1"/>
  <c r="AG20" i="8"/>
  <c r="AL20" i="9"/>
  <c r="AL19" i="9" s="1"/>
  <c r="F475" i="14"/>
  <c r="AN36" i="9"/>
  <c r="AM47" i="9"/>
  <c r="B544" i="14"/>
  <c r="E20" i="20"/>
  <c r="F720" i="14"/>
  <c r="D21" i="20"/>
  <c r="D22" i="20" s="1"/>
  <c r="E19" i="20"/>
  <c r="D699" i="14"/>
  <c r="E700" i="14" s="1"/>
  <c r="AE21" i="8"/>
  <c r="AE22" i="8" s="1"/>
  <c r="AI47" i="8"/>
  <c r="B363" i="14"/>
  <c r="E363" i="14" s="1"/>
  <c r="C284" i="14"/>
  <c r="AJ36" i="8"/>
  <c r="F284" i="14"/>
  <c r="AH58" i="8"/>
  <c r="AF19" i="8"/>
  <c r="AD39" i="8"/>
  <c r="AD65" i="8"/>
  <c r="AD67" i="8" s="1"/>
  <c r="C362" i="14"/>
  <c r="C363" i="14" s="1"/>
  <c r="E362" i="14"/>
  <c r="F362" i="14" s="1"/>
  <c r="AH20" i="8" s="1"/>
  <c r="E9" i="17"/>
  <c r="F9" i="17" s="1"/>
  <c r="B169" i="14" s="1"/>
  <c r="D88" i="14"/>
  <c r="D89" i="14" s="1"/>
  <c r="E91" i="14" s="1"/>
  <c r="C89" i="14"/>
  <c r="AA69" i="1"/>
  <c r="AA17" i="6" s="1"/>
  <c r="AB44" i="1"/>
  <c r="AB57" i="1" s="1"/>
  <c r="AB60" i="1" s="1"/>
  <c r="AB68" i="1" s="1"/>
  <c r="Y12" i="10"/>
  <c r="Y16" i="10" s="1"/>
  <c r="Z39" i="6"/>
  <c r="Z41" i="6" s="1"/>
  <c r="AE19" i="1"/>
  <c r="AC65" i="1"/>
  <c r="AC67" i="1" s="1"/>
  <c r="AC39" i="1"/>
  <c r="AC56" i="1" s="1"/>
  <c r="AK21" i="9"/>
  <c r="AK22" i="9" s="1"/>
  <c r="AD21" i="1"/>
  <c r="AD22" i="1" s="1"/>
  <c r="AJ65" i="9"/>
  <c r="AJ67" i="9" s="1"/>
  <c r="AJ39" i="9"/>
  <c r="AJ56" i="9" s="1"/>
  <c r="AH36" i="6"/>
  <c r="AA34" i="6"/>
  <c r="AA37" i="6" s="1"/>
  <c r="Z47" i="10" s="1"/>
  <c r="Z51" i="10" s="1"/>
  <c r="AH69" i="9"/>
  <c r="AH19" i="6" s="1"/>
  <c r="AF20" i="1"/>
  <c r="V18" i="10"/>
  <c r="Y53" i="10"/>
  <c r="Y55" i="10" s="1"/>
  <c r="Y57" i="10" s="1"/>
  <c r="Y58" i="10" s="1"/>
  <c r="C91" i="14" l="1"/>
  <c r="D91" i="14" s="1"/>
  <c r="E92" i="14" s="1"/>
  <c r="F91" i="14"/>
  <c r="B172" i="14" s="1"/>
  <c r="C172" i="14" s="1"/>
  <c r="AG36" i="1"/>
  <c r="C722" i="14"/>
  <c r="H60" i="30"/>
  <c r="H68" i="30" s="1"/>
  <c r="I44" i="30"/>
  <c r="I57" i="30" s="1"/>
  <c r="I60" i="30" s="1"/>
  <c r="I68" i="30" s="1"/>
  <c r="J39" i="30"/>
  <c r="J65" i="30"/>
  <c r="J67" i="30" s="1"/>
  <c r="K21" i="30"/>
  <c r="K22" i="30" s="1"/>
  <c r="H58" i="20"/>
  <c r="AH19" i="8"/>
  <c r="AH21" i="8" s="1"/>
  <c r="AH22" i="8" s="1"/>
  <c r="D44" i="32"/>
  <c r="D57" i="32" s="1"/>
  <c r="D60" i="32" s="1"/>
  <c r="D68" i="32" s="1"/>
  <c r="AC60" i="8"/>
  <c r="AC68" i="8" s="1"/>
  <c r="AC35" i="6"/>
  <c r="F700" i="14"/>
  <c r="E39" i="32"/>
  <c r="E56" i="32" s="1"/>
  <c r="E65" i="32"/>
  <c r="E67" i="32" s="1"/>
  <c r="F21" i="32"/>
  <c r="F22" i="32" s="1"/>
  <c r="E544" i="14"/>
  <c r="F544" i="14" s="1"/>
  <c r="AM20" i="9" s="1"/>
  <c r="AL21" i="9"/>
  <c r="AL22" i="9" s="1"/>
  <c r="AL65" i="9" s="1"/>
  <c r="AL67" i="9" s="1"/>
  <c r="AG19" i="8"/>
  <c r="AM58" i="9"/>
  <c r="B545" i="14"/>
  <c r="E545" i="14" s="1"/>
  <c r="AN47" i="9"/>
  <c r="C544" i="14"/>
  <c r="C545" i="14" s="1"/>
  <c r="D284" i="14"/>
  <c r="D65" i="20"/>
  <c r="D67" i="20" s="1"/>
  <c r="D39" i="20"/>
  <c r="D56" i="20" s="1"/>
  <c r="F20" i="20"/>
  <c r="F721" i="14"/>
  <c r="E21" i="20"/>
  <c r="E22" i="20" s="1"/>
  <c r="F19" i="20"/>
  <c r="AG47" i="1"/>
  <c r="AG58" i="1" s="1"/>
  <c r="I36" i="20"/>
  <c r="AA27" i="6"/>
  <c r="Z12" i="10" s="1"/>
  <c r="Z16" i="10" s="1"/>
  <c r="C700" i="14"/>
  <c r="AF21" i="8"/>
  <c r="AF22" i="8" s="1"/>
  <c r="B364" i="14"/>
  <c r="AJ47" i="8"/>
  <c r="AI58" i="8"/>
  <c r="AD56" i="8"/>
  <c r="AD44" i="8"/>
  <c r="AD57" i="8" s="1"/>
  <c r="AE65" i="8"/>
  <c r="AE67" i="8" s="1"/>
  <c r="AE39" i="8"/>
  <c r="F363" i="14"/>
  <c r="AI20" i="8" s="1"/>
  <c r="AI19" i="8" s="1"/>
  <c r="E169" i="14"/>
  <c r="C169" i="14"/>
  <c r="C170" i="14" s="1"/>
  <c r="B170" i="14"/>
  <c r="G9" i="17"/>
  <c r="AI69" i="9"/>
  <c r="AI19" i="6" s="1"/>
  <c r="AI36" i="6"/>
  <c r="AB69" i="1"/>
  <c r="AB17" i="6" s="1"/>
  <c r="AB34" i="6"/>
  <c r="AB37" i="6" s="1"/>
  <c r="AA47" i="10" s="1"/>
  <c r="AA51" i="10" s="1"/>
  <c r="AJ44" i="9"/>
  <c r="AJ57" i="9" s="1"/>
  <c r="AJ60" i="9" s="1"/>
  <c r="AJ68" i="9" s="1"/>
  <c r="V24" i="10"/>
  <c r="AF19" i="1"/>
  <c r="AK39" i="9"/>
  <c r="AK56" i="9" s="1"/>
  <c r="AK65" i="9"/>
  <c r="AK67" i="9" s="1"/>
  <c r="AE21" i="1"/>
  <c r="AE22" i="1" s="1"/>
  <c r="E172" i="14"/>
  <c r="F172" i="14" s="1"/>
  <c r="AD65" i="1"/>
  <c r="AD67" i="1" s="1"/>
  <c r="AD39" i="1"/>
  <c r="AD56" i="1" s="1"/>
  <c r="V20" i="10"/>
  <c r="V22" i="10" s="1"/>
  <c r="V23" i="10" s="1"/>
  <c r="AC44" i="1"/>
  <c r="AC57" i="1" s="1"/>
  <c r="AC60" i="1" s="1"/>
  <c r="AC68" i="1" s="1"/>
  <c r="Z45" i="10"/>
  <c r="Y59" i="10"/>
  <c r="Y60" i="10" s="1"/>
  <c r="I69" i="30" l="1"/>
  <c r="AV25" i="6" s="1"/>
  <c r="C92" i="14"/>
  <c r="AH36" i="1"/>
  <c r="F92" i="14"/>
  <c r="E44" i="32"/>
  <c r="E57" i="32" s="1"/>
  <c r="E60" i="32" s="1"/>
  <c r="E68" i="32" s="1"/>
  <c r="D69" i="32"/>
  <c r="AQ23" i="6" s="1"/>
  <c r="J56" i="30"/>
  <c r="J44" i="30"/>
  <c r="J57" i="30" s="1"/>
  <c r="K39" i="30"/>
  <c r="K56" i="30" s="1"/>
  <c r="K65" i="30"/>
  <c r="K67" i="30" s="1"/>
  <c r="H69" i="30"/>
  <c r="AU25" i="6" s="1"/>
  <c r="B723" i="14"/>
  <c r="I47" i="20"/>
  <c r="AC69" i="8"/>
  <c r="AC18" i="6" s="1"/>
  <c r="AK44" i="9"/>
  <c r="AK57" i="9" s="1"/>
  <c r="AK60" i="9" s="1"/>
  <c r="AK68" i="9" s="1"/>
  <c r="AL39" i="9"/>
  <c r="AL56" i="9" s="1"/>
  <c r="F545" i="14"/>
  <c r="AN20" i="9" s="1"/>
  <c r="G21" i="32"/>
  <c r="G22" i="32" s="1"/>
  <c r="F65" i="32"/>
  <c r="F67" i="32" s="1"/>
  <c r="F39" i="32"/>
  <c r="F56" i="32" s="1"/>
  <c r="AG21" i="8"/>
  <c r="AG22" i="8" s="1"/>
  <c r="AA39" i="6"/>
  <c r="AA41" i="6" s="1"/>
  <c r="AN58" i="9"/>
  <c r="AM19" i="9"/>
  <c r="E285" i="14"/>
  <c r="D44" i="20"/>
  <c r="D57" i="20" s="1"/>
  <c r="D60" i="20" s="1"/>
  <c r="D68" i="20" s="1"/>
  <c r="E65" i="20"/>
  <c r="E67" i="20" s="1"/>
  <c r="E39" i="20"/>
  <c r="E56" i="20" s="1"/>
  <c r="G19" i="20"/>
  <c r="F21" i="20"/>
  <c r="F22" i="20" s="1"/>
  <c r="G20" i="20"/>
  <c r="F722" i="14"/>
  <c r="AD35" i="6"/>
  <c r="AD60" i="8"/>
  <c r="AD68" i="8" s="1"/>
  <c r="AB27" i="6"/>
  <c r="AA12" i="10" s="1"/>
  <c r="AA16" i="10" s="1"/>
  <c r="D700" i="14"/>
  <c r="E701" i="14" s="1"/>
  <c r="AE56" i="8"/>
  <c r="AE44" i="8"/>
  <c r="AE57" i="8" s="1"/>
  <c r="E364" i="14"/>
  <c r="F364" i="14" s="1"/>
  <c r="C364" i="14"/>
  <c r="AF65" i="8"/>
  <c r="AF67" i="8" s="1"/>
  <c r="AF39" i="8"/>
  <c r="AF56" i="8" s="1"/>
  <c r="AJ58" i="8"/>
  <c r="V25" i="10"/>
  <c r="F169" i="14"/>
  <c r="F170" i="14" s="1"/>
  <c r="E170" i="14"/>
  <c r="AC69" i="1"/>
  <c r="AC17" i="6" s="1"/>
  <c r="AC34" i="6"/>
  <c r="AC37" i="6" s="1"/>
  <c r="AB47" i="10" s="1"/>
  <c r="AB51" i="10" s="1"/>
  <c r="AJ36" i="6"/>
  <c r="AH39" i="8"/>
  <c r="AH56" i="8" s="1"/>
  <c r="AH65" i="8"/>
  <c r="AH67" i="8" s="1"/>
  <c r="AG20" i="1"/>
  <c r="AE65" i="1"/>
  <c r="AE67" i="1" s="1"/>
  <c r="AE39" i="1"/>
  <c r="AE56" i="1" s="1"/>
  <c r="AD44" i="1"/>
  <c r="AD57" i="1" s="1"/>
  <c r="AD60" i="1" s="1"/>
  <c r="AD68" i="1" s="1"/>
  <c r="AF21" i="1"/>
  <c r="AF22" i="1" s="1"/>
  <c r="AI21" i="8"/>
  <c r="AI22" i="8" s="1"/>
  <c r="AJ69" i="9"/>
  <c r="AJ19" i="6" s="1"/>
  <c r="W10" i="10"/>
  <c r="Z53" i="10"/>
  <c r="AH47" i="1" l="1"/>
  <c r="B173" i="14"/>
  <c r="D92" i="14"/>
  <c r="E93" i="14" s="1"/>
  <c r="C93" i="14" s="1"/>
  <c r="D93" i="14" s="1"/>
  <c r="E94" i="14" s="1"/>
  <c r="AL44" i="9"/>
  <c r="AL57" i="9" s="1"/>
  <c r="AL60" i="9" s="1"/>
  <c r="AL68" i="9" s="1"/>
  <c r="AC27" i="6"/>
  <c r="AB12" i="10" s="1"/>
  <c r="AB16" i="10" s="1"/>
  <c r="AD69" i="8"/>
  <c r="AD18" i="6" s="1"/>
  <c r="E69" i="32"/>
  <c r="AR23" i="6" s="1"/>
  <c r="K44" i="30"/>
  <c r="K57" i="30" s="1"/>
  <c r="K60" i="30" s="1"/>
  <c r="K68" i="30" s="1"/>
  <c r="AB39" i="6"/>
  <c r="AB41" i="6" s="1"/>
  <c r="J60" i="30"/>
  <c r="J68" i="30" s="1"/>
  <c r="I58" i="20"/>
  <c r="C723" i="14"/>
  <c r="E723" i="14"/>
  <c r="F723" i="14" s="1"/>
  <c r="F44" i="32"/>
  <c r="F57" i="32" s="1"/>
  <c r="F60" i="32" s="1"/>
  <c r="F68" i="32" s="1"/>
  <c r="F701" i="14"/>
  <c r="H21" i="32"/>
  <c r="H22" i="32" s="1"/>
  <c r="G39" i="32"/>
  <c r="G56" i="32" s="1"/>
  <c r="G65" i="32"/>
  <c r="G67" i="32" s="1"/>
  <c r="AG65" i="8"/>
  <c r="AG67" i="8" s="1"/>
  <c r="AG39" i="8"/>
  <c r="AM21" i="9"/>
  <c r="AM22" i="9" s="1"/>
  <c r="AN19" i="9"/>
  <c r="AK36" i="8"/>
  <c r="C285" i="14"/>
  <c r="F285" i="14"/>
  <c r="D69" i="20"/>
  <c r="AM22" i="6" s="1"/>
  <c r="H20" i="20"/>
  <c r="E44" i="20"/>
  <c r="E57" i="20" s="1"/>
  <c r="E60" i="20" s="1"/>
  <c r="E68" i="20" s="1"/>
  <c r="G21" i="20"/>
  <c r="G22" i="20" s="1"/>
  <c r="H19" i="20"/>
  <c r="F39" i="20"/>
  <c r="F56" i="20" s="1"/>
  <c r="F65" i="20"/>
  <c r="F67" i="20" s="1"/>
  <c r="J36" i="20"/>
  <c r="C701" i="14"/>
  <c r="AF44" i="8"/>
  <c r="AF57" i="8" s="1"/>
  <c r="AF60" i="8" s="1"/>
  <c r="AF68" i="8" s="1"/>
  <c r="AE60" i="8"/>
  <c r="AE68" i="8" s="1"/>
  <c r="AJ20" i="8"/>
  <c r="AH44" i="8"/>
  <c r="AH57" i="8" s="1"/>
  <c r="AH60" i="8" s="1"/>
  <c r="AH68" i="8" s="1"/>
  <c r="AK36" i="6"/>
  <c r="AE44" i="1"/>
  <c r="AE57" i="1" s="1"/>
  <c r="AE60" i="1" s="1"/>
  <c r="AE68" i="1" s="1"/>
  <c r="AI39" i="8"/>
  <c r="AI56" i="8" s="1"/>
  <c r="AI65" i="8"/>
  <c r="AI67" i="8" s="1"/>
  <c r="AF65" i="1"/>
  <c r="AF67" i="1" s="1"/>
  <c r="AF39" i="1"/>
  <c r="AF56" i="1" s="1"/>
  <c r="AK69" i="9"/>
  <c r="AK19" i="6" s="1"/>
  <c r="W18" i="10"/>
  <c r="W20" i="10" s="1"/>
  <c r="W22" i="10" s="1"/>
  <c r="AG19" i="1"/>
  <c r="AD34" i="6"/>
  <c r="AD37" i="6" s="1"/>
  <c r="AC47" i="10" s="1"/>
  <c r="AC51" i="10" s="1"/>
  <c r="AD69" i="1"/>
  <c r="AD17" i="6" s="1"/>
  <c r="Z59" i="10"/>
  <c r="Z60" i="10" s="1"/>
  <c r="AA45" i="10"/>
  <c r="Z55" i="10"/>
  <c r="Z57" i="10" s="1"/>
  <c r="C94" i="14" l="1"/>
  <c r="D94" i="14" s="1"/>
  <c r="E95" i="14" s="1"/>
  <c r="C95" i="14" s="1"/>
  <c r="D95" i="14" s="1"/>
  <c r="E96" i="14" s="1"/>
  <c r="C96" i="14" s="1"/>
  <c r="F94" i="14"/>
  <c r="AJ36" i="1"/>
  <c r="E173" i="14"/>
  <c r="F173" i="14" s="1"/>
  <c r="AH20" i="1" s="1"/>
  <c r="C173" i="14"/>
  <c r="F93" i="14"/>
  <c r="AI36" i="1"/>
  <c r="AH58" i="1"/>
  <c r="AL36" i="6"/>
  <c r="AL69" i="9"/>
  <c r="AL19" i="6" s="1"/>
  <c r="AD27" i="6"/>
  <c r="AD39" i="6" s="1"/>
  <c r="AC39" i="6"/>
  <c r="AC41" i="6" s="1"/>
  <c r="K69" i="30"/>
  <c r="AX25" i="6" s="1"/>
  <c r="G44" i="32"/>
  <c r="G57" i="32" s="1"/>
  <c r="G60" i="32" s="1"/>
  <c r="G68" i="32" s="1"/>
  <c r="J69" i="30"/>
  <c r="AW25" i="6" s="1"/>
  <c r="B724" i="14"/>
  <c r="E724" i="14" s="1"/>
  <c r="F724" i="14" s="1"/>
  <c r="J47" i="20"/>
  <c r="F69" i="32"/>
  <c r="AS23" i="6" s="1"/>
  <c r="I20" i="20"/>
  <c r="I21" i="32"/>
  <c r="I22" i="32" s="1"/>
  <c r="H39" i="32"/>
  <c r="H56" i="32" s="1"/>
  <c r="H65" i="32"/>
  <c r="H67" i="32" s="1"/>
  <c r="AG56" i="8"/>
  <c r="AG44" i="8"/>
  <c r="AG57" i="8" s="1"/>
  <c r="AN21" i="9"/>
  <c r="AN22" i="9" s="1"/>
  <c r="AM65" i="9"/>
  <c r="AM67" i="9" s="1"/>
  <c r="AM39" i="9"/>
  <c r="AM56" i="9" s="1"/>
  <c r="AI44" i="8"/>
  <c r="AI57" i="8" s="1"/>
  <c r="AI60" i="8" s="1"/>
  <c r="AI68" i="8" s="1"/>
  <c r="B365" i="14"/>
  <c r="AK47" i="8"/>
  <c r="D285" i="14"/>
  <c r="E286" i="14" s="1"/>
  <c r="C286" i="14" s="1"/>
  <c r="E69" i="20"/>
  <c r="AN22" i="6" s="1"/>
  <c r="F44" i="20"/>
  <c r="F57" i="20" s="1"/>
  <c r="F60" i="20" s="1"/>
  <c r="F68" i="20" s="1"/>
  <c r="G65" i="20"/>
  <c r="G67" i="20" s="1"/>
  <c r="G39" i="20"/>
  <c r="G56" i="20" s="1"/>
  <c r="AE35" i="6"/>
  <c r="H21" i="20"/>
  <c r="H22" i="20" s="1"/>
  <c r="I19" i="20"/>
  <c r="D701" i="14"/>
  <c r="E702" i="14" s="1"/>
  <c r="AF69" i="8"/>
  <c r="AF18" i="6" s="1"/>
  <c r="AJ19" i="8"/>
  <c r="AE69" i="8"/>
  <c r="AE18" i="6" s="1"/>
  <c r="AH69" i="8"/>
  <c r="AH18" i="6" s="1"/>
  <c r="AE34" i="6"/>
  <c r="AE69" i="1"/>
  <c r="AE17" i="6" s="1"/>
  <c r="AG21" i="1"/>
  <c r="AG22" i="1" s="1"/>
  <c r="AH35" i="6"/>
  <c r="AF44" i="1"/>
  <c r="AF57" i="1" s="1"/>
  <c r="AF60" i="1" s="1"/>
  <c r="AF68" i="1" s="1"/>
  <c r="W24" i="10"/>
  <c r="W25" i="10" s="1"/>
  <c r="X10" i="10"/>
  <c r="B175" i="14"/>
  <c r="AJ47" i="1"/>
  <c r="AH19" i="1"/>
  <c r="AA53" i="10"/>
  <c r="AA55" i="10" s="1"/>
  <c r="AA57" i="10" s="1"/>
  <c r="AC12" i="10" l="1"/>
  <c r="AC16" i="10" s="1"/>
  <c r="F95" i="14"/>
  <c r="AK47" i="1" s="1"/>
  <c r="AK36" i="1"/>
  <c r="B174" i="14"/>
  <c r="E174" i="14" s="1"/>
  <c r="F174" i="14" s="1"/>
  <c r="AI20" i="1" s="1"/>
  <c r="AI19" i="1" s="1"/>
  <c r="AI47" i="1"/>
  <c r="C174" i="14"/>
  <c r="C175" i="14" s="1"/>
  <c r="AI35" i="6"/>
  <c r="H44" i="32"/>
  <c r="H57" i="32" s="1"/>
  <c r="H60" i="32" s="1"/>
  <c r="H68" i="32" s="1"/>
  <c r="AD41" i="6"/>
  <c r="C724" i="14"/>
  <c r="J19" i="20"/>
  <c r="J58" i="20"/>
  <c r="G69" i="32"/>
  <c r="AT23" i="6" s="1"/>
  <c r="F702" i="14"/>
  <c r="J20" i="20"/>
  <c r="AG35" i="6"/>
  <c r="AG60" i="8"/>
  <c r="AG68" i="8" s="1"/>
  <c r="I65" i="32"/>
  <c r="I67" i="32" s="1"/>
  <c r="I39" i="32"/>
  <c r="I56" i="32" s="1"/>
  <c r="AM44" i="9"/>
  <c r="AM57" i="9" s="1"/>
  <c r="AM60" i="9" s="1"/>
  <c r="AM68" i="9" s="1"/>
  <c r="AE37" i="6"/>
  <c r="AD47" i="10" s="1"/>
  <c r="AD51" i="10" s="1"/>
  <c r="AN39" i="9"/>
  <c r="AN56" i="9" s="1"/>
  <c r="AN65" i="9"/>
  <c r="AN67" i="9" s="1"/>
  <c r="D286" i="14"/>
  <c r="E289" i="14" s="1"/>
  <c r="AF35" i="6"/>
  <c r="AK58" i="8"/>
  <c r="AL36" i="8"/>
  <c r="F286" i="14"/>
  <c r="E365" i="14"/>
  <c r="F365" i="14" s="1"/>
  <c r="C365" i="14"/>
  <c r="D96" i="14"/>
  <c r="E100" i="14" s="1"/>
  <c r="G44" i="20"/>
  <c r="G57" i="20" s="1"/>
  <c r="G60" i="20" s="1"/>
  <c r="G68" i="20" s="1"/>
  <c r="F69" i="20"/>
  <c r="AO22" i="6" s="1"/>
  <c r="I21" i="20"/>
  <c r="I22" i="20" s="1"/>
  <c r="H65" i="20"/>
  <c r="H67" i="20" s="1"/>
  <c r="H39" i="20"/>
  <c r="H56" i="20" s="1"/>
  <c r="K36" i="20"/>
  <c r="AE27" i="6"/>
  <c r="C702" i="14"/>
  <c r="AJ21" i="8"/>
  <c r="AJ22" i="8" s="1"/>
  <c r="AJ58" i="1"/>
  <c r="X18" i="10"/>
  <c r="X20" i="10" s="1"/>
  <c r="X22" i="10" s="1"/>
  <c r="AG39" i="1"/>
  <c r="AG56" i="1" s="1"/>
  <c r="AG65" i="1"/>
  <c r="AG67" i="1" s="1"/>
  <c r="F96" i="14"/>
  <c r="AL36" i="1"/>
  <c r="AH21" i="1"/>
  <c r="AH22" i="1" s="1"/>
  <c r="E175" i="14"/>
  <c r="AI69" i="8"/>
  <c r="AI18" i="6" s="1"/>
  <c r="AF69" i="1"/>
  <c r="AF17" i="6" s="1"/>
  <c r="AF27" i="6" s="1"/>
  <c r="AF34" i="6"/>
  <c r="AB45" i="10"/>
  <c r="AA59" i="10"/>
  <c r="AA60" i="10" s="1"/>
  <c r="B176" i="14" l="1"/>
  <c r="E176" i="14" s="1"/>
  <c r="F175" i="14"/>
  <c r="AI58" i="1"/>
  <c r="AM69" i="9"/>
  <c r="AM19" i="6" s="1"/>
  <c r="AG69" i="8"/>
  <c r="AG18" i="6" s="1"/>
  <c r="B725" i="14"/>
  <c r="K47" i="20"/>
  <c r="H69" i="32"/>
  <c r="AU23" i="6" s="1"/>
  <c r="J21" i="20"/>
  <c r="J22" i="20" s="1"/>
  <c r="J39" i="20" s="1"/>
  <c r="J56" i="20" s="1"/>
  <c r="AN44" i="9"/>
  <c r="AN57" i="9" s="1"/>
  <c r="AN60" i="9" s="1"/>
  <c r="AN68" i="9" s="1"/>
  <c r="K19" i="20"/>
  <c r="J21" i="32"/>
  <c r="J22" i="32" s="1"/>
  <c r="I44" i="32"/>
  <c r="I57" i="32" s="1"/>
  <c r="I60" i="32" s="1"/>
  <c r="I68" i="32" s="1"/>
  <c r="AE39" i="6"/>
  <c r="AE41" i="6" s="1"/>
  <c r="AK20" i="8"/>
  <c r="AF37" i="6"/>
  <c r="AE47" i="10" s="1"/>
  <c r="AE51" i="10" s="1"/>
  <c r="F289" i="14"/>
  <c r="AM36" i="8"/>
  <c r="F100" i="14"/>
  <c r="AM36" i="1"/>
  <c r="AG44" i="1"/>
  <c r="AG57" i="1" s="1"/>
  <c r="AG60" i="1" s="1"/>
  <c r="AG68" i="1" s="1"/>
  <c r="C289" i="14"/>
  <c r="D289" i="14" s="1"/>
  <c r="E290" i="14" s="1"/>
  <c r="B366" i="14"/>
  <c r="AL47" i="8"/>
  <c r="C100" i="14"/>
  <c r="G69" i="20"/>
  <c r="AP22" i="6" s="1"/>
  <c r="H44" i="20"/>
  <c r="H57" i="20" s="1"/>
  <c r="H60" i="20" s="1"/>
  <c r="H68" i="20" s="1"/>
  <c r="I39" i="20"/>
  <c r="I56" i="20" s="1"/>
  <c r="I65" i="20"/>
  <c r="I67" i="20" s="1"/>
  <c r="AD12" i="10"/>
  <c r="AD16" i="10" s="1"/>
  <c r="D702" i="14"/>
  <c r="E703" i="14" s="1"/>
  <c r="AJ39" i="8"/>
  <c r="AJ65" i="8"/>
  <c r="AJ67" i="8" s="1"/>
  <c r="AE12" i="10"/>
  <c r="AE16" i="10" s="1"/>
  <c r="AK58" i="1"/>
  <c r="AH39" i="1"/>
  <c r="AH56" i="1" s="1"/>
  <c r="AH65" i="1"/>
  <c r="AH67" i="1" s="1"/>
  <c r="X24" i="10"/>
  <c r="X25" i="10" s="1"/>
  <c r="Y10" i="10"/>
  <c r="AI21" i="1"/>
  <c r="AI22" i="1" s="1"/>
  <c r="B177" i="14"/>
  <c r="AL47" i="1"/>
  <c r="C176" i="14"/>
  <c r="AB53" i="10"/>
  <c r="AB55" i="10" s="1"/>
  <c r="AB57" i="10" s="1"/>
  <c r="AB58" i="10" s="1"/>
  <c r="F176" i="14" l="1"/>
  <c r="AK20" i="1" s="1"/>
  <c r="AJ20" i="1"/>
  <c r="AJ19" i="1" s="1"/>
  <c r="AN69" i="9"/>
  <c r="AN19" i="6" s="1"/>
  <c r="K58" i="20"/>
  <c r="E725" i="14"/>
  <c r="F725" i="14" s="1"/>
  <c r="K20" i="20" s="1"/>
  <c r="L19" i="20" s="1"/>
  <c r="C725" i="14"/>
  <c r="I69" i="32"/>
  <c r="AV23" i="6" s="1"/>
  <c r="C366" i="14"/>
  <c r="B367" i="14"/>
  <c r="AK19" i="8"/>
  <c r="AK21" i="8" s="1"/>
  <c r="AK22" i="8" s="1"/>
  <c r="J65" i="20"/>
  <c r="J67" i="20" s="1"/>
  <c r="F703" i="14"/>
  <c r="K21" i="32"/>
  <c r="K22" i="32" s="1"/>
  <c r="J39" i="32"/>
  <c r="J56" i="32" s="1"/>
  <c r="J65" i="32"/>
  <c r="J67" i="32" s="1"/>
  <c r="AF39" i="6"/>
  <c r="AF41" i="6" s="1"/>
  <c r="E366" i="14"/>
  <c r="F366" i="14" s="1"/>
  <c r="F367" i="14" s="1"/>
  <c r="E177" i="14"/>
  <c r="B178" i="14"/>
  <c r="F290" i="14"/>
  <c r="AN47" i="8" s="1"/>
  <c r="AN36" i="8"/>
  <c r="B369" i="14"/>
  <c r="AM47" i="8"/>
  <c r="B180" i="14"/>
  <c r="AM47" i="1"/>
  <c r="C290" i="14"/>
  <c r="D290" i="14" s="1"/>
  <c r="E291" i="14" s="1"/>
  <c r="C177" i="14"/>
  <c r="AL58" i="8"/>
  <c r="AH44" i="1"/>
  <c r="AH57" i="1" s="1"/>
  <c r="AH60" i="1" s="1"/>
  <c r="AH68" i="1" s="1"/>
  <c r="D100" i="14"/>
  <c r="E101" i="14" s="1"/>
  <c r="J44" i="20"/>
  <c r="J57" i="20" s="1"/>
  <c r="J60" i="20" s="1"/>
  <c r="J68" i="20" s="1"/>
  <c r="H69" i="20"/>
  <c r="AQ22" i="6" s="1"/>
  <c r="I44" i="20"/>
  <c r="I57" i="20" s="1"/>
  <c r="I60" i="20" s="1"/>
  <c r="I68" i="20" s="1"/>
  <c r="L36" i="20"/>
  <c r="C703" i="14"/>
  <c r="AJ56" i="8"/>
  <c r="AJ44" i="8"/>
  <c r="AJ57" i="8" s="1"/>
  <c r="AG69" i="1"/>
  <c r="AG17" i="6" s="1"/>
  <c r="AG34" i="6"/>
  <c r="AG37" i="6" s="1"/>
  <c r="AF47" i="10" s="1"/>
  <c r="AF51" i="10" s="1"/>
  <c r="AL58" i="1"/>
  <c r="AI39" i="1"/>
  <c r="AI56" i="1" s="1"/>
  <c r="AI65" i="1"/>
  <c r="AI67" i="1" s="1"/>
  <c r="Y18" i="10"/>
  <c r="AB59" i="10"/>
  <c r="AB60" i="10" s="1"/>
  <c r="AC45" i="10"/>
  <c r="F177" i="14" l="1"/>
  <c r="F178" i="14" s="1"/>
  <c r="J44" i="32"/>
  <c r="J57" i="32" s="1"/>
  <c r="J60" i="32" s="1"/>
  <c r="J68" i="32" s="1"/>
  <c r="B726" i="14"/>
  <c r="E726" i="14" s="1"/>
  <c r="F726" i="14" s="1"/>
  <c r="L20" i="20" s="1"/>
  <c r="L21" i="20" s="1"/>
  <c r="L22" i="20" s="1"/>
  <c r="L65" i="20" s="1"/>
  <c r="L67" i="20" s="1"/>
  <c r="L47" i="20"/>
  <c r="K21" i="20"/>
  <c r="K22" i="20" s="1"/>
  <c r="K65" i="32"/>
  <c r="K67" i="32" s="1"/>
  <c r="K39" i="32"/>
  <c r="K56" i="32" s="1"/>
  <c r="E369" i="14"/>
  <c r="F369" i="14" s="1"/>
  <c r="AL20" i="8"/>
  <c r="E180" i="14"/>
  <c r="C180" i="14"/>
  <c r="B370" i="14"/>
  <c r="E370" i="14" s="1"/>
  <c r="C369" i="14"/>
  <c r="F291" i="14"/>
  <c r="AO47" i="8" s="1"/>
  <c r="AO36" i="8"/>
  <c r="AM58" i="8"/>
  <c r="AN58" i="8"/>
  <c r="F101" i="14"/>
  <c r="AN36" i="1"/>
  <c r="AM58" i="1"/>
  <c r="C291" i="14"/>
  <c r="D291" i="14" s="1"/>
  <c r="E292" i="14" s="1"/>
  <c r="AK39" i="8"/>
  <c r="AK56" i="8" s="1"/>
  <c r="AK65" i="8"/>
  <c r="AK67" i="8" s="1"/>
  <c r="C101" i="14"/>
  <c r="J69" i="20"/>
  <c r="AS22" i="6" s="1"/>
  <c r="I69" i="20"/>
  <c r="AR22" i="6" s="1"/>
  <c r="AG27" i="6"/>
  <c r="AF12" i="10" s="1"/>
  <c r="AF16" i="10" s="1"/>
  <c r="D703" i="14"/>
  <c r="E704" i="14" s="1"/>
  <c r="AJ60" i="8"/>
  <c r="AJ68" i="8" s="1"/>
  <c r="AK19" i="1"/>
  <c r="Y24" i="10"/>
  <c r="Y20" i="10"/>
  <c r="Y22" i="10" s="1"/>
  <c r="Y23" i="10" s="1"/>
  <c r="AH69" i="1"/>
  <c r="AH17" i="6" s="1"/>
  <c r="AH27" i="6" s="1"/>
  <c r="AI44" i="1"/>
  <c r="AI57" i="1" s="1"/>
  <c r="AI60" i="1" s="1"/>
  <c r="AI68" i="1" s="1"/>
  <c r="AJ21" i="1"/>
  <c r="AJ22" i="1" s="1"/>
  <c r="AH34" i="6"/>
  <c r="AH37" i="6" s="1"/>
  <c r="AG47" i="10" s="1"/>
  <c r="AG51" i="10" s="1"/>
  <c r="AC53" i="10"/>
  <c r="AL20" i="1" l="1"/>
  <c r="AL19" i="1" s="1"/>
  <c r="F180" i="14"/>
  <c r="B371" i="14"/>
  <c r="E371" i="14" s="1"/>
  <c r="AJ69" i="8"/>
  <c r="AJ18" i="6" s="1"/>
  <c r="C726" i="14"/>
  <c r="L58" i="20"/>
  <c r="K65" i="20"/>
  <c r="K67" i="20" s="1"/>
  <c r="K39" i="20"/>
  <c r="J69" i="32"/>
  <c r="AW23" i="6" s="1"/>
  <c r="L39" i="20"/>
  <c r="L56" i="20" s="1"/>
  <c r="AK44" i="8"/>
  <c r="AK57" i="8" s="1"/>
  <c r="AK60" i="8" s="1"/>
  <c r="AK68" i="8" s="1"/>
  <c r="AG39" i="6"/>
  <c r="AG41" i="6" s="1"/>
  <c r="M19" i="20"/>
  <c r="F704" i="14"/>
  <c r="K44" i="32"/>
  <c r="K57" i="32" s="1"/>
  <c r="K60" i="32" s="1"/>
  <c r="K68" i="32" s="1"/>
  <c r="F370" i="14"/>
  <c r="AN20" i="8" s="1"/>
  <c r="AL19" i="8"/>
  <c r="AM20" i="8"/>
  <c r="C370" i="14"/>
  <c r="AM20" i="1"/>
  <c r="AO58" i="8"/>
  <c r="B181" i="14"/>
  <c r="AN47" i="1"/>
  <c r="F292" i="14"/>
  <c r="AP47" i="8" s="1"/>
  <c r="AP36" i="8"/>
  <c r="C292" i="14"/>
  <c r="D101" i="14"/>
  <c r="E102" i="14" s="1"/>
  <c r="M36" i="20"/>
  <c r="AJ35" i="6"/>
  <c r="C704" i="14"/>
  <c r="Y25" i="10"/>
  <c r="AJ39" i="1"/>
  <c r="AJ56" i="1" s="1"/>
  <c r="AJ65" i="1"/>
  <c r="AJ67" i="1" s="1"/>
  <c r="AK21" i="1"/>
  <c r="AK22" i="1" s="1"/>
  <c r="AI69" i="1"/>
  <c r="AI17" i="6" s="1"/>
  <c r="AI27" i="6" s="1"/>
  <c r="Z10" i="10"/>
  <c r="AG12" i="10"/>
  <c r="AG16" i="10" s="1"/>
  <c r="AH39" i="6"/>
  <c r="AH41" i="6" s="1"/>
  <c r="AI34" i="6"/>
  <c r="AI37" i="6" s="1"/>
  <c r="AH47" i="10" s="1"/>
  <c r="AH51" i="10" s="1"/>
  <c r="AC59" i="10"/>
  <c r="AC60" i="10" s="1"/>
  <c r="AD45" i="10"/>
  <c r="AC55" i="10"/>
  <c r="AC57" i="10" s="1"/>
  <c r="AM19" i="1" l="1"/>
  <c r="C371" i="14"/>
  <c r="L44" i="20"/>
  <c r="L57" i="20" s="1"/>
  <c r="L60" i="20" s="1"/>
  <c r="L68" i="20" s="1"/>
  <c r="K56" i="20"/>
  <c r="K44" i="20"/>
  <c r="K57" i="20" s="1"/>
  <c r="B727" i="14"/>
  <c r="E727" i="14" s="1"/>
  <c r="F727" i="14" s="1"/>
  <c r="M20" i="20" s="1"/>
  <c r="M21" i="20" s="1"/>
  <c r="M22" i="20" s="1"/>
  <c r="M39" i="20" s="1"/>
  <c r="M56" i="20" s="1"/>
  <c r="M47" i="20"/>
  <c r="AK69" i="8"/>
  <c r="AK18" i="6" s="1"/>
  <c r="K69" i="32"/>
  <c r="AX23" i="6" s="1"/>
  <c r="AJ44" i="1"/>
  <c r="AJ57" i="1" s="1"/>
  <c r="AJ60" i="1" s="1"/>
  <c r="AJ68" i="1" s="1"/>
  <c r="F371" i="14"/>
  <c r="AO20" i="8" s="1"/>
  <c r="AN19" i="8"/>
  <c r="AM19" i="8"/>
  <c r="AL21" i="8"/>
  <c r="AL22" i="8" s="1"/>
  <c r="AK35" i="6"/>
  <c r="B372" i="14"/>
  <c r="F102" i="14"/>
  <c r="AO36" i="1"/>
  <c r="AN58" i="1"/>
  <c r="E181" i="14"/>
  <c r="F181" i="14" s="1"/>
  <c r="C181" i="14"/>
  <c r="AP58" i="8"/>
  <c r="D292" i="14"/>
  <c r="E293" i="14" s="1"/>
  <c r="C102" i="14"/>
  <c r="AM21" i="1"/>
  <c r="AM22" i="1" s="1"/>
  <c r="D704" i="14"/>
  <c r="E705" i="14" s="1"/>
  <c r="AK39" i="1"/>
  <c r="AK56" i="1" s="1"/>
  <c r="AK65" i="1"/>
  <c r="AK67" i="1" s="1"/>
  <c r="AL21" i="1"/>
  <c r="AL22" i="1" s="1"/>
  <c r="Z18" i="10"/>
  <c r="Z20" i="10" s="1"/>
  <c r="Z22" i="10" s="1"/>
  <c r="AH12" i="10"/>
  <c r="AH16" i="10" s="1"/>
  <c r="AI39" i="6"/>
  <c r="AI41" i="6" s="1"/>
  <c r="AD53" i="10"/>
  <c r="AD55" i="10" s="1"/>
  <c r="AD57" i="10" s="1"/>
  <c r="C727" i="14" l="1"/>
  <c r="L69" i="20"/>
  <c r="AU22" i="6" s="1"/>
  <c r="M58" i="20"/>
  <c r="K60" i="20"/>
  <c r="K68" i="20" s="1"/>
  <c r="AO19" i="8"/>
  <c r="AN21" i="8"/>
  <c r="AN22" i="8" s="1"/>
  <c r="AN39" i="8" s="1"/>
  <c r="AN56" i="8" s="1"/>
  <c r="AK44" i="1"/>
  <c r="AK57" i="1" s="1"/>
  <c r="AK60" i="1" s="1"/>
  <c r="AK68" i="1" s="1"/>
  <c r="M65" i="20"/>
  <c r="M67" i="20" s="1"/>
  <c r="F705" i="14"/>
  <c r="N19" i="20"/>
  <c r="M44" i="20"/>
  <c r="M57" i="20" s="1"/>
  <c r="AM21" i="8"/>
  <c r="AM22" i="8" s="1"/>
  <c r="E372" i="14"/>
  <c r="F372" i="14" s="1"/>
  <c r="AL39" i="8"/>
  <c r="AL65" i="8"/>
  <c r="AL67" i="8" s="1"/>
  <c r="AN20" i="1"/>
  <c r="C372" i="14"/>
  <c r="B182" i="14"/>
  <c r="AO47" i="1"/>
  <c r="F293" i="14"/>
  <c r="AQ47" i="8" s="1"/>
  <c r="AQ36" i="8"/>
  <c r="C293" i="14"/>
  <c r="D102" i="14"/>
  <c r="E104" i="14" s="1"/>
  <c r="E106" i="14" s="1"/>
  <c r="AM39" i="1"/>
  <c r="AM56" i="1" s="1"/>
  <c r="AM65" i="1"/>
  <c r="AM67" i="1" s="1"/>
  <c r="N36" i="20"/>
  <c r="C705" i="14"/>
  <c r="AL65" i="1"/>
  <c r="AL67" i="1" s="1"/>
  <c r="AL39" i="1"/>
  <c r="AL56" i="1" s="1"/>
  <c r="AJ34" i="6"/>
  <c r="AJ37" i="6" s="1"/>
  <c r="AI47" i="10" s="1"/>
  <c r="AI51" i="10" s="1"/>
  <c r="Z24" i="10"/>
  <c r="Z25" i="10" s="1"/>
  <c r="AA10" i="10"/>
  <c r="AJ69" i="1"/>
  <c r="AJ17" i="6" s="1"/>
  <c r="AJ27" i="6" s="1"/>
  <c r="AD59" i="10"/>
  <c r="AD60" i="10" s="1"/>
  <c r="AE45" i="10"/>
  <c r="M60" i="20" l="1"/>
  <c r="M68" i="20" s="1"/>
  <c r="B728" i="14"/>
  <c r="E728" i="14" s="1"/>
  <c r="F728" i="14" s="1"/>
  <c r="N20" i="20" s="1"/>
  <c r="N21" i="20" s="1"/>
  <c r="N22" i="20" s="1"/>
  <c r="N39" i="20" s="1"/>
  <c r="N56" i="20" s="1"/>
  <c r="N47" i="20"/>
  <c r="K69" i="20"/>
  <c r="AT22" i="6" s="1"/>
  <c r="AO21" i="8"/>
  <c r="AO22" i="8" s="1"/>
  <c r="AO65" i="8" s="1"/>
  <c r="AO67" i="8" s="1"/>
  <c r="AN65" i="8"/>
  <c r="AN67" i="8" s="1"/>
  <c r="B373" i="14"/>
  <c r="E373" i="14" s="1"/>
  <c r="F373" i="14" s="1"/>
  <c r="AQ20" i="8" s="1"/>
  <c r="AN19" i="1"/>
  <c r="AL56" i="8"/>
  <c r="AL44" i="8"/>
  <c r="AL57" i="8" s="1"/>
  <c r="AP20" i="8"/>
  <c r="AM65" i="8"/>
  <c r="AM67" i="8" s="1"/>
  <c r="AM39" i="8"/>
  <c r="AM56" i="8" s="1"/>
  <c r="AN44" i="8"/>
  <c r="AN57" i="8" s="1"/>
  <c r="AN60" i="8" s="1"/>
  <c r="AN68" i="8" s="1"/>
  <c r="E182" i="14"/>
  <c r="F182" i="14" s="1"/>
  <c r="C182" i="14"/>
  <c r="AO58" i="1"/>
  <c r="AM44" i="1"/>
  <c r="AM57" i="1" s="1"/>
  <c r="AM60" i="1" s="1"/>
  <c r="AM68" i="1" s="1"/>
  <c r="F104" i="14"/>
  <c r="F106" i="14" s="1"/>
  <c r="AP36" i="1"/>
  <c r="AQ58" i="8"/>
  <c r="D293" i="14"/>
  <c r="E294" i="14" s="1"/>
  <c r="C104" i="14"/>
  <c r="M69" i="20"/>
  <c r="AV22" i="6" s="1"/>
  <c r="D705" i="14"/>
  <c r="E706" i="14" s="1"/>
  <c r="AA18" i="10"/>
  <c r="AK69" i="1"/>
  <c r="AK17" i="6" s="1"/>
  <c r="AK27" i="6" s="1"/>
  <c r="AL44" i="1"/>
  <c r="AL57" i="1" s="1"/>
  <c r="AL60" i="1" s="1"/>
  <c r="AL68" i="1" s="1"/>
  <c r="AK34" i="6"/>
  <c r="AK37" i="6" s="1"/>
  <c r="AJ47" i="10" s="1"/>
  <c r="AJ51" i="10" s="1"/>
  <c r="AI12" i="10"/>
  <c r="AI16" i="10" s="1"/>
  <c r="AJ39" i="6"/>
  <c r="AJ41" i="6" s="1"/>
  <c r="AE53" i="10"/>
  <c r="AO39" i="8" l="1"/>
  <c r="AO56" i="8" s="1"/>
  <c r="I10" i="17"/>
  <c r="C728" i="14"/>
  <c r="N58" i="20"/>
  <c r="AM69" i="1"/>
  <c r="AM17" i="6" s="1"/>
  <c r="N65" i="20"/>
  <c r="N67" i="20" s="1"/>
  <c r="C373" i="14"/>
  <c r="AQ19" i="8"/>
  <c r="AQ21" i="8" s="1"/>
  <c r="AQ22" i="8" s="1"/>
  <c r="O19" i="20"/>
  <c r="F706" i="14"/>
  <c r="N44" i="20"/>
  <c r="N57" i="20" s="1"/>
  <c r="AN21" i="1"/>
  <c r="AN22" i="1" s="1"/>
  <c r="AN39" i="1" s="1"/>
  <c r="AN56" i="1" s="1"/>
  <c r="AL60" i="8"/>
  <c r="AL68" i="8" s="1"/>
  <c r="AM44" i="8"/>
  <c r="AM57" i="8" s="1"/>
  <c r="AM60" i="8" s="1"/>
  <c r="AM68" i="8" s="1"/>
  <c r="AP19" i="8"/>
  <c r="AO20" i="1"/>
  <c r="AO19" i="1" s="1"/>
  <c r="AN69" i="8"/>
  <c r="AN18" i="6" s="1"/>
  <c r="B184" i="14"/>
  <c r="AP47" i="1"/>
  <c r="F294" i="14"/>
  <c r="AR47" i="8" s="1"/>
  <c r="AR36" i="8"/>
  <c r="C294" i="14"/>
  <c r="D104" i="14"/>
  <c r="O36" i="20"/>
  <c r="C706" i="14"/>
  <c r="AL34" i="6"/>
  <c r="AJ12" i="10"/>
  <c r="AJ16" i="10" s="1"/>
  <c r="AK39" i="6"/>
  <c r="AK41" i="6" s="1"/>
  <c r="AA24" i="10"/>
  <c r="AA25" i="10" s="1"/>
  <c r="AB10" i="10"/>
  <c r="AL69" i="1"/>
  <c r="AL17" i="6" s="1"/>
  <c r="AA20" i="10"/>
  <c r="AA22" i="10" s="1"/>
  <c r="AE59" i="10"/>
  <c r="AF45" i="10"/>
  <c r="AE55" i="10"/>
  <c r="AE57" i="10" s="1"/>
  <c r="AE58" i="10" s="1"/>
  <c r="AE60" i="10" s="1"/>
  <c r="AO44" i="8" l="1"/>
  <c r="AO57" i="8" s="1"/>
  <c r="AO60" i="8" s="1"/>
  <c r="AO68" i="8" s="1"/>
  <c r="AO69" i="8" s="1"/>
  <c r="AO18" i="6" s="1"/>
  <c r="J10" i="17"/>
  <c r="K23" i="17" s="1"/>
  <c r="I13" i="17"/>
  <c r="N60" i="20"/>
  <c r="N68" i="20" s="1"/>
  <c r="B729" i="14"/>
  <c r="C729" i="14" s="1"/>
  <c r="O47" i="20"/>
  <c r="AN65" i="1"/>
  <c r="AN67" i="1" s="1"/>
  <c r="AM69" i="8"/>
  <c r="AM18" i="6" s="1"/>
  <c r="AM27" i="6" s="1"/>
  <c r="AL12" i="10" s="1"/>
  <c r="AL16" i="10" s="1"/>
  <c r="AL35" i="6"/>
  <c r="AL37" i="6" s="1"/>
  <c r="AK47" i="10" s="1"/>
  <c r="AK51" i="10" s="1"/>
  <c r="AL69" i="8"/>
  <c r="AL18" i="6" s="1"/>
  <c r="AL27" i="6" s="1"/>
  <c r="AP21" i="8"/>
  <c r="AP22" i="8" s="1"/>
  <c r="AN44" i="1"/>
  <c r="AN57" i="1" s="1"/>
  <c r="AN60" i="1" s="1"/>
  <c r="AN68" i="1" s="1"/>
  <c r="AO21" i="1"/>
  <c r="AO22" i="1" s="1"/>
  <c r="AP58" i="1"/>
  <c r="C184" i="14"/>
  <c r="E10" i="17" s="1"/>
  <c r="E184" i="14"/>
  <c r="B374" i="14"/>
  <c r="C374" i="14" s="1"/>
  <c r="AR58" i="8"/>
  <c r="AQ39" i="8"/>
  <c r="AQ56" i="8" s="1"/>
  <c r="AQ65" i="8"/>
  <c r="AQ67" i="8" s="1"/>
  <c r="D294" i="14"/>
  <c r="E295" i="14" s="1"/>
  <c r="D706" i="14"/>
  <c r="AB18" i="10"/>
  <c r="AF53" i="10"/>
  <c r="I29" i="17" l="1"/>
  <c r="J29" i="17"/>
  <c r="J31" i="17" s="1"/>
  <c r="F10" i="17"/>
  <c r="E13" i="17"/>
  <c r="F184" i="14"/>
  <c r="AP20" i="1" s="1"/>
  <c r="C105" i="14"/>
  <c r="K10" i="17"/>
  <c r="K13" i="17" s="1"/>
  <c r="J13" i="17"/>
  <c r="N69" i="20"/>
  <c r="AW22" i="6" s="1"/>
  <c r="O58" i="20"/>
  <c r="B730" i="14"/>
  <c r="E729" i="14"/>
  <c r="F729" i="14" s="1"/>
  <c r="AQ44" i="8"/>
  <c r="AQ57" i="8" s="1"/>
  <c r="AQ60" i="8" s="1"/>
  <c r="AQ68" i="8" s="1"/>
  <c r="AL39" i="6"/>
  <c r="AL41" i="6" s="1"/>
  <c r="AK12" i="10"/>
  <c r="AK16" i="10" s="1"/>
  <c r="AN69" i="1"/>
  <c r="AN17" i="6" s="1"/>
  <c r="AN27" i="6" s="1"/>
  <c r="AM12" i="10" s="1"/>
  <c r="AM16" i="10" s="1"/>
  <c r="E374" i="14"/>
  <c r="F374" i="14" s="1"/>
  <c r="AP39" i="8"/>
  <c r="AP65" i="8"/>
  <c r="AP67" i="8" s="1"/>
  <c r="AO39" i="1"/>
  <c r="AO56" i="1" s="1"/>
  <c r="AO65" i="1"/>
  <c r="AO67" i="1" s="1"/>
  <c r="F295" i="14"/>
  <c r="AS47" i="8" s="1"/>
  <c r="AS36" i="8"/>
  <c r="C295" i="14"/>
  <c r="AB24" i="10"/>
  <c r="AB20" i="10"/>
  <c r="AB22" i="10" s="1"/>
  <c r="AB23" i="10" s="1"/>
  <c r="AF59" i="10"/>
  <c r="AF60" i="10" s="1"/>
  <c r="AG45" i="10"/>
  <c r="AF55" i="10"/>
  <c r="AF57" i="10" s="1"/>
  <c r="K29" i="17" l="1"/>
  <c r="K31" i="17" s="1"/>
  <c r="I31" i="17"/>
  <c r="D105" i="14"/>
  <c r="D106" i="14" s="1"/>
  <c r="E108" i="14" s="1"/>
  <c r="C106" i="14"/>
  <c r="B185" i="14"/>
  <c r="G10" i="17"/>
  <c r="G13" i="17" s="1"/>
  <c r="F13" i="17"/>
  <c r="F730" i="14"/>
  <c r="O20" i="20"/>
  <c r="AP19" i="1"/>
  <c r="AO44" i="1"/>
  <c r="AO57" i="1" s="1"/>
  <c r="AO60" i="1" s="1"/>
  <c r="AO68" i="1" s="1"/>
  <c r="AP56" i="8"/>
  <c r="AP44" i="8"/>
  <c r="AP57" i="8" s="1"/>
  <c r="AR20" i="8"/>
  <c r="B375" i="14"/>
  <c r="E375" i="14" s="1"/>
  <c r="F375" i="14" s="1"/>
  <c r="AS20" i="8" s="1"/>
  <c r="AQ69" i="8"/>
  <c r="AQ18" i="6" s="1"/>
  <c r="AS58" i="8"/>
  <c r="D295" i="14"/>
  <c r="E296" i="14" s="1"/>
  <c r="AB25" i="10"/>
  <c r="AC10" i="10"/>
  <c r="AG53" i="10"/>
  <c r="B186" i="14" l="1"/>
  <c r="E185" i="14"/>
  <c r="C185" i="14"/>
  <c r="C186" i="14" s="1"/>
  <c r="C108" i="14"/>
  <c r="AQ36" i="1"/>
  <c r="F108" i="14"/>
  <c r="O21" i="20"/>
  <c r="O22" i="20" s="1"/>
  <c r="AO69" i="1"/>
  <c r="AO17" i="6" s="1"/>
  <c r="AP21" i="1"/>
  <c r="AP22" i="1" s="1"/>
  <c r="AP65" i="1" s="1"/>
  <c r="AP67" i="1" s="1"/>
  <c r="AS19" i="8"/>
  <c r="AS21" i="8" s="1"/>
  <c r="AS22" i="8" s="1"/>
  <c r="C375" i="14"/>
  <c r="AP60" i="8"/>
  <c r="AP68" i="8" s="1"/>
  <c r="AR19" i="8"/>
  <c r="F296" i="14"/>
  <c r="AT47" i="8" s="1"/>
  <c r="AT36" i="8"/>
  <c r="C296" i="14"/>
  <c r="AC18" i="10"/>
  <c r="AC20" i="10" s="1"/>
  <c r="AC22" i="10" s="1"/>
  <c r="AG59" i="10"/>
  <c r="AG60" i="10" s="1"/>
  <c r="AH45" i="10"/>
  <c r="AG55" i="10"/>
  <c r="AG57" i="10" s="1"/>
  <c r="B188" i="14" l="1"/>
  <c r="E188" i="14" s="1"/>
  <c r="AQ47" i="1"/>
  <c r="D108" i="14"/>
  <c r="E109" i="14" s="1"/>
  <c r="C109" i="14" s="1"/>
  <c r="F185" i="14"/>
  <c r="F186" i="14" s="1"/>
  <c r="E186" i="14"/>
  <c r="O39" i="20"/>
  <c r="O56" i="20" s="1"/>
  <c r="O65" i="20"/>
  <c r="O67" i="20" s="1"/>
  <c r="AP39" i="1"/>
  <c r="AP56" i="1" s="1"/>
  <c r="B376" i="14"/>
  <c r="E376" i="14" s="1"/>
  <c r="F376" i="14" s="1"/>
  <c r="AT20" i="8" s="1"/>
  <c r="AP69" i="8"/>
  <c r="AP18" i="6" s="1"/>
  <c r="AR21" i="8"/>
  <c r="AR22" i="8" s="1"/>
  <c r="AT58" i="8"/>
  <c r="AS65" i="8"/>
  <c r="AS67" i="8" s="1"/>
  <c r="AS39" i="8"/>
  <c r="AS56" i="8" s="1"/>
  <c r="D296" i="14"/>
  <c r="E297" i="14" s="1"/>
  <c r="AD10" i="10"/>
  <c r="AC24" i="10"/>
  <c r="AC25" i="10" s="1"/>
  <c r="AH53" i="10"/>
  <c r="AH55" i="10" s="1"/>
  <c r="AH57" i="10" s="1"/>
  <c r="AH58" i="10" s="1"/>
  <c r="O44" i="20" l="1"/>
  <c r="O57" i="20" s="1"/>
  <c r="O60" i="20" s="1"/>
  <c r="O68" i="20" s="1"/>
  <c r="C188" i="14"/>
  <c r="F188" i="14"/>
  <c r="AQ20" i="1" s="1"/>
  <c r="D109" i="14"/>
  <c r="E110" i="14" s="1"/>
  <c r="C110" i="14" s="1"/>
  <c r="D110" i="14" s="1"/>
  <c r="E111" i="14" s="1"/>
  <c r="AQ58" i="1"/>
  <c r="AR36" i="1"/>
  <c r="F109" i="14"/>
  <c r="AP44" i="1"/>
  <c r="AP57" i="1" s="1"/>
  <c r="AP60" i="1" s="1"/>
  <c r="AP68" i="1" s="1"/>
  <c r="C376" i="14"/>
  <c r="AT19" i="8"/>
  <c r="AT21" i="8" s="1"/>
  <c r="AT22" i="8" s="1"/>
  <c r="AR39" i="8"/>
  <c r="AR65" i="8"/>
  <c r="AR67" i="8" s="1"/>
  <c r="AS44" i="8"/>
  <c r="AS57" i="8" s="1"/>
  <c r="AS60" i="8" s="1"/>
  <c r="AS68" i="8" s="1"/>
  <c r="F297" i="14"/>
  <c r="AU47" i="8" s="1"/>
  <c r="AU36" i="8"/>
  <c r="C297" i="14"/>
  <c r="AD18" i="10"/>
  <c r="AI45" i="10"/>
  <c r="AH59" i="10"/>
  <c r="AH60" i="10" s="1"/>
  <c r="O69" i="20" l="1"/>
  <c r="AX22" i="6" s="1"/>
  <c r="AQ19" i="1"/>
  <c r="AR47" i="1"/>
  <c r="B189" i="14"/>
  <c r="AS36" i="1"/>
  <c r="F110" i="14"/>
  <c r="AP69" i="1"/>
  <c r="AP17" i="6" s="1"/>
  <c r="B377" i="14"/>
  <c r="E377" i="14" s="1"/>
  <c r="F377" i="14" s="1"/>
  <c r="AU20" i="8" s="1"/>
  <c r="AU19" i="8" s="1"/>
  <c r="AR56" i="8"/>
  <c r="AR44" i="8"/>
  <c r="AR57" i="8" s="1"/>
  <c r="F111" i="14"/>
  <c r="AT36" i="1"/>
  <c r="AS69" i="8"/>
  <c r="AS18" i="6" s="1"/>
  <c r="AU58" i="8"/>
  <c r="AT65" i="8"/>
  <c r="AT67" i="8" s="1"/>
  <c r="AT39" i="8"/>
  <c r="AT56" i="8" s="1"/>
  <c r="D297" i="14"/>
  <c r="E298" i="14" s="1"/>
  <c r="C111" i="14"/>
  <c r="D111" i="14" s="1"/>
  <c r="AE10" i="10"/>
  <c r="AD24" i="10"/>
  <c r="AD25" i="10" s="1"/>
  <c r="AD20" i="10"/>
  <c r="AD22" i="10" s="1"/>
  <c r="AI53" i="10"/>
  <c r="AQ21" i="1" l="1"/>
  <c r="AQ22" i="1" s="1"/>
  <c r="AS47" i="1"/>
  <c r="B190" i="14"/>
  <c r="E190" i="14" s="1"/>
  <c r="E189" i="14"/>
  <c r="F189" i="14" s="1"/>
  <c r="AR20" i="1" s="1"/>
  <c r="C189" i="14"/>
  <c r="C190" i="14" s="1"/>
  <c r="AR58" i="1"/>
  <c r="C377" i="14"/>
  <c r="AR60" i="8"/>
  <c r="AR68" i="8" s="1"/>
  <c r="AT44" i="8"/>
  <c r="AT57" i="8" s="1"/>
  <c r="AT60" i="8" s="1"/>
  <c r="AT68" i="8" s="1"/>
  <c r="B191" i="14"/>
  <c r="AT47" i="1"/>
  <c r="F298" i="14"/>
  <c r="AV47" i="8" s="1"/>
  <c r="AV36" i="8"/>
  <c r="AU21" i="8"/>
  <c r="AU22" i="8" s="1"/>
  <c r="C298" i="14"/>
  <c r="E112" i="14"/>
  <c r="AE18" i="10"/>
  <c r="AI59" i="10"/>
  <c r="AI60" i="10" s="1"/>
  <c r="AJ45" i="10"/>
  <c r="AI55" i="10"/>
  <c r="AI57" i="10" s="1"/>
  <c r="AQ39" i="1" l="1"/>
  <c r="AQ56" i="1" s="1"/>
  <c r="AQ65" i="1"/>
  <c r="AQ67" i="1" s="1"/>
  <c r="F190" i="14"/>
  <c r="AS20" i="1" s="1"/>
  <c r="AR19" i="1"/>
  <c r="AS58" i="1"/>
  <c r="AR69" i="8"/>
  <c r="AR18" i="6" s="1"/>
  <c r="B378" i="14"/>
  <c r="E378" i="14" s="1"/>
  <c r="F378" i="14" s="1"/>
  <c r="AV20" i="8" s="1"/>
  <c r="AT58" i="1"/>
  <c r="F112" i="14"/>
  <c r="AU36" i="1"/>
  <c r="E191" i="14"/>
  <c r="C191" i="14"/>
  <c r="AT69" i="8"/>
  <c r="AT18" i="6" s="1"/>
  <c r="AU39" i="8"/>
  <c r="AU56" i="8" s="1"/>
  <c r="AU65" i="8"/>
  <c r="AU67" i="8" s="1"/>
  <c r="AV58" i="8"/>
  <c r="D298" i="14"/>
  <c r="E300" i="14" s="1"/>
  <c r="E302" i="14" s="1"/>
  <c r="C112" i="14"/>
  <c r="D112" i="14" s="1"/>
  <c r="AE24" i="10"/>
  <c r="AE20" i="10"/>
  <c r="AE22" i="10" s="1"/>
  <c r="AE23" i="10" s="1"/>
  <c r="AJ53" i="10"/>
  <c r="AJ55" i="10" s="1"/>
  <c r="AJ57" i="10" s="1"/>
  <c r="AQ44" i="1" l="1"/>
  <c r="AQ57" i="1" s="1"/>
  <c r="AQ60" i="1" s="1"/>
  <c r="AQ68" i="1" s="1"/>
  <c r="AQ69" i="1" s="1"/>
  <c r="AQ17" i="6" s="1"/>
  <c r="AS19" i="1"/>
  <c r="F191" i="14"/>
  <c r="AT20" i="1" s="1"/>
  <c r="AR21" i="1"/>
  <c r="AR22" i="1" s="1"/>
  <c r="AU44" i="8"/>
  <c r="AU57" i="8" s="1"/>
  <c r="AU60" i="8" s="1"/>
  <c r="AU68" i="8" s="1"/>
  <c r="C378" i="14"/>
  <c r="AV19" i="8"/>
  <c r="AV21" i="8" s="1"/>
  <c r="AV22" i="8" s="1"/>
  <c r="B192" i="14"/>
  <c r="AU47" i="1"/>
  <c r="F300" i="14"/>
  <c r="AW36" i="8"/>
  <c r="C300" i="14"/>
  <c r="E113" i="14"/>
  <c r="AE25" i="10"/>
  <c r="AF10" i="10"/>
  <c r="AJ59" i="10"/>
  <c r="AJ60" i="10" s="1"/>
  <c r="AK45" i="10"/>
  <c r="AT19" i="1" l="1"/>
  <c r="AT21" i="1" s="1"/>
  <c r="AT22" i="1" s="1"/>
  <c r="AS21" i="1"/>
  <c r="AS22" i="1" s="1"/>
  <c r="AR65" i="1"/>
  <c r="AR67" i="1" s="1"/>
  <c r="AR39" i="1"/>
  <c r="AR56" i="1" s="1"/>
  <c r="I10" i="19"/>
  <c r="AW47" i="8"/>
  <c r="AW58" i="8" s="1"/>
  <c r="F302" i="14"/>
  <c r="B380" i="14" s="1"/>
  <c r="E380" i="14" s="1"/>
  <c r="AU69" i="8"/>
  <c r="AU18" i="6" s="1"/>
  <c r="AU58" i="1"/>
  <c r="F113" i="14"/>
  <c r="AV36" i="1"/>
  <c r="E192" i="14"/>
  <c r="F192" i="14" s="1"/>
  <c r="AU20" i="1" s="1"/>
  <c r="C192" i="14"/>
  <c r="AV65" i="8"/>
  <c r="AV67" i="8" s="1"/>
  <c r="AV39" i="8"/>
  <c r="AV56" i="8" s="1"/>
  <c r="D300" i="14"/>
  <c r="C113" i="14"/>
  <c r="D113" i="14" s="1"/>
  <c r="AF18" i="10"/>
  <c r="AF20" i="10" s="1"/>
  <c r="AF22" i="10" s="1"/>
  <c r="AK53" i="10"/>
  <c r="AK59" i="10" s="1"/>
  <c r="AR44" i="1" l="1"/>
  <c r="AR57" i="1" s="1"/>
  <c r="AR60" i="1" s="1"/>
  <c r="AR68" i="1" s="1"/>
  <c r="AS39" i="1"/>
  <c r="AS65" i="1"/>
  <c r="AS67" i="1" s="1"/>
  <c r="J10" i="19"/>
  <c r="K24" i="19" s="1"/>
  <c r="I14" i="19"/>
  <c r="F380" i="14"/>
  <c r="AW20" i="8" s="1"/>
  <c r="AW19" i="8" s="1"/>
  <c r="C380" i="14"/>
  <c r="E10" i="19" s="1"/>
  <c r="AV44" i="8"/>
  <c r="AV57" i="8" s="1"/>
  <c r="AV60" i="8" s="1"/>
  <c r="AV68" i="8" s="1"/>
  <c r="AT65" i="1"/>
  <c r="AT67" i="1" s="1"/>
  <c r="AT39" i="1"/>
  <c r="AT56" i="1" s="1"/>
  <c r="AU19" i="1"/>
  <c r="B193" i="14"/>
  <c r="AV47" i="1"/>
  <c r="E114" i="14"/>
  <c r="AF24" i="10"/>
  <c r="AF25" i="10" s="1"/>
  <c r="AG10" i="10"/>
  <c r="AK55" i="10"/>
  <c r="AK57" i="10" s="1"/>
  <c r="AK58" i="10" s="1"/>
  <c r="AK60" i="10" s="1"/>
  <c r="AW21" i="8" l="1"/>
  <c r="AW22" i="8" s="1"/>
  <c r="AW65" i="8" s="1"/>
  <c r="AW67" i="8" s="1"/>
  <c r="AR69" i="1"/>
  <c r="AR17" i="6" s="1"/>
  <c r="I30" i="19"/>
  <c r="J30" i="19"/>
  <c r="J32" i="19" s="1"/>
  <c r="AS56" i="1"/>
  <c r="AS44" i="1"/>
  <c r="AS57" i="1" s="1"/>
  <c r="F10" i="19"/>
  <c r="E14" i="19"/>
  <c r="K10" i="19"/>
  <c r="K14" i="19" s="1"/>
  <c r="C301" i="14"/>
  <c r="J14" i="19"/>
  <c r="AT44" i="1"/>
  <c r="AT57" i="1" s="1"/>
  <c r="AT60" i="1" s="1"/>
  <c r="AT68" i="1" s="1"/>
  <c r="E193" i="14"/>
  <c r="F193" i="14" s="1"/>
  <c r="AV20" i="1" s="1"/>
  <c r="C193" i="14"/>
  <c r="F114" i="14"/>
  <c r="AW36" i="1"/>
  <c r="AV58" i="1"/>
  <c r="AU21" i="1"/>
  <c r="AU22" i="1" s="1"/>
  <c r="AV69" i="8"/>
  <c r="AV18" i="6" s="1"/>
  <c r="C114" i="14"/>
  <c r="AG18" i="10"/>
  <c r="AG20" i="10" s="1"/>
  <c r="AG22" i="10" s="1"/>
  <c r="AW39" i="8" l="1"/>
  <c r="AW56" i="8" s="1"/>
  <c r="K30" i="19"/>
  <c r="K32" i="19" s="1"/>
  <c r="I32" i="19"/>
  <c r="AS60" i="1"/>
  <c r="AS68" i="1" s="1"/>
  <c r="G10" i="19"/>
  <c r="G14" i="19" s="1"/>
  <c r="B381" i="14"/>
  <c r="F14" i="19"/>
  <c r="D301" i="14"/>
  <c r="D302" i="14" s="1"/>
  <c r="E304" i="14" s="1"/>
  <c r="C302" i="14"/>
  <c r="AT69" i="1"/>
  <c r="AT17" i="6" s="1"/>
  <c r="B194" i="14"/>
  <c r="AW47" i="1"/>
  <c r="AU39" i="1"/>
  <c r="AU56" i="1" s="1"/>
  <c r="AU65" i="1"/>
  <c r="AU67" i="1" s="1"/>
  <c r="AV19" i="1"/>
  <c r="D114" i="14"/>
  <c r="E115" i="14" s="1"/>
  <c r="AG24" i="10"/>
  <c r="AG25" i="10" s="1"/>
  <c r="AH10" i="10"/>
  <c r="AW44" i="8" l="1"/>
  <c r="AW57" i="8" s="1"/>
  <c r="AW60" i="8" s="1"/>
  <c r="AW68" i="8" s="1"/>
  <c r="AS69" i="1"/>
  <c r="AS17" i="6" s="1"/>
  <c r="C304" i="14"/>
  <c r="D304" i="14" s="1"/>
  <c r="AX36" i="8"/>
  <c r="F304" i="14"/>
  <c r="C381" i="14"/>
  <c r="C382" i="14" s="1"/>
  <c r="E381" i="14"/>
  <c r="B382" i="14"/>
  <c r="AU44" i="1"/>
  <c r="AU57" i="1" s="1"/>
  <c r="AU60" i="1" s="1"/>
  <c r="AU68" i="1" s="1"/>
  <c r="F115" i="14"/>
  <c r="AX36" i="1"/>
  <c r="AV21" i="1"/>
  <c r="AV22" i="1" s="1"/>
  <c r="AW58" i="1"/>
  <c r="E194" i="14"/>
  <c r="F194" i="14" s="1"/>
  <c r="AW20" i="1" s="1"/>
  <c r="C194" i="14"/>
  <c r="C115" i="14"/>
  <c r="D115" i="14" s="1"/>
  <c r="AH18" i="10"/>
  <c r="AW69" i="8" l="1"/>
  <c r="AW18" i="6" s="1"/>
  <c r="AU69" i="1"/>
  <c r="AU17" i="6" s="1"/>
  <c r="F381" i="14"/>
  <c r="F382" i="14" s="1"/>
  <c r="E382" i="14"/>
  <c r="AX47" i="8"/>
  <c r="B384" i="14"/>
  <c r="E384" i="14" s="1"/>
  <c r="AW19" i="1"/>
  <c r="AV65" i="1"/>
  <c r="AV67" i="1" s="1"/>
  <c r="AV39" i="1"/>
  <c r="AV56" i="1" s="1"/>
  <c r="B195" i="14"/>
  <c r="B196" i="14" s="1"/>
  <c r="AX47" i="1"/>
  <c r="AH24" i="10"/>
  <c r="AH20" i="10"/>
  <c r="AH22" i="10" s="1"/>
  <c r="AH23" i="10" s="1"/>
  <c r="C384" i="14" l="1"/>
  <c r="B385" i="14"/>
  <c r="AX58" i="8"/>
  <c r="F384" i="14"/>
  <c r="E195" i="14"/>
  <c r="F195" i="14" s="1"/>
  <c r="F196" i="14" s="1"/>
  <c r="C195" i="14"/>
  <c r="AW21" i="1"/>
  <c r="AW22" i="1" s="1"/>
  <c r="AX58" i="1"/>
  <c r="AV44" i="1"/>
  <c r="AV57" i="1" s="1"/>
  <c r="AV60" i="1" s="1"/>
  <c r="AV68" i="1" s="1"/>
  <c r="AH25" i="10"/>
  <c r="AI10" i="10"/>
  <c r="F385" i="14" l="1"/>
  <c r="AX20" i="8"/>
  <c r="AV69" i="1"/>
  <c r="AV17" i="6" s="1"/>
  <c r="AW65" i="1"/>
  <c r="AW67" i="1" s="1"/>
  <c r="AW39" i="1"/>
  <c r="AW56" i="1" s="1"/>
  <c r="AX20" i="1"/>
  <c r="AI18" i="10"/>
  <c r="AX19" i="8" l="1"/>
  <c r="AW44" i="1"/>
  <c r="AW57" i="1" s="1"/>
  <c r="AW60" i="1" s="1"/>
  <c r="AW68" i="1" s="1"/>
  <c r="AX19" i="1"/>
  <c r="AI24" i="10"/>
  <c r="AI25" i="10" s="1"/>
  <c r="AJ10" i="10"/>
  <c r="AI20" i="10"/>
  <c r="AI22" i="10" s="1"/>
  <c r="AX21" i="8" l="1"/>
  <c r="AX22" i="8" s="1"/>
  <c r="AW69" i="1"/>
  <c r="AW17" i="6" s="1"/>
  <c r="AX21" i="1"/>
  <c r="AX22" i="1" s="1"/>
  <c r="AJ18" i="10"/>
  <c r="AJ20" i="10" s="1"/>
  <c r="AJ22" i="10" s="1"/>
  <c r="AX65" i="8" l="1"/>
  <c r="AX67" i="8" s="1"/>
  <c r="AX39" i="8"/>
  <c r="AX56" i="8" s="1"/>
  <c r="AX65" i="1"/>
  <c r="AX67" i="1" s="1"/>
  <c r="AX39" i="1"/>
  <c r="AX56" i="1" s="1"/>
  <c r="AK10" i="10"/>
  <c r="AJ24" i="10"/>
  <c r="AJ25" i="10" s="1"/>
  <c r="AX44" i="8" l="1"/>
  <c r="AX57" i="8" s="1"/>
  <c r="AX60" i="8" s="1"/>
  <c r="AX68" i="8" s="1"/>
  <c r="AX44" i="1"/>
  <c r="AX57" i="1" s="1"/>
  <c r="AX60" i="1" s="1"/>
  <c r="AX68" i="1" s="1"/>
  <c r="AK18" i="10"/>
  <c r="AX69" i="8" l="1"/>
  <c r="AX18" i="6" s="1"/>
  <c r="AX69" i="1"/>
  <c r="AX17" i="6" s="1"/>
  <c r="AK24" i="10"/>
  <c r="AK20" i="10"/>
  <c r="AK22" i="10" s="1"/>
  <c r="AK23" i="10" l="1"/>
  <c r="AK25" i="10" s="1"/>
  <c r="T36" i="22"/>
  <c r="AL10" i="10" l="1"/>
  <c r="AL18" i="10" s="1"/>
  <c r="AL24" i="10" s="1"/>
  <c r="T39" i="22"/>
  <c r="AM10" i="10" l="1"/>
  <c r="AL25" i="10"/>
  <c r="AL20" i="10"/>
  <c r="AL22" i="10" s="1"/>
  <c r="U36" i="22"/>
  <c r="T44" i="22"/>
  <c r="T57" i="22" s="1"/>
  <c r="T56" i="22"/>
  <c r="AM18" i="10" l="1"/>
  <c r="U39" i="22"/>
  <c r="T60" i="22"/>
  <c r="T68" i="22" s="1"/>
  <c r="T69" i="22" s="1"/>
  <c r="AM24" i="10" l="1"/>
  <c r="AM25" i="10" s="1"/>
  <c r="AN10" i="10"/>
  <c r="AM20" i="10"/>
  <c r="AM22" i="10" s="1"/>
  <c r="V36" i="22"/>
  <c r="U44" i="22"/>
  <c r="U57" i="22" s="1"/>
  <c r="U56" i="22"/>
  <c r="V39" i="22" l="1"/>
  <c r="U60" i="22"/>
  <c r="U68" i="22" s="1"/>
  <c r="U69" i="22" s="1"/>
  <c r="W36" i="22" l="1"/>
  <c r="V44" i="22"/>
  <c r="V57" i="22" s="1"/>
  <c r="V56" i="22"/>
  <c r="V60" i="22" l="1"/>
  <c r="V68" i="22" s="1"/>
  <c r="V69" i="22" s="1"/>
  <c r="W39" i="22"/>
  <c r="W44" i="22" l="1"/>
  <c r="W57" i="22" s="1"/>
  <c r="W56" i="22"/>
  <c r="X36" i="22"/>
  <c r="X39" i="22" l="1"/>
  <c r="Y36" i="22"/>
  <c r="W60" i="22"/>
  <c r="W68" i="22" s="1"/>
  <c r="W69" i="22" s="1"/>
  <c r="X44" i="22" l="1"/>
  <c r="X57" i="22" s="1"/>
  <c r="X56" i="22"/>
  <c r="Y39" i="22"/>
  <c r="Y44" i="22" l="1"/>
  <c r="Y57" i="22" s="1"/>
  <c r="Y56" i="22"/>
  <c r="Z36" i="22"/>
  <c r="X60" i="22"/>
  <c r="X68" i="22" s="1"/>
  <c r="X69" i="22" s="1"/>
  <c r="Y60" i="22" l="1"/>
  <c r="Y68" i="22" s="1"/>
  <c r="Y69" i="22" s="1"/>
  <c r="AA36" i="22"/>
  <c r="Z39" i="22"/>
  <c r="Z44" i="22" l="1"/>
  <c r="Z57" i="22" s="1"/>
  <c r="Z56" i="22"/>
  <c r="AA39" i="22"/>
  <c r="Z60" i="22" l="1"/>
  <c r="Z68" i="22" s="1"/>
  <c r="Z69" i="22" s="1"/>
  <c r="AA56" i="22"/>
  <c r="AA44" i="22"/>
  <c r="AA57" i="22" s="1"/>
  <c r="AA60" i="22" l="1"/>
  <c r="AA68" i="22" s="1"/>
  <c r="AA69" i="22" s="1"/>
  <c r="C475" i="14" l="1"/>
  <c r="D475" i="14" s="1"/>
  <c r="E476" i="14" s="1"/>
  <c r="F476" i="14" l="1"/>
  <c r="AO36" i="9"/>
  <c r="C476" i="14"/>
  <c r="B546" i="14" l="1"/>
  <c r="AO47" i="9"/>
  <c r="D476" i="14"/>
  <c r="E477" i="14" s="1"/>
  <c r="AO58" i="9" l="1"/>
  <c r="C546" i="14"/>
  <c r="E546" i="14"/>
  <c r="F546" i="14" s="1"/>
  <c r="F477" i="14"/>
  <c r="AP36" i="9"/>
  <c r="C477" i="14"/>
  <c r="AO20" i="9" l="1"/>
  <c r="B547" i="14"/>
  <c r="AP47" i="9"/>
  <c r="D477" i="14"/>
  <c r="E478" i="14" s="1"/>
  <c r="AO19" i="9" l="1"/>
  <c r="F478" i="14"/>
  <c r="AQ36" i="9"/>
  <c r="AP58" i="9"/>
  <c r="E547" i="14"/>
  <c r="F547" i="14" s="1"/>
  <c r="C547" i="14"/>
  <c r="C478" i="14"/>
  <c r="AO21" i="9" l="1"/>
  <c r="AO22" i="9" s="1"/>
  <c r="AO39" i="9" s="1"/>
  <c r="AO56" i="9" s="1"/>
  <c r="AP20" i="9"/>
  <c r="AO65" i="9"/>
  <c r="AO67" i="9" s="1"/>
  <c r="AP19" i="9"/>
  <c r="B548" i="14"/>
  <c r="E548" i="14" s="1"/>
  <c r="F548" i="14" s="1"/>
  <c r="AQ20" i="9" s="1"/>
  <c r="AQ47" i="9"/>
  <c r="D478" i="14"/>
  <c r="E479" i="14" s="1"/>
  <c r="AO44" i="9" l="1"/>
  <c r="AO57" i="9" s="1"/>
  <c r="AO60" i="9" s="1"/>
  <c r="AO68" i="9" s="1"/>
  <c r="C548" i="14"/>
  <c r="F479" i="14"/>
  <c r="AR36" i="9"/>
  <c r="AQ19" i="9"/>
  <c r="AQ58" i="9"/>
  <c r="AP21" i="9"/>
  <c r="AP22" i="9" s="1"/>
  <c r="C479" i="14"/>
  <c r="AO69" i="9" l="1"/>
  <c r="AO19" i="6" s="1"/>
  <c r="AO27" i="6" s="1"/>
  <c r="AN12" i="10" s="1"/>
  <c r="AP39" i="9"/>
  <c r="AP56" i="9" s="1"/>
  <c r="AP65" i="9"/>
  <c r="AP67" i="9" s="1"/>
  <c r="AQ21" i="9"/>
  <c r="AQ22" i="9" s="1"/>
  <c r="B549" i="14"/>
  <c r="AR47" i="9"/>
  <c r="D479" i="14"/>
  <c r="E480" i="14" s="1"/>
  <c r="AP44" i="9" l="1"/>
  <c r="AP57" i="9" s="1"/>
  <c r="AP60" i="9" s="1"/>
  <c r="AP68" i="9" s="1"/>
  <c r="AN16" i="10"/>
  <c r="AN18" i="10" s="1"/>
  <c r="AN24" i="10" s="1"/>
  <c r="AR58" i="9"/>
  <c r="AQ65" i="9"/>
  <c r="AQ67" i="9" s="1"/>
  <c r="AQ39" i="9"/>
  <c r="AQ56" i="9" s="1"/>
  <c r="F480" i="14"/>
  <c r="AS36" i="9"/>
  <c r="E549" i="14"/>
  <c r="F549" i="14" s="1"/>
  <c r="AR20" i="9" s="1"/>
  <c r="C549" i="14"/>
  <c r="C480" i="14"/>
  <c r="AN20" i="10" l="1"/>
  <c r="AN22" i="10" s="1"/>
  <c r="AN23" i="10" s="1"/>
  <c r="AN25" i="10" s="1"/>
  <c r="AQ44" i="9"/>
  <c r="AQ57" i="9" s="1"/>
  <c r="AQ60" i="9" s="1"/>
  <c r="AQ68" i="9" s="1"/>
  <c r="AP69" i="9"/>
  <c r="AP19" i="6" s="1"/>
  <c r="AP27" i="6" s="1"/>
  <c r="AR19" i="9"/>
  <c r="B550" i="14"/>
  <c r="E550" i="14" s="1"/>
  <c r="F550" i="14" s="1"/>
  <c r="AS20" i="9" s="1"/>
  <c r="AS47" i="9"/>
  <c r="D480" i="14"/>
  <c r="E481" i="14" s="1"/>
  <c r="AQ69" i="9" l="1"/>
  <c r="AQ19" i="6" s="1"/>
  <c r="AQ27" i="6" s="1"/>
  <c r="AP12" i="10" s="1"/>
  <c r="AP16" i="10" s="1"/>
  <c r="AO10" i="10"/>
  <c r="AO12" i="10"/>
  <c r="AO16" i="10" s="1"/>
  <c r="F481" i="14"/>
  <c r="AT36" i="9"/>
  <c r="AS58" i="9"/>
  <c r="AR21" i="9"/>
  <c r="AR22" i="9" s="1"/>
  <c r="C550" i="14"/>
  <c r="AS19" i="9"/>
  <c r="C481" i="14"/>
  <c r="AO18" i="10" l="1"/>
  <c r="AP10" i="10" s="1"/>
  <c r="AP18" i="10" s="1"/>
  <c r="AS21" i="9"/>
  <c r="AS22" i="9" s="1"/>
  <c r="AR65" i="9"/>
  <c r="AR67" i="9" s="1"/>
  <c r="AR39" i="9"/>
  <c r="AR56" i="9" s="1"/>
  <c r="B551" i="14"/>
  <c r="E551" i="14" s="1"/>
  <c r="F551" i="14" s="1"/>
  <c r="AT20" i="9" s="1"/>
  <c r="AT47" i="9"/>
  <c r="D481" i="14"/>
  <c r="E482" i="14" s="1"/>
  <c r="AP24" i="10" l="1"/>
  <c r="AP25" i="10" s="1"/>
  <c r="AP20" i="10"/>
  <c r="AP22" i="10" s="1"/>
  <c r="AO24" i="10"/>
  <c r="AO25" i="10" s="1"/>
  <c r="AO20" i="10"/>
  <c r="AO22" i="10" s="1"/>
  <c r="AQ10" i="10"/>
  <c r="F482" i="14"/>
  <c r="AU36" i="9"/>
  <c r="AT58" i="9"/>
  <c r="AR44" i="9"/>
  <c r="AR57" i="9" s="1"/>
  <c r="AR60" i="9" s="1"/>
  <c r="AR68" i="9" s="1"/>
  <c r="AS39" i="9"/>
  <c r="AS56" i="9" s="1"/>
  <c r="AS65" i="9"/>
  <c r="AS67" i="9" s="1"/>
  <c r="AT19" i="9"/>
  <c r="C551" i="14"/>
  <c r="C482" i="14"/>
  <c r="AS44" i="9" l="1"/>
  <c r="AS57" i="9" s="1"/>
  <c r="AS60" i="9" s="1"/>
  <c r="AS68" i="9" s="1"/>
  <c r="AT21" i="9"/>
  <c r="AT22" i="9" s="1"/>
  <c r="AR69" i="9"/>
  <c r="AR19" i="6" s="1"/>
  <c r="B552" i="14"/>
  <c r="E552" i="14" s="1"/>
  <c r="F552" i="14" s="1"/>
  <c r="AU20" i="9" s="1"/>
  <c r="AU47" i="9"/>
  <c r="D482" i="14"/>
  <c r="E483" i="14" s="1"/>
  <c r="AR27" i="6" l="1"/>
  <c r="AQ12" i="10" s="1"/>
  <c r="AQ16" i="10" s="1"/>
  <c r="AQ18" i="10" s="1"/>
  <c r="AU19" i="9"/>
  <c r="AS69" i="9"/>
  <c r="AS19" i="6" s="1"/>
  <c r="F483" i="14"/>
  <c r="AV36" i="9"/>
  <c r="AU58" i="9"/>
  <c r="AT39" i="9"/>
  <c r="AT56" i="9" s="1"/>
  <c r="AT65" i="9"/>
  <c r="AT67" i="9" s="1"/>
  <c r="AT44" i="9"/>
  <c r="AT57" i="9" s="1"/>
  <c r="AT60" i="9" s="1"/>
  <c r="AT68" i="9" s="1"/>
  <c r="C552" i="14"/>
  <c r="C483" i="14"/>
  <c r="AQ20" i="10" l="1"/>
  <c r="AQ22" i="10" s="1"/>
  <c r="AQ23" i="10" s="1"/>
  <c r="AR10" i="10" s="1"/>
  <c r="AQ24" i="10"/>
  <c r="AS27" i="6"/>
  <c r="AR12" i="10" s="1"/>
  <c r="AR16" i="10" s="1"/>
  <c r="AT69" i="9"/>
  <c r="AT19" i="6" s="1"/>
  <c r="B553" i="14"/>
  <c r="E553" i="14" s="1"/>
  <c r="F553" i="14" s="1"/>
  <c r="AV20" i="9" s="1"/>
  <c r="AV47" i="9"/>
  <c r="AU21" i="9"/>
  <c r="AU22" i="9" s="1"/>
  <c r="D483" i="14"/>
  <c r="E484" i="14" s="1"/>
  <c r="AQ25" i="10" l="1"/>
  <c r="AT27" i="6"/>
  <c r="AS12" i="10" s="1"/>
  <c r="AS16" i="10" s="1"/>
  <c r="AR18" i="10"/>
  <c r="AR24" i="10" s="1"/>
  <c r="AR25" i="10" s="1"/>
  <c r="AU65" i="9"/>
  <c r="AU67" i="9" s="1"/>
  <c r="AU39" i="9"/>
  <c r="AU56" i="9" s="1"/>
  <c r="AV58" i="9"/>
  <c r="F484" i="14"/>
  <c r="AW36" i="9"/>
  <c r="AV19" i="9"/>
  <c r="C553" i="14"/>
  <c r="C484" i="14"/>
  <c r="AR20" i="10" l="1"/>
  <c r="AR22" i="10" s="1"/>
  <c r="AS10" i="10"/>
  <c r="AV21" i="9"/>
  <c r="AV22" i="9" s="1"/>
  <c r="AU44" i="9"/>
  <c r="AU57" i="9" s="1"/>
  <c r="AU60" i="9" s="1"/>
  <c r="AU68" i="9" s="1"/>
  <c r="B554" i="14"/>
  <c r="E554" i="14" s="1"/>
  <c r="F554" i="14" s="1"/>
  <c r="AW20" i="9" s="1"/>
  <c r="AW47" i="9"/>
  <c r="D484" i="14"/>
  <c r="E485" i="14" s="1"/>
  <c r="AS18" i="10" l="1"/>
  <c r="C554" i="14"/>
  <c r="F485" i="14"/>
  <c r="AX36" i="9"/>
  <c r="AW19" i="9"/>
  <c r="AV65" i="9"/>
  <c r="AV67" i="9" s="1"/>
  <c r="AV39" i="9"/>
  <c r="AV56" i="9" s="1"/>
  <c r="AW58" i="9"/>
  <c r="AU69" i="9"/>
  <c r="AU19" i="6" s="1"/>
  <c r="C485" i="14"/>
  <c r="D485" i="14" s="1"/>
  <c r="AS24" i="10" l="1"/>
  <c r="AS25" i="10" s="1"/>
  <c r="AT10" i="10"/>
  <c r="AS20" i="10"/>
  <c r="AS22" i="10" s="1"/>
  <c r="AU27" i="6"/>
  <c r="AT12" i="10" s="1"/>
  <c r="AT16" i="10" s="1"/>
  <c r="AV44" i="9"/>
  <c r="AV57" i="9" s="1"/>
  <c r="AV60" i="9" s="1"/>
  <c r="AV68" i="9" s="1"/>
  <c r="AW21" i="9"/>
  <c r="AW22" i="9" s="1"/>
  <c r="B555" i="14"/>
  <c r="B556" i="14" s="1"/>
  <c r="AX47" i="9"/>
  <c r="AT18" i="10" l="1"/>
  <c r="AT20" i="10" s="1"/>
  <c r="AT22" i="10" s="1"/>
  <c r="AT23" i="10" s="1"/>
  <c r="AU10" i="10" s="1"/>
  <c r="AX58" i="9"/>
  <c r="AV69" i="9"/>
  <c r="AV19" i="6" s="1"/>
  <c r="E555" i="14"/>
  <c r="F555" i="14" s="1"/>
  <c r="C555" i="14"/>
  <c r="AW39" i="9"/>
  <c r="AW56" i="9" s="1"/>
  <c r="AW65" i="9"/>
  <c r="AW67" i="9" s="1"/>
  <c r="AT24" i="10" l="1"/>
  <c r="AW44" i="9"/>
  <c r="AW57" i="9" s="1"/>
  <c r="AW60" i="9" s="1"/>
  <c r="AW68" i="9" s="1"/>
  <c r="AT25" i="10"/>
  <c r="AV27" i="6"/>
  <c r="AU12" i="10" s="1"/>
  <c r="AU16" i="10" s="1"/>
  <c r="AU18" i="10" s="1"/>
  <c r="AX20" i="9"/>
  <c r="F556" i="14"/>
  <c r="AW69" i="9" l="1"/>
  <c r="AW19" i="6" s="1"/>
  <c r="AX19" i="9"/>
  <c r="AX21" i="9" s="1"/>
  <c r="AX22" i="9" s="1"/>
  <c r="AU24" i="10"/>
  <c r="AU25" i="10" s="1"/>
  <c r="AU20" i="10"/>
  <c r="AU22" i="10" s="1"/>
  <c r="AW27" i="6"/>
  <c r="AV12" i="10" s="1"/>
  <c r="AV16" i="10" s="1"/>
  <c r="AV10" i="10"/>
  <c r="AV18" i="10" l="1"/>
  <c r="AV20" i="10" s="1"/>
  <c r="AV22" i="10" s="1"/>
  <c r="AX39" i="9"/>
  <c r="AX56" i="9" s="1"/>
  <c r="AX65" i="9"/>
  <c r="AX67" i="9" s="1"/>
  <c r="AX44" i="9"/>
  <c r="AX57" i="9" s="1"/>
  <c r="AX60" i="9" s="1"/>
  <c r="AX68" i="9" s="1"/>
  <c r="AW10" i="10" l="1"/>
  <c r="AV24" i="10"/>
  <c r="AV25" i="10" s="1"/>
  <c r="AX69" i="9"/>
  <c r="AX19" i="6" s="1"/>
  <c r="AX27" i="6" l="1"/>
  <c r="AW12" i="10" s="1"/>
  <c r="AW16" i="10" s="1"/>
  <c r="AW18" i="10" s="1"/>
  <c r="AW24" i="10" l="1"/>
  <c r="AW20" i="10"/>
  <c r="AW22" i="10" s="1"/>
  <c r="AW23" i="10" s="1"/>
  <c r="AW25" i="10" l="1"/>
  <c r="AW28" i="10" s="1"/>
</calcChain>
</file>

<file path=xl/comments1.xml><?xml version="1.0" encoding="utf-8"?>
<comments xmlns="http://schemas.openxmlformats.org/spreadsheetml/2006/main">
  <authors>
    <author>FERC Group</author>
  </authors>
  <commentList>
    <comment ref="A14" authorId="0">
      <text>
        <r>
          <rPr>
            <sz val="11"/>
            <color indexed="81"/>
            <rFont val="Tahoma"/>
            <family val="2"/>
          </rPr>
          <t>Without FF&amp;U</t>
        </r>
      </text>
    </comment>
    <comment ref="A49" authorId="0">
      <text>
        <r>
          <rPr>
            <sz val="11"/>
            <color indexed="81"/>
            <rFont val="Tahoma"/>
            <family val="2"/>
          </rPr>
          <t>Without FF&amp;U</t>
        </r>
      </text>
    </comment>
  </commentList>
</comments>
</file>

<file path=xl/comments10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1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12.xml><?xml version="1.0" encoding="utf-8"?>
<comments xmlns="http://schemas.openxmlformats.org/spreadsheetml/2006/main">
  <authors>
    <author>FERC Group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3.xml><?xml version="1.0" encoding="utf-8"?>
<comments xmlns="http://schemas.openxmlformats.org/spreadsheetml/2006/main">
  <authors>
    <author>FERC Group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Must be reviewed by the Tax Dept.</t>
        </r>
      </text>
    </comment>
  </commentList>
</comments>
</file>

<file path=xl/comments14.xml><?xml version="1.0" encoding="utf-8"?>
<comments xmlns="http://schemas.openxmlformats.org/spreadsheetml/2006/main">
  <authors>
    <author>FERC Group</author>
    <author>Eng_dsk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C34" authorId="1">
      <text>
        <r>
          <rPr>
            <b/>
            <sz val="8"/>
            <color indexed="81"/>
            <rFont val="Tahoma"/>
            <family val="2"/>
          </rPr>
          <t>Changed first CRE entry to 10,603.3403 from 10,603.343 because of input error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FERC Group</author>
    <author>Eng_dsk</author>
  </authors>
  <commentList>
    <comment ref="C18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C34" authorId="1">
      <text>
        <r>
          <rPr>
            <b/>
            <sz val="8"/>
            <color indexed="81"/>
            <rFont val="Tahoma"/>
            <family val="2"/>
          </rPr>
          <t xml:space="preserve">update on 10.7.09 b/c changed in Sept 09 recorded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7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8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19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.xml><?xml version="1.0" encoding="utf-8"?>
<comments xmlns="http://schemas.openxmlformats.org/spreadsheetml/2006/main">
  <authors>
    <author>Eng_dsk</author>
    <author>Kim, Jee Young</author>
    <author>FERC Group</author>
    <author>Standard Configuration</author>
  </authors>
  <commentList>
    <comment ref="Q17" authorId="0">
      <text>
        <r>
          <rPr>
            <sz val="8"/>
            <color indexed="81"/>
            <rFont val="Tahoma"/>
            <family val="2"/>
          </rPr>
          <t>Using 8.45% instead of 6.80% because of lag time (proration between 11.01% and 6.80% from Doug Snow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17" authorId="0">
      <text>
        <r>
          <rPr>
            <b/>
            <sz val="8"/>
            <color indexed="81"/>
            <rFont val="Tahoma"/>
            <family val="2"/>
          </rPr>
          <t>Using 7.27% instead of 7.94% because of lag time (proration between 6.80% and 7.94% from J. Aldrich RP&amp;A Rev. direction</t>
        </r>
      </text>
    </comment>
    <comment ref="AA17" authorId="0">
      <text>
        <r>
          <rPr>
            <b/>
            <sz val="8"/>
            <color indexed="81"/>
            <rFont val="Tahoma"/>
            <family val="2"/>
          </rPr>
          <t xml:space="preserve">Using 8.48% instead of 9.35% because of lag time (proration between 7.94% and 9.35% from J. Aldrich RP&amp;A Rev. direction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C17" authorId="1">
      <text>
        <r>
          <rPr>
            <b/>
            <sz val="8"/>
            <color indexed="81"/>
            <rFont val="Tahoma"/>
            <family val="2"/>
          </rPr>
          <t>Using 7.80% instead of 6.51% because of lag time (proration between 9.35% and 6.51%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F17" authorId="1">
      <text>
        <r>
          <rPr>
            <b/>
            <sz val="8"/>
            <color indexed="81"/>
            <rFont val="Tahoma"/>
            <family val="2"/>
          </rPr>
          <t>Using 7.11% instead of 7.69% because of lag time (proration between 6.51% and 7.69%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O17" authorId="1">
      <text>
        <r>
          <rPr>
            <b/>
            <sz val="8"/>
            <color indexed="81"/>
            <rFont val="Tahoma"/>
            <family val="2"/>
          </rPr>
          <t>Using 13.70% instead of 22.95% because of lag time (proration between 22.95% and 7.69% from J. Aldrich RP&amp;A Rev. direction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8" authorId="2">
      <text>
        <r>
          <rPr>
            <sz val="10"/>
            <color indexed="81"/>
            <rFont val="Tahoma"/>
            <family val="2"/>
          </rPr>
          <t>Total Monthly Recorded  Transmission Revenue  to be provided by JA in D Snow group.</t>
        </r>
      </text>
    </comment>
    <comment ref="O20" authorId="0">
      <text>
        <r>
          <rPr>
            <sz val="9"/>
            <color indexed="81"/>
            <rFont val="Tahoma"/>
            <family val="2"/>
          </rPr>
          <t>FF&amp;U % change due to GRC decision 3/12/09 with effective date 1/1/09</t>
        </r>
        <r>
          <rPr>
            <b/>
            <sz val="8"/>
            <color indexed="81"/>
            <rFont val="Tahoma"/>
            <family val="2"/>
          </rPr>
          <t xml:space="preserve">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W22" authorId="3">
      <text>
        <r>
          <rPr>
            <b/>
            <sz val="8"/>
            <color indexed="81"/>
            <rFont val="Tahoma"/>
            <family val="2"/>
          </rPr>
          <t xml:space="preserve">1. The retail refund amount of $5.3M included $57.65K FF&amp;U, w/ interest the FF&amp;U is $64.86K.   Since the retail revenue booked to the balancing account excludes FF&amp;U, the adjustment for the refund should also exclude FF&amp;U.  Therefore the amount of the revenue reduction is $5.23M  
2. In Docket No. ER08-375, FERC ordered SCE to calculate &amp; refund customers on Nov. 1 based on the Base ROE changing from 11.5% as filed to 9.54%.  FERC's order resulted in a retail refund of $5.3M.  For an explanation of implementation of refund see Oct. 31, 2011 CPUC Advice Letter (ADVICE 2647-E, U338-E)  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FERC Group</author>
    <author>Standard Configuration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  <comment ref="E15" authorId="1">
      <text>
        <r>
          <rPr>
            <b/>
            <sz val="8"/>
            <color indexed="81"/>
            <rFont val="Tahoma"/>
            <family val="2"/>
          </rPr>
          <t>1. Balance changed from 2,015.6 to 1,932.2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16" authorId="1">
      <text>
        <r>
          <rPr>
            <b/>
            <sz val="8"/>
            <color indexed="81"/>
            <rFont val="Tahoma"/>
            <family val="2"/>
          </rPr>
          <t>1. Balance changed from 2,120.1 to 2,031.8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7" authorId="1">
      <text>
        <r>
          <rPr>
            <b/>
            <sz val="8"/>
            <color indexed="81"/>
            <rFont val="Tahoma"/>
            <family val="2"/>
          </rPr>
          <t>1. Balance changed from 2,242.1 to 2,139.3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8" authorId="1">
      <text>
        <r>
          <rPr>
            <b/>
            <sz val="8"/>
            <color indexed="81"/>
            <rFont val="Tahoma"/>
            <family val="2"/>
          </rPr>
          <t>1. Balance changed from 2,415.3 to 2,294.3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19" authorId="1">
      <text>
        <r>
          <rPr>
            <b/>
            <sz val="8"/>
            <color indexed="81"/>
            <rFont val="Tahoma"/>
            <family val="2"/>
          </rPr>
          <t>1. Balance changed from 2,654.4 to 2,522.6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20" authorId="1">
      <text>
        <r>
          <rPr>
            <b/>
            <sz val="8"/>
            <color indexed="81"/>
            <rFont val="Tahoma"/>
            <charset val="1"/>
          </rPr>
          <t>1. Balance changed from 2,973.3 to 2,834.6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1" authorId="1">
      <text>
        <r>
          <rPr>
            <b/>
            <sz val="8"/>
            <color indexed="81"/>
            <rFont val="Tahoma"/>
            <charset val="1"/>
          </rPr>
          <t>1. Balance changed from 3,350.1 to 3,206.9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2" authorId="1">
      <text>
        <r>
          <rPr>
            <b/>
            <sz val="8"/>
            <color indexed="81"/>
            <rFont val="Tahoma"/>
            <charset val="1"/>
          </rPr>
          <t>1. Balance changed from 3,696.8 to 3,552.0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3" authorId="1">
      <text>
        <r>
          <rPr>
            <b/>
            <sz val="8"/>
            <color indexed="81"/>
            <rFont val="Tahoma"/>
            <charset val="1"/>
          </rPr>
          <t>1. Balance changed from 4,082.4 to 3,935.1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E24" authorId="1">
      <text>
        <r>
          <rPr>
            <b/>
            <sz val="8"/>
            <color indexed="81"/>
            <rFont val="Tahoma"/>
            <charset val="1"/>
          </rPr>
          <t>1. Balance changed from 4,977.5 to 4,824.5 b/c removing: 2010 &amp; 2011 OH and A&amp;G misallocations, DCR WO 800062854 from 2/2008, and Seg 9 WO 800218703 from 1/2009. Also adding: Whirlwind WO 900443406 to 6/2011 &amp; WO 900642439 to 2/2012, and Eldorado WO 900475787 to 7/2011. J. Hong 3.14.12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2.xml><?xml version="1.0" encoding="utf-8"?>
<comments xmlns="http://schemas.openxmlformats.org/spreadsheetml/2006/main">
  <authors>
    <author>FERC Group</author>
  </authors>
  <commentList>
    <comment ref="C15" authorId="0">
      <text>
        <r>
          <rPr>
            <sz val="10"/>
            <color indexed="81"/>
            <rFont val="Tahoma"/>
            <family val="2"/>
          </rPr>
          <t>To determine CWIP land purchased for each month, compare current month project balance report to the prior month report.</t>
        </r>
      </text>
    </comment>
  </commentList>
</comments>
</file>

<file path=xl/comments23.xml><?xml version="1.0" encoding="utf-8"?>
<comments xmlns="http://schemas.openxmlformats.org/spreadsheetml/2006/main">
  <authors>
    <author>FERC Group</author>
    <author>Standard Configuration</author>
  </authors>
  <commentList>
    <comment ref="B8" authorId="0">
      <text>
        <r>
          <rPr>
            <sz val="11"/>
            <color indexed="81"/>
            <rFont val="Tahoma"/>
            <family val="2"/>
          </rPr>
          <t>Provided by  Tax Dept.</t>
        </r>
      </text>
    </comment>
    <comment ref="B11" authorId="0">
      <text>
        <r>
          <rPr>
            <sz val="11"/>
            <color indexed="81"/>
            <rFont val="Tahoma"/>
            <family val="2"/>
          </rPr>
          <t>Provided by Tax Dept.
3rd Qt 2008 AFUDC Rate Monitoring &amp; Analysis</t>
        </r>
      </text>
    </comment>
    <comment ref="B43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3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4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234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23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23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424" authorId="1">
      <text>
        <r>
          <rPr>
            <sz val="10"/>
            <color indexed="81"/>
            <rFont val="Tahoma"/>
            <family val="2"/>
          </rPr>
          <t>EOM 2/08 balance less the accumulated AFUDC for 9/1/05-2/29/08</t>
        </r>
      </text>
    </comment>
    <comment ref="C42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February Interest Capitalized.</t>
        </r>
      </text>
    </comment>
    <comment ref="B42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426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574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57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57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29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29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30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691" authorId="1">
      <text>
        <r>
          <rPr>
            <sz val="10"/>
            <color indexed="81"/>
            <rFont val="Tahoma"/>
            <family val="2"/>
          </rPr>
          <t>EOM 11/10 balance less the accumulated AFUDC from proj inception -11/30/10</t>
        </r>
      </text>
    </comment>
    <comment ref="C691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November Interest Capitalized.</t>
        </r>
      </text>
    </comment>
    <comment ref="B692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748" authorId="1">
      <text>
        <r>
          <rPr>
            <sz val="10"/>
            <color indexed="81"/>
            <rFont val="Tahoma"/>
            <family val="2"/>
          </rPr>
          <t xml:space="preserve">EOM 3/11 balance less the accumulated AFUDC from proj inception -3/31/11
</t>
        </r>
      </text>
    </comment>
    <comment ref="C748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749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795" authorId="1">
      <text>
        <r>
          <rPr>
            <sz val="10"/>
            <color indexed="81"/>
            <rFont val="Tahoma"/>
            <family val="2"/>
          </rPr>
          <t xml:space="preserve">EOM 3/11 balance less the accumulated AFUDC from proj inception -3/31/11
</t>
        </r>
      </text>
    </comment>
    <comment ref="C795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796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40" authorId="1">
      <text>
        <r>
          <rPr>
            <sz val="10"/>
            <color indexed="81"/>
            <rFont val="Tahoma"/>
            <family val="2"/>
          </rPr>
          <t>EOM 3/11 balance less the accumulated AFUDC from proj inception -3/31/11</t>
        </r>
      </text>
    </comment>
    <comment ref="C840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41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  <comment ref="B884" authorId="1">
      <text>
        <r>
          <rPr>
            <sz val="10"/>
            <color indexed="81"/>
            <rFont val="Tahoma"/>
            <family val="2"/>
          </rPr>
          <t>EOM 3/11 balance less the accumulated AFUDC from proj inception 3/31/11</t>
        </r>
      </text>
    </comment>
    <comment ref="C884" authorId="1">
      <text>
        <r>
          <rPr>
            <sz val="10"/>
            <color indexed="81"/>
            <rFont val="Tahoma"/>
            <family val="2"/>
          </rPr>
          <t>See "Beg int cap" tab  created by tax dept for calculation of end of March Interest Capitalized.</t>
        </r>
      </text>
    </comment>
    <comment ref="B885" authorId="1">
      <text>
        <r>
          <rPr>
            <sz val="10"/>
            <color indexed="81"/>
            <rFont val="Tahoma"/>
            <family val="2"/>
          </rPr>
          <t xml:space="preserve">Prior month balance plus current month loaded cap additions </t>
        </r>
      </text>
    </comment>
  </commentList>
</comments>
</file>

<file path=xl/comments24.xml><?xml version="1.0" encoding="utf-8"?>
<comments xmlns="http://schemas.openxmlformats.org/spreadsheetml/2006/main">
  <authors>
    <author>FERC Group</author>
  </authors>
  <commentList>
    <comment ref="B5" authorId="0">
      <text>
        <r>
          <rPr>
            <sz val="11"/>
            <color indexed="81"/>
            <rFont val="Tahoma"/>
            <family val="2"/>
          </rPr>
          <t>AFUDC
9/1/05 thru 2/29/08</t>
        </r>
      </text>
    </comment>
    <comment ref="B7" authorId="0">
      <text>
        <r>
          <rPr>
            <sz val="10"/>
            <color indexed="81"/>
            <rFont val="Tahoma"/>
            <family val="2"/>
          </rPr>
          <t>After the March recorded, Christine revised the Racho Vista Balance for Feb and March.  AFUDC was changed from 1,374.398 to 1,374.428.</t>
        </r>
      </text>
    </comment>
    <comment ref="B24" authorId="0">
      <text>
        <r>
          <rPr>
            <sz val="11"/>
            <color indexed="81"/>
            <rFont val="Tahoma"/>
            <family val="2"/>
          </rPr>
          <t xml:space="preserve">AFUDC
project inception thru 11/30/10
</t>
        </r>
      </text>
    </comment>
    <comment ref="B45" authorId="0">
      <text>
        <r>
          <rPr>
            <sz val="11"/>
            <color indexed="81"/>
            <rFont val="Tahoma"/>
            <family val="2"/>
          </rPr>
          <t xml:space="preserve">AFUDC
project inception thru 3/1/11
</t>
        </r>
      </text>
    </comment>
  </commentList>
</comments>
</file>

<file path=xl/comments25.xml><?xml version="1.0" encoding="utf-8"?>
<comments xmlns="http://schemas.openxmlformats.org/spreadsheetml/2006/main">
  <authors>
    <author>FERC Group</author>
    <author>Standard Configuration</author>
    <author>Kim, Jee Young</author>
  </authors>
  <commentList>
    <comment ref="C9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1" authorId="1">
      <text>
        <r>
          <rPr>
            <b/>
            <sz val="8"/>
            <color indexed="81"/>
            <rFont val="Tahoma"/>
            <family val="2"/>
          </rPr>
          <t xml:space="preserve">On Oct. 16, 2011, FERC issued its Order on Rehearing and Clarification in Docket Nos. ER08-375-004, ER11-1952-002 and ER11-3697-002. The Commission established a base ROE of 9.54% for Jan. 1, 2008 thru Dec. 31, 2008 and directed SCE to make refunds with interest in 30 days.  Implementing the Base ROE changing from 11.5% as filed to 9.54% resulted in a retail cust refund of $5,297K.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12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3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35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37" authorId="1">
      <text>
        <r>
          <rPr>
            <b/>
            <sz val="8"/>
            <color indexed="81"/>
            <rFont val="Tahoma"/>
            <charset val="1"/>
          </rPr>
          <t xml:space="preserve">On Apr. 19, 2012, FERC issued its a Consolidated Order in Docket Nos. ER09-1987-000, ER09-1987-001 and ER10-160-000. The Commission established a base ROE of 10.04% for Jan. 1, 2009 thru May. 31, 2010, and a base ROE of 10.33% for June 1, 2010 thru December 31, 2010.  The Commission also directed SCE to make refunds with interest in 30 days.  Implementing the Base ROE changes to 10.04% and 10.33% from as filed at 12% and 12.25% resulted in a retail cust refund of $10,354K. </t>
        </r>
        <r>
          <rPr>
            <sz val="8"/>
            <color indexed="81"/>
            <rFont val="Tahoma"/>
            <charset val="1"/>
          </rPr>
          <t xml:space="preserve">
</t>
        </r>
      </text>
    </comment>
    <comment ref="C38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39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63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65" authorId="2">
      <text>
        <r>
          <rPr>
            <b/>
            <sz val="8"/>
            <color indexed="81"/>
            <rFont val="Tahoma"/>
            <family val="2"/>
          </rPr>
          <t xml:space="preserve">Updated basis point change from 125 to 100 effective June 2010 for 2010 CWIP Settlement Term
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6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67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88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91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92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17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19" authorId="2">
      <text>
        <r>
          <rPr>
            <b/>
            <sz val="8"/>
            <color indexed="81"/>
            <rFont val="Tahoma"/>
            <family val="2"/>
          </rPr>
          <t xml:space="preserve">1.Updated basis point change from 125 to 100 effective June 2010 for 2010 CWIP Settlement Term
2. On December 29, 2010, FERC issued an Order in Docket No. ER11-1952-000. The Commission established a base ROE of 10.30% for Jan. 1, 2011 thru December 31, 2011 and ordered a compliance filing within 30 days with revised tarriff sheets to reflect the base ROE change from as filed of 11.5%. </t>
        </r>
      </text>
    </comment>
    <comment ref="C120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21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41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44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45" authorId="0">
      <text>
        <r>
          <rPr>
            <sz val="11"/>
            <color indexed="81"/>
            <rFont val="Tahoma"/>
            <family val="2"/>
          </rPr>
          <t>Monthly</t>
        </r>
      </text>
    </comment>
    <comment ref="C165" authorId="0">
      <text>
        <r>
          <rPr>
            <sz val="11"/>
            <color indexed="81"/>
            <rFont val="Tahoma"/>
            <family val="2"/>
          </rPr>
          <t>Need to update long term debt rate yearly according to CWIP Authorized Tarriff sheet.</t>
        </r>
      </text>
    </comment>
    <comment ref="C168" authorId="0">
      <text>
        <r>
          <rPr>
            <sz val="12"/>
            <color indexed="81"/>
            <rFont val="Tahoma"/>
            <family val="2"/>
          </rPr>
          <t>Annual</t>
        </r>
      </text>
    </comment>
    <comment ref="C169" authorId="0">
      <text>
        <r>
          <rPr>
            <sz val="11"/>
            <color indexed="81"/>
            <rFont val="Tahoma"/>
            <family val="2"/>
          </rPr>
          <t>Monthly</t>
        </r>
      </text>
    </comment>
  </commentList>
</comments>
</file>

<file path=xl/comments3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</commentList>
</comments>
</file>

<file path=xl/comments4.xml><?xml version="1.0" encoding="utf-8"?>
<comments xmlns="http://schemas.openxmlformats.org/spreadsheetml/2006/main">
  <authors>
    <author>Kim, Jee Young</author>
  </authors>
  <commentList>
    <comment ref="AE47" authorId="0">
      <text>
        <r>
          <rPr>
            <b/>
            <sz val="8"/>
            <color indexed="81"/>
            <rFont val="Tahoma"/>
            <family val="2"/>
          </rPr>
          <t>Zaw, J. in tax dept noticed incorrect ref to 2009 def tax amt updated to 2010 def tax amt 6.15.10</t>
        </r>
      </text>
    </comment>
  </commentList>
</comments>
</file>

<file path=xl/comments5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P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P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  <comment ref="P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6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7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8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comments9.xml><?xml version="1.0" encoding="utf-8"?>
<comments xmlns="http://schemas.openxmlformats.org/spreadsheetml/2006/main">
  <authors>
    <author>FERC Group</author>
  </authors>
  <commentList>
    <comment ref="B26" authorId="0">
      <text>
        <r>
          <rPr>
            <sz val="11"/>
            <color indexed="81"/>
            <rFont val="Tahoma"/>
            <family val="2"/>
          </rPr>
          <t>MRRORM is 1/12 of Authorized Annual Rate of Return</t>
        </r>
      </text>
    </comment>
    <comment ref="C39" authorId="0">
      <text>
        <r>
          <rPr>
            <sz val="10"/>
            <color indexed="81"/>
            <rFont val="Tahoma"/>
            <family val="2"/>
          </rPr>
          <t xml:space="preserve">((Line 14 x( Line 18 - Line 26)) + Line 28) x Line 30. </t>
        </r>
      </text>
    </comment>
    <comment ref="C44" authorId="0">
      <text>
        <r>
          <rPr>
            <sz val="10"/>
            <color indexed="81"/>
            <rFont val="Tahoma"/>
            <family val="2"/>
          </rPr>
          <t>((Line 14 x (Line 18 - Line 26)) - Line 31 + Line 28) x Line 35</t>
        </r>
      </text>
    </comment>
    <comment ref="C47" authorId="0">
      <text>
        <r>
          <rPr>
            <sz val="10"/>
            <color indexed="81"/>
            <rFont val="Tahoma"/>
            <family val="2"/>
          </rPr>
          <t>From Def Tax, column F</t>
        </r>
      </text>
    </comment>
  </commentList>
</comments>
</file>

<file path=xl/sharedStrings.xml><?xml version="1.0" encoding="utf-8"?>
<sst xmlns="http://schemas.openxmlformats.org/spreadsheetml/2006/main" count="2812" uniqueCount="350">
  <si>
    <t>Southern California Edison Company</t>
  </si>
  <si>
    <t>($000)</t>
  </si>
  <si>
    <t>Line</t>
  </si>
  <si>
    <t>DPV2</t>
  </si>
  <si>
    <t>Tehachapi</t>
  </si>
  <si>
    <t>Rancho Vista</t>
  </si>
  <si>
    <t>ISO Construction Work in Progress Balancing Account (CWIPBA)</t>
  </si>
  <si>
    <t>TO Tariff -- Appendix VIII, Section 3 CWIP Balancing Account</t>
  </si>
  <si>
    <t>Each month, the TO will make two entries to the CWIPBA: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</si>
  <si>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</si>
  <si>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Beginning Balance</t>
  </si>
  <si>
    <t>Ending Balance</t>
  </si>
  <si>
    <t xml:space="preserve">Total </t>
  </si>
  <si>
    <t xml:space="preserve">CWIP RRB = </t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</si>
  <si>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</si>
  <si>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t>SIT = State Income Taxes</t>
  </si>
  <si>
    <t xml:space="preserve">STx = </t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</si>
  <si>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</si>
  <si>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t xml:space="preserve">RIntCap = </t>
  </si>
  <si>
    <t>MWtLTD = Weighted Long Term Cost of Debt
component of the ARRORB divided by 12</t>
  </si>
  <si>
    <t>Weighted Long Term Cost of Debt</t>
  </si>
  <si>
    <t>MWtLTD =</t>
  </si>
  <si>
    <t>RIntCap = The Recorded Capitalized Interest
for the month</t>
  </si>
  <si>
    <t>STx = Weighted avergage state income tax rate</t>
  </si>
  <si>
    <t>CWIP Cost of Service</t>
  </si>
  <si>
    <t>Income Tax Calculation</t>
  </si>
  <si>
    <t>Rancho
Vista</t>
  </si>
  <si>
    <t>Tax Rates</t>
  </si>
  <si>
    <t>State Tax Rates:</t>
  </si>
  <si>
    <t>Arizona</t>
  </si>
  <si>
    <t>New Mexico</t>
  </si>
  <si>
    <t>Total Other Than Calif Tax Rate</t>
  </si>
  <si>
    <t>California</t>
  </si>
  <si>
    <t>Total States Tax Rate</t>
  </si>
  <si>
    <t>Federal Income Tax Rate</t>
  </si>
  <si>
    <t>Federal Benefit of State Taxes</t>
  </si>
  <si>
    <t>Total Composite Tax Rate</t>
  </si>
  <si>
    <t>2008</t>
  </si>
  <si>
    <t>Cost of Capital</t>
  </si>
  <si>
    <t>Weight</t>
  </si>
  <si>
    <t>Cost</t>
  </si>
  <si>
    <t>Wtd Cost</t>
  </si>
  <si>
    <t>Long-Term Debt</t>
  </si>
  <si>
    <t>Preferred Equity</t>
  </si>
  <si>
    <t>Common Equity</t>
  </si>
  <si>
    <t>ARRORB</t>
  </si>
  <si>
    <t>MRRORB</t>
  </si>
  <si>
    <t xml:space="preserve"> Authorized Annual Rate of Return</t>
  </si>
  <si>
    <t xml:space="preserve">MRRORB = </t>
  </si>
  <si>
    <t xml:space="preserve">SIT = </t>
  </si>
  <si>
    <t>FIT = Federal Income Taxes</t>
  </si>
  <si>
    <t xml:space="preserve">FTx = </t>
  </si>
  <si>
    <t xml:space="preserve">FIT = </t>
  </si>
  <si>
    <t>DT = The Federal Deferred Income Taxes
for the month recorded in Account 190</t>
  </si>
  <si>
    <t>TxGU = Tax Gross-Up Factor</t>
  </si>
  <si>
    <t>TxGU = 1 / (1-TxComp)</t>
  </si>
  <si>
    <t>TxComp = Composite Federal and State
Income Tax Rate</t>
  </si>
  <si>
    <t xml:space="preserve">TxComp = </t>
  </si>
  <si>
    <t xml:space="preserve">DT = </t>
  </si>
  <si>
    <t xml:space="preserve">TxGU = </t>
  </si>
  <si>
    <t xml:space="preserve">T = </t>
  </si>
  <si>
    <t>For all projects:</t>
  </si>
  <si>
    <t>For each project:</t>
  </si>
  <si>
    <r>
      <t xml:space="preserve">              = [(CWIP RRB</t>
    </r>
    <r>
      <rPr>
        <sz val="12"/>
        <rFont val="Arial"/>
        <family val="2"/>
      </rPr>
      <t xml:space="preserve"> x MRRORB</t>
    </r>
    <r>
      <rPr>
        <sz val="12"/>
        <rFont val="Arial"/>
        <family val="2"/>
      </rPr>
      <t>) + T</t>
    </r>
    <r>
      <rPr>
        <sz val="12"/>
        <rFont val="Arial"/>
        <family val="2"/>
      </rPr>
      <t>]</t>
    </r>
  </si>
  <si>
    <t>For DPV2:</t>
  </si>
  <si>
    <r>
      <t>T</t>
    </r>
    <r>
      <rPr>
        <sz val="10"/>
        <rFont val="Arial"/>
        <family val="2"/>
      </rPr>
      <t xml:space="preserve"> = Taxes based on Income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</si>
  <si>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</si>
  <si>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t>2.  RCR = Monthly recorded revenue</t>
  </si>
  <si>
    <t>RCR = (ARCRR/RBTRR) x BRBTR x (1 - FF&amp;U)</t>
  </si>
  <si>
    <t>1.</t>
  </si>
  <si>
    <t>2.</t>
  </si>
  <si>
    <r>
      <t>Recorded Retail CWIP Revenue Requirement (</t>
    </r>
    <r>
      <rPr>
        <b/>
        <sz val="10"/>
        <rFont val="Arial"/>
        <family val="2"/>
      </rPr>
      <t>RRCRR</t>
    </r>
    <r>
      <rPr>
        <sz val="10"/>
        <rFont val="Arial"/>
        <family val="2"/>
      </rPr>
      <t>)</t>
    </r>
  </si>
  <si>
    <r>
      <t>Retail CWIP Revenues (</t>
    </r>
    <r>
      <rPr>
        <b/>
        <sz val="10"/>
        <rFont val="Arial"/>
        <family val="2"/>
      </rPr>
      <t>RCR</t>
    </r>
    <r>
      <rPr>
        <sz val="10"/>
        <rFont val="Arial"/>
        <family val="2"/>
      </rPr>
      <t>)</t>
    </r>
  </si>
  <si>
    <r>
      <t xml:space="preserve">Total </t>
    </r>
    <r>
      <rPr>
        <b/>
        <sz val="10"/>
        <rFont val="Arial"/>
        <family val="2"/>
      </rPr>
      <t>RRCRR</t>
    </r>
  </si>
  <si>
    <t xml:space="preserve">Entries for </t>
  </si>
  <si>
    <t>May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</si>
  <si>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</si>
  <si>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</si>
  <si>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</si>
  <si>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</si>
  <si>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</si>
  <si>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</si>
  <si>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</si>
  <si>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</si>
  <si>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</si>
  <si>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Interest</t>
  </si>
  <si>
    <t>1st Quarter</t>
  </si>
  <si>
    <t>2nd Quarter</t>
  </si>
  <si>
    <t>3rd Quarter</t>
  </si>
  <si>
    <t>4th Quarter</t>
  </si>
  <si>
    <t>ISO Construction Work in Progress
Balancing Account (CWIPBA)</t>
  </si>
  <si>
    <t xml:space="preserve">     = (SIT + FIT + DT) x TxGU</t>
  </si>
  <si>
    <t xml:space="preserve">   = [(CWIP RRB x (MRRORB - MWt LTD)) +
      RIntCap] x STx; where:</t>
  </si>
  <si>
    <r>
      <t>T</t>
    </r>
    <r>
      <rPr>
        <sz val="10"/>
        <rFont val="Arial"/>
        <family val="2"/>
      </rPr>
      <t xml:space="preserve"> = (SIT + FIT + DT) x TxGU</t>
    </r>
  </si>
  <si>
    <r>
      <t>T</t>
    </r>
    <r>
      <rPr>
        <sz val="10"/>
        <rFont val="Arial"/>
        <family val="2"/>
      </rPr>
      <t xml:space="preserve"> = (SIT + FIT + DT) x TxGU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</si>
  <si>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</si>
  <si>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∑</t>
    </r>
    <r>
      <rPr>
        <sz val="10"/>
        <rFont val="Arial"/>
        <family val="2"/>
      </rPr>
      <t>[(CWIP RRBi x MRRORBi) + Ti]</t>
    </r>
  </si>
  <si>
    <t>RRCRR Calculation for</t>
  </si>
  <si>
    <t>http://www.ferc.gov/legal/acct-matts/interest-rates.asp</t>
  </si>
  <si>
    <t>Retail Customers</t>
  </si>
  <si>
    <t>January</t>
  </si>
  <si>
    <t>December</t>
  </si>
  <si>
    <t>RRCRR (Revenue Requirement)</t>
  </si>
  <si>
    <t>Under(Over) Collection</t>
  </si>
  <si>
    <t>Average Balance</t>
  </si>
  <si>
    <r>
      <t xml:space="preserve">Interest Rate </t>
    </r>
    <r>
      <rPr>
        <vertAlign val="superscript"/>
        <sz val="12"/>
        <rFont val="Arial"/>
        <family val="2"/>
      </rPr>
      <t>1/ 2/</t>
    </r>
  </si>
  <si>
    <t>Total Quarterly Interest</t>
  </si>
  <si>
    <r>
      <t xml:space="preserve">1 </t>
    </r>
    <r>
      <rPr>
        <sz val="11"/>
        <rFont val="Arial"/>
        <family val="2"/>
      </rPr>
      <t>Quarterly interest rates are published in the Federal Reserve Bulletin at website:</t>
    </r>
  </si>
  <si>
    <r>
      <t>2</t>
    </r>
    <r>
      <rPr>
        <sz val="11"/>
        <rFont val="Arial"/>
        <family val="2"/>
      </rPr>
      <t xml:space="preserve"> Federal Reserve quarterly interest rates:</t>
    </r>
  </si>
  <si>
    <t xml:space="preserve">   = [(CWIP RRB x (MRRORB - MWt LTD)) - SIT
       + RIntCap] x FTx; where:</t>
  </si>
  <si>
    <t>1.  RRCRR = Monthly recorded retail CWIP revenue requirement</t>
  </si>
  <si>
    <t xml:space="preserve">Return = </t>
  </si>
  <si>
    <r>
      <t xml:space="preserve">RRCRR </t>
    </r>
    <r>
      <rPr>
        <sz val="10"/>
        <rFont val="Arial"/>
        <family val="2"/>
      </rPr>
      <t xml:space="preserve">(Monthly CWIP Revenue Requirement) </t>
    </r>
    <r>
      <rPr>
        <b/>
        <sz val="10"/>
        <rFont val="Arial"/>
        <family val="2"/>
      </rPr>
      <t xml:space="preserve">= </t>
    </r>
  </si>
  <si>
    <t>PIN 4847</t>
  </si>
  <si>
    <t>End of
Month</t>
  </si>
  <si>
    <t>Total</t>
  </si>
  <si>
    <t>Accumulated
End of Month
Balance</t>
  </si>
  <si>
    <t>Dec - 07</t>
  </si>
  <si>
    <t>Jan - 08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</si>
  <si>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</si>
  <si>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</si>
  <si>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</si>
  <si>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</si>
  <si>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</si>
  <si>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</si>
  <si>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</si>
  <si>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</si>
  <si>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</si>
  <si>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 - 08</t>
  </si>
  <si>
    <t>PIN</t>
  </si>
  <si>
    <t xml:space="preserve"> 4928, 5453, 6434 (Segments 1-3)</t>
  </si>
  <si>
    <t xml:space="preserve"> 5471, 5472, 5243 (Segments 4-11)</t>
  </si>
  <si>
    <t>PIN 4935</t>
  </si>
  <si>
    <t>CWIP Deferred Tax Computation</t>
  </si>
  <si>
    <t>Composite Tax Rate</t>
  </si>
  <si>
    <t>Schedule M Deferred Tax Computation</t>
  </si>
  <si>
    <t>Deferred Tax
Expense at</t>
  </si>
  <si>
    <t>Nov - 07</t>
  </si>
  <si>
    <t>Pro-ration computation</t>
  </si>
  <si>
    <t>Deferred
Activity</t>
  </si>
  <si>
    <t>End of Month
Balance</t>
  </si>
  <si>
    <t>Proration
Percentage</t>
  </si>
  <si>
    <t>Monthly
Expense</t>
  </si>
  <si>
    <t>Prorated
Balance</t>
  </si>
  <si>
    <r>
      <t xml:space="preserve">Monthly
Interest
Capitalized </t>
    </r>
    <r>
      <rPr>
        <vertAlign val="superscript"/>
        <sz val="11"/>
        <rFont val="Arial"/>
        <family val="2"/>
      </rPr>
      <t>1</t>
    </r>
  </si>
  <si>
    <r>
      <t>1</t>
    </r>
    <r>
      <rPr>
        <vertAlign val="subscript"/>
        <sz val="10"/>
        <rFont val="Arial"/>
        <family val="2"/>
      </rPr>
      <t xml:space="preserve">  </t>
    </r>
    <r>
      <rPr>
        <sz val="10"/>
        <rFont val="Arial"/>
        <family val="2"/>
      </rPr>
      <t>Computed as prior month end balance multiplied by the monthly long term debt rate.</t>
    </r>
  </si>
  <si>
    <t>Beginning Rate Base Balance</t>
  </si>
  <si>
    <t>Ending Rate Base Balance</t>
  </si>
  <si>
    <r>
      <t xml:space="preserve">CWIP for </t>
    </r>
    <r>
      <rPr>
        <b/>
        <sz val="12"/>
        <rFont val="Arial"/>
        <family val="2"/>
      </rPr>
      <t>DPV2</t>
    </r>
  </si>
  <si>
    <r>
      <t xml:space="preserve">CWIP for </t>
    </r>
    <r>
      <rPr>
        <b/>
        <sz val="12"/>
        <rFont val="Arial"/>
        <family val="2"/>
      </rPr>
      <t>Tehachapi</t>
    </r>
  </si>
  <si>
    <r>
      <t xml:space="preserve">CWIP for </t>
    </r>
    <r>
      <rPr>
        <b/>
        <sz val="12"/>
        <rFont val="Arial"/>
        <family val="2"/>
      </rPr>
      <t>Rancho Vista</t>
    </r>
  </si>
  <si>
    <t xml:space="preserve"> Taxes      T = </t>
  </si>
  <si>
    <t xml:space="preserve">Total Return = </t>
  </si>
  <si>
    <t>Update Long Term Debt Rate Quarterly</t>
  </si>
  <si>
    <t>Accumulated</t>
  </si>
  <si>
    <t>AFUDC</t>
  </si>
  <si>
    <t>Rate</t>
  </si>
  <si>
    <t>Debt Rate</t>
  </si>
  <si>
    <t>Dpv2</t>
  </si>
  <si>
    <t>FF&amp;U</t>
  </si>
  <si>
    <t>1 - FF&amp;U</t>
  </si>
  <si>
    <t>Plant
Expenditure
(Loaded)</t>
  </si>
  <si>
    <t>Land
Expenditure
(Loaded)</t>
  </si>
  <si>
    <t>Note:</t>
  </si>
  <si>
    <t>Pre-August 31, 2005 recorded cost of $8,166,322.87 transferred to WO# 4585-9000</t>
  </si>
  <si>
    <t>Pre-August 31, 2005 recorded cost of $4,294,761.88 transferred to WO# 4644-9000</t>
  </si>
  <si>
    <t>Pre-August 31, 2005 recorded cost of $922,055.22 transferred to WO# 5047-9000</t>
  </si>
  <si>
    <r>
      <t xml:space="preserve">RCR </t>
    </r>
    <r>
      <rPr>
        <sz val="10"/>
        <rFont val="Arial"/>
        <family val="2"/>
      </rPr>
      <t xml:space="preserve">(Revenue)
</t>
    </r>
    <r>
      <rPr>
        <sz val="8"/>
        <rFont val="Arial"/>
        <family val="2"/>
      </rPr>
      <t>(without FF&amp;U)</t>
    </r>
  </si>
  <si>
    <t>2nd Qt</t>
  </si>
  <si>
    <t>3rd Qt</t>
  </si>
  <si>
    <t>4th Qt</t>
  </si>
  <si>
    <r>
      <t>ARCRR/RBTRR</t>
    </r>
    <r>
      <rPr>
        <sz val="10"/>
        <rFont val="Arial"/>
        <family val="2"/>
      </rPr>
      <t xml:space="preserve"> = </t>
    </r>
  </si>
  <si>
    <r>
      <t xml:space="preserve">ARCRR =
</t>
    </r>
    <r>
      <rPr>
        <sz val="8"/>
        <rFont val="Arial"/>
        <family val="2"/>
      </rPr>
      <t>(Authorized Retail CWIP Rev Req)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</si>
  <si>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Recorded Base Trans Revenue)</t>
    </r>
  </si>
  <si>
    <r>
      <t xml:space="preserve">Monthly Recoreded CWIP Revenue with FF&amp;U
</t>
    </r>
    <r>
      <rPr>
        <sz val="8"/>
        <rFont val="Arial"/>
        <family val="2"/>
      </rPr>
      <t>Line 5 x Line 6</t>
    </r>
  </si>
  <si>
    <t>Recorded</t>
  </si>
  <si>
    <t>RCR (CWIP Revenue without FF&amp;U)</t>
  </si>
  <si>
    <t>AFUDC DEBT</t>
  </si>
  <si>
    <t>AFUDC EQUITY</t>
  </si>
  <si>
    <t>DEBT Rate</t>
  </si>
  <si>
    <t>CWIP BOOK
Balance - EOM</t>
  </si>
  <si>
    <t>Accumulated
Interest
Capitalized - EOM</t>
  </si>
  <si>
    <t>Tax
CWIP - EOM</t>
  </si>
  <si>
    <t>Capitalized</t>
  </si>
  <si>
    <t>Interest (000,s)</t>
  </si>
  <si>
    <t>DEBT (000's)</t>
  </si>
  <si>
    <t>AFUDC (000"s)</t>
  </si>
  <si>
    <t>Ending Balance without interest</t>
  </si>
  <si>
    <t>Ending Month Balance with interest</t>
  </si>
  <si>
    <t>Jan - 09</t>
  </si>
  <si>
    <t>Dec - 09</t>
  </si>
  <si>
    <t>Long Term Debt Rate - 1st Qt - 08</t>
  </si>
  <si>
    <t>1st Qt - 09</t>
  </si>
  <si>
    <t>13 Mos. Average</t>
  </si>
  <si>
    <t>2009</t>
  </si>
  <si>
    <t>Composite Tax Rate-08</t>
  </si>
  <si>
    <t>Composite Tax Rate-09</t>
  </si>
  <si>
    <t>Deferred Tax
Effective Date</t>
  </si>
  <si>
    <t>For TRTP:</t>
  </si>
  <si>
    <t>For RV:</t>
  </si>
  <si>
    <t>13 Mos. Total</t>
  </si>
  <si>
    <t>Closing Date</t>
  </si>
  <si>
    <t>Accumulated End of Month Balance bf Closing</t>
  </si>
  <si>
    <t>Closing Amount</t>
  </si>
  <si>
    <t>Percentage</t>
  </si>
  <si>
    <t>Def Tax Bal bf Closing</t>
  </si>
  <si>
    <t>Adjustment to Def Tax Bal af Closing</t>
  </si>
  <si>
    <t>Adjusted Def Tax Bal af Closing</t>
  </si>
  <si>
    <t>Interest Cap bf Closing</t>
  </si>
  <si>
    <t>Interest Cap Adjustment</t>
  </si>
  <si>
    <t>Adjusted Interest Cap af Closing</t>
  </si>
  <si>
    <t>May - 09</t>
  </si>
  <si>
    <t>May Closing</t>
  </si>
  <si>
    <t>May Adjusted</t>
  </si>
  <si>
    <t>Jun - 09</t>
  </si>
  <si>
    <t>Jun Closing</t>
  </si>
  <si>
    <t>Jun Adjusted</t>
  </si>
  <si>
    <t>Aug Closing</t>
  </si>
  <si>
    <t>Aug Adjusted</t>
  </si>
  <si>
    <t>Aug - 08</t>
  </si>
  <si>
    <t>Oct - 09</t>
  </si>
  <si>
    <t>Nov - 09</t>
  </si>
  <si>
    <t>Oct Closing</t>
  </si>
  <si>
    <t>Oct Adjusted</t>
  </si>
  <si>
    <t>Nov Closing</t>
  </si>
  <si>
    <t>Nov Adjusted</t>
  </si>
  <si>
    <t>Jan - 10</t>
  </si>
  <si>
    <t>Dec - 10</t>
  </si>
  <si>
    <t>1st Qt - 10</t>
  </si>
  <si>
    <t>Composite Tax Rate-10</t>
  </si>
  <si>
    <t>Dec Closing</t>
  </si>
  <si>
    <t>Dec Adjusted</t>
  </si>
  <si>
    <t>2010</t>
  </si>
  <si>
    <t>D.C.</t>
  </si>
  <si>
    <t>Rounded Composite Tax Rate</t>
  </si>
  <si>
    <t>Long Term Debt Rate - 1st Qt - 2009</t>
  </si>
  <si>
    <t>Long Term Debt Rate - 1st Qt - 2010</t>
  </si>
  <si>
    <t>Composite Tax Rate - 09</t>
  </si>
  <si>
    <t xml:space="preserve"> </t>
  </si>
  <si>
    <t>Accumulated Difference (Return &amp; Taxes)</t>
  </si>
  <si>
    <t>Monthly Difference (Return &amp; Taxes)</t>
  </si>
  <si>
    <t>CWIP Balancing Account with ROE Orders</t>
  </si>
  <si>
    <t>Refund with Interest @ Ordered ROE</t>
  </si>
  <si>
    <t>Jan 2009 - May 2010</t>
  </si>
  <si>
    <t>Jun 2010 - Dec 2010</t>
  </si>
  <si>
    <r>
      <t xml:space="preserve">RRCRR (Revenue Requirement) @ 
</t>
    </r>
    <r>
      <rPr>
        <b/>
        <sz val="10"/>
        <color indexed="10"/>
        <rFont val="Arial"/>
        <family val="2"/>
      </rPr>
      <t>Modified Base ROE 9.54% (2008) and 10.30% (2009-2010)</t>
    </r>
  </si>
  <si>
    <t>DPV2*</t>
  </si>
  <si>
    <t>*Includes updated basis point change from 125 to 100 effective June 2010 from 2010 CWIP Settlement Terms</t>
  </si>
  <si>
    <t>Jan 2011 - Dec 2011</t>
  </si>
  <si>
    <t>DCR</t>
  </si>
  <si>
    <t>EITP</t>
  </si>
  <si>
    <t>Lugo-Pisgah</t>
  </si>
  <si>
    <t>Red Bluff</t>
  </si>
  <si>
    <t>Eldorado-Ivanpah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</si>
  <si>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 xml:space="preserve">= </t>
    </r>
    <r>
      <rPr>
        <sz val="10"/>
        <rFont val="Arial"/>
        <family val="2"/>
      </rPr>
      <t>[(CWIP RRB x MRRORB) + T]</t>
    </r>
  </si>
  <si>
    <r>
      <t>CWIP  RRB</t>
    </r>
    <r>
      <rPr>
        <sz val="10"/>
        <rFont val="Arial"/>
        <family val="2"/>
      </rPr>
      <t xml:space="preserve"> = (Current Month Beginning Balance +
Current Month Ending Balance) / 2</t>
    </r>
  </si>
  <si>
    <r>
      <t>MRRORB</t>
    </r>
    <r>
      <rPr>
        <sz val="10"/>
        <rFont val="Arial"/>
        <family val="2"/>
      </rPr>
      <t xml:space="preserve"> = Authorized Annual Rate of Return
                              on Rate Base divided by 12</t>
    </r>
  </si>
  <si>
    <r>
      <t>T</t>
    </r>
    <r>
      <rPr>
        <sz val="10"/>
        <rFont val="Arial"/>
        <family val="2"/>
      </rPr>
      <t xml:space="preserve"> = Taxes based on Income</t>
    </r>
  </si>
  <si>
    <t>For Eldorado-Ivanpah:</t>
  </si>
  <si>
    <r>
      <t>RRCRR</t>
    </r>
    <r>
      <rPr>
        <sz val="10"/>
        <rFont val="Arial"/>
        <family val="2"/>
      </rPr>
      <t xml:space="preserve"> </t>
    </r>
    <r>
      <rPr>
        <sz val="12"/>
        <rFont val="Arial"/>
        <family val="2"/>
      </rPr>
      <t>=</t>
    </r>
    <r>
      <rPr>
        <sz val="10"/>
        <rFont val="Arial"/>
        <family val="2"/>
      </rPr>
      <t xml:space="preserve"> Monthly recorded retail revenue requirement for CWIP</t>
    </r>
  </si>
  <si>
    <t>For Lugo-Pisgah:</t>
  </si>
  <si>
    <t>CWIP for Eldorado Ivanpah</t>
  </si>
  <si>
    <t>Jan - 11</t>
  </si>
  <si>
    <t>Dec - 11</t>
  </si>
  <si>
    <t>CWIP for Lugo-Pisgah</t>
  </si>
  <si>
    <t>CWIP for Red Bluff</t>
  </si>
  <si>
    <t>Eldorado Ivanpah</t>
  </si>
  <si>
    <t>Long Term Debt Rate - 4th Qt - 10</t>
  </si>
  <si>
    <t>1st Qt - 11</t>
  </si>
  <si>
    <t>Composite Tax Rate -11</t>
  </si>
  <si>
    <t>Composite Tax Rate - 11</t>
  </si>
  <si>
    <t>Composite Tax Rate - 10</t>
  </si>
  <si>
    <t>Long Term Debt Rate - 1st Qt - 2011</t>
  </si>
  <si>
    <t>Composite Tax Rate-11</t>
  </si>
  <si>
    <t>Long Term Debt Rate - 4th Qt - 2010</t>
  </si>
  <si>
    <t>2011</t>
  </si>
  <si>
    <t>Nov - 10</t>
  </si>
  <si>
    <t>CWIP Projects</t>
  </si>
  <si>
    <t>AFUDC (000's)</t>
  </si>
  <si>
    <t>Long Term Debt Rate - 1st Qt - 10</t>
  </si>
  <si>
    <t>PIN 6929</t>
  </si>
  <si>
    <t>PIN 6551</t>
  </si>
  <si>
    <t>PIN 6123</t>
  </si>
  <si>
    <t>12 Mos. Total</t>
  </si>
  <si>
    <t>12 Mos. Average</t>
  </si>
  <si>
    <r>
      <t xml:space="preserve">RBTRR =
</t>
    </r>
    <r>
      <rPr>
        <sz val="8"/>
        <rFont val="Arial"/>
        <family val="2"/>
      </rPr>
      <t>(Retail Base Transmission Revenue Requirement)</t>
    </r>
  </si>
  <si>
    <t>Whirlwind</t>
  </si>
  <si>
    <t>Colorado River</t>
  </si>
  <si>
    <t>South of Kramer</t>
  </si>
  <si>
    <t>West of Devers</t>
  </si>
  <si>
    <t>For Whirlwind:</t>
  </si>
  <si>
    <t>For Red Bluff:</t>
  </si>
  <si>
    <t>CWIP for Whirlwind</t>
  </si>
  <si>
    <t xml:space="preserve">PIN </t>
  </si>
  <si>
    <t>Mar - 11</t>
  </si>
  <si>
    <t xml:space="preserve">CWIP for Colorado River </t>
  </si>
  <si>
    <t>CWIP for South of Kramer</t>
  </si>
  <si>
    <t>CWIP for West of Devers</t>
  </si>
  <si>
    <t>South of 
Kramer</t>
  </si>
  <si>
    <t>West of 
Devers</t>
  </si>
  <si>
    <t>Mar- 11</t>
  </si>
  <si>
    <t>10 Mos. Total</t>
  </si>
  <si>
    <t>10 Mos. Average</t>
  </si>
  <si>
    <t>Long Term Debt Rate - 1st Qt - 11</t>
  </si>
  <si>
    <t>Dec -11</t>
  </si>
  <si>
    <t>For South of Kramer:</t>
  </si>
  <si>
    <t>For Colorado River Substation:</t>
  </si>
  <si>
    <t>For West of Devers:</t>
  </si>
  <si>
    <t>Apr Closing</t>
  </si>
  <si>
    <t>Apr Adjusted</t>
  </si>
  <si>
    <t>Land</t>
  </si>
  <si>
    <t>Plant</t>
  </si>
  <si>
    <t>Rancho Vista Transfers from CWIP to PLANT</t>
  </si>
  <si>
    <t>Tehachapi Transfers from CWIP to PLANT</t>
  </si>
  <si>
    <t>DPV2 Transfers from CWIP to PLANT</t>
  </si>
  <si>
    <t>/------------------ (In Whole $$$'s) ------------------\</t>
  </si>
  <si>
    <t>Tax Int Cap</t>
  </si>
  <si>
    <t>2011 ETC One Time Revenue Credit</t>
  </si>
  <si>
    <t>CWIP Balancing Account Ending Balance to be transferred to Formula Rate</t>
  </si>
  <si>
    <r>
      <t>RCR</t>
    </r>
    <r>
      <rPr>
        <sz val="10"/>
        <rFont val="Arial"/>
        <family val="2"/>
      </rPr>
      <t xml:space="preserve"> =
Monthly Recorded CWIP Revenue without FF&amp;U
</t>
    </r>
    <r>
      <rPr>
        <sz val="8"/>
        <rFont val="Arial"/>
        <family val="2"/>
      </rPr>
      <t>Line 7 x Line 9</t>
    </r>
  </si>
  <si>
    <r>
      <t xml:space="preserve">RRCRR (Revenue Requirement) </t>
    </r>
    <r>
      <rPr>
        <b/>
        <sz val="10"/>
        <color rgb="FFFF0000"/>
        <rFont val="Arial"/>
        <family val="2"/>
      </rPr>
      <t xml:space="preserve">@ </t>
    </r>
    <r>
      <rPr>
        <b/>
        <sz val="10"/>
        <color indexed="10"/>
        <rFont val="Arial"/>
        <family val="2"/>
      </rPr>
      <t>ROE 9.54% (2008), 10.04% (Jan 2009 - May 2010), 10.33% (Jun 2010 - Dec 2010), and 10.3% (Jan 2011-Dec 2011)</t>
    </r>
  </si>
  <si>
    <t>Variance in Recorded and Forecast CWIP Revenue</t>
  </si>
  <si>
    <r>
      <rPr>
        <b/>
        <sz val="10"/>
        <rFont val="Arial"/>
        <family val="2"/>
      </rPr>
      <t>RCR = Monthly Recorded CWIP Revenue without FF&amp;U</t>
    </r>
    <r>
      <rPr>
        <sz val="10"/>
        <rFont val="Arial"/>
        <family val="2"/>
      </rPr>
      <t xml:space="preserve">
(</t>
    </r>
    <r>
      <rPr>
        <sz val="8"/>
        <rFont val="Arial"/>
        <family val="2"/>
      </rPr>
      <t>Exclusive of Refunds)</t>
    </r>
  </si>
  <si>
    <t>Forecast Monthly CWIP Revenue
Based on Jan 18, 2011 Compliance Filing In ER11-1952
Statement BG - Revised</t>
  </si>
  <si>
    <t>Variance in Recorded and Forecast CWIP Plant</t>
  </si>
  <si>
    <r>
      <rPr>
        <b/>
        <sz val="10"/>
        <rFont val="Arial"/>
        <family val="2"/>
      </rPr>
      <t>Forecast CWIP Additions</t>
    </r>
    <r>
      <rPr>
        <sz val="10"/>
        <rFont val="Arial"/>
        <family val="2"/>
      </rPr>
      <t xml:space="preserve"> - Statement BK Wkpp
2011 CWIP Rate Update Filing, ER11-1952, Volume 3</t>
    </r>
  </si>
  <si>
    <t>Total Forecast Plant - All Projects</t>
  </si>
  <si>
    <t>Recorded CWIP Additions</t>
  </si>
  <si>
    <t>Total Recorded Plant - All Projects</t>
  </si>
  <si>
    <r>
      <t xml:space="preserve">DPV2 - </t>
    </r>
    <r>
      <rPr>
        <b/>
        <sz val="16"/>
        <color indexed="10"/>
        <rFont val="Arial"/>
        <family val="2"/>
      </rPr>
      <t>As Authorized</t>
    </r>
  </si>
  <si>
    <r>
      <t xml:space="preserve">Tehachapi - </t>
    </r>
    <r>
      <rPr>
        <b/>
        <sz val="16"/>
        <color indexed="10"/>
        <rFont val="Arial"/>
        <family val="2"/>
      </rPr>
      <t>As Authorized</t>
    </r>
  </si>
  <si>
    <r>
      <t xml:space="preserve">Rancho Vista - </t>
    </r>
    <r>
      <rPr>
        <b/>
        <sz val="16"/>
        <color indexed="10"/>
        <rFont val="Arial"/>
        <family val="2"/>
      </rPr>
      <t>As Authorized</t>
    </r>
  </si>
  <si>
    <r>
      <t xml:space="preserve">Eldorado-Ivanpah - </t>
    </r>
    <r>
      <rPr>
        <b/>
        <sz val="16"/>
        <color indexed="10"/>
        <rFont val="Arial"/>
        <family val="2"/>
      </rPr>
      <t>As Authorized</t>
    </r>
  </si>
  <si>
    <r>
      <t xml:space="preserve">Lugo-Pisgah - </t>
    </r>
    <r>
      <rPr>
        <b/>
        <sz val="16"/>
        <color indexed="10"/>
        <rFont val="Arial"/>
        <family val="2"/>
      </rPr>
      <t>As Authorized</t>
    </r>
  </si>
  <si>
    <r>
      <t xml:space="preserve">Red Bluff - </t>
    </r>
    <r>
      <rPr>
        <b/>
        <sz val="16"/>
        <color indexed="10"/>
        <rFont val="Arial"/>
        <family val="2"/>
      </rPr>
      <t>As Authorized</t>
    </r>
  </si>
  <si>
    <r>
      <t xml:space="preserve">Whirlwind - </t>
    </r>
    <r>
      <rPr>
        <b/>
        <sz val="16"/>
        <color indexed="10"/>
        <rFont val="Arial"/>
        <family val="2"/>
      </rPr>
      <t>As Authorized</t>
    </r>
  </si>
  <si>
    <r>
      <t>Colorado River Sub -</t>
    </r>
    <r>
      <rPr>
        <b/>
        <sz val="10"/>
        <rFont val="Arial"/>
        <family val="2"/>
      </rPr>
      <t xml:space="preserve"> </t>
    </r>
    <r>
      <rPr>
        <b/>
        <sz val="16"/>
        <color indexed="10"/>
        <rFont val="Arial"/>
        <family val="2"/>
      </rPr>
      <t>As Authorized</t>
    </r>
  </si>
  <si>
    <r>
      <t xml:space="preserve">South of Kramer - </t>
    </r>
    <r>
      <rPr>
        <b/>
        <sz val="16"/>
        <color indexed="10"/>
        <rFont val="Arial"/>
        <family val="2"/>
      </rPr>
      <t>As Authorized</t>
    </r>
  </si>
  <si>
    <r>
      <t xml:space="preserve">West of Devers - </t>
    </r>
    <r>
      <rPr>
        <b/>
        <sz val="16"/>
        <color indexed="10"/>
        <rFont val="Arial"/>
        <family val="2"/>
      </rPr>
      <t>As Authorized</t>
    </r>
  </si>
  <si>
    <r>
      <t>CWIP  RRB</t>
    </r>
    <r>
      <rPr>
        <sz val="10"/>
        <rFont val="Arial"/>
        <family val="2"/>
      </rPr>
      <t xml:space="preserve"> = (Current Month Beginning Balance + Current Month Ending Balance) / 2</t>
    </r>
  </si>
  <si>
    <t>As Authorized (9.54% Base ROE)</t>
  </si>
  <si>
    <t>As Authorized</t>
  </si>
  <si>
    <t>As Authorized (10.04% Base ROE)</t>
  </si>
  <si>
    <r>
      <t xml:space="preserve">Variance in Recorded and Forecast CWIP Plant
</t>
    </r>
    <r>
      <rPr>
        <sz val="8"/>
        <rFont val="Arial"/>
        <family val="2"/>
      </rPr>
      <t>Line 12 minus Line 25</t>
    </r>
  </si>
  <si>
    <t>As Authorized (10.33% Base ROE)</t>
  </si>
  <si>
    <t>As Authorized (10.3% Base ROE)</t>
  </si>
  <si>
    <r>
      <rPr>
        <b/>
        <sz val="10"/>
        <rFont val="Arial"/>
        <family val="2"/>
      </rPr>
      <t>Monthly Forecast Revenue without FF&amp;U</t>
    </r>
    <r>
      <rPr>
        <sz val="10"/>
        <rFont val="Arial"/>
        <family val="2"/>
      </rPr>
      <t xml:space="preserve">
</t>
    </r>
    <r>
      <rPr>
        <sz val="8"/>
        <rFont val="Arial"/>
        <family val="2"/>
      </rPr>
      <t>Line 6 x Line 8</t>
    </r>
  </si>
  <si>
    <r>
      <t xml:space="preserve">Variance in Recorded and Forecast CWIP Revenue
</t>
    </r>
    <r>
      <rPr>
        <sz val="8"/>
        <rFont val="Arial"/>
        <family val="2"/>
      </rPr>
      <t>Line 9 minus Line 12</t>
    </r>
  </si>
  <si>
    <r>
      <t>BRBTR</t>
    </r>
    <r>
      <rPr>
        <sz val="10"/>
        <rFont val="Arial"/>
        <family val="2"/>
      </rPr>
      <t xml:space="preserve"> = 
</t>
    </r>
    <r>
      <rPr>
        <sz val="8"/>
        <rFont val="Arial"/>
        <family val="2"/>
      </rPr>
      <t>(Monthly Forecasted Base Trans Revenue)</t>
    </r>
  </si>
  <si>
    <r>
      <t xml:space="preserve">Monthly Forecasted CWIP Revenue with FF&amp;U
</t>
    </r>
    <r>
      <rPr>
        <sz val="8"/>
        <rFont val="Arial"/>
        <family val="2"/>
      </rPr>
      <t>Line 5 x Line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</si>
</sst>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%"/>
    <numFmt numFmtId="166" formatCode="0.0000%"/>
    <numFmt numFmtId="167" formatCode="_(* #,##0.000_);_(* \(#,##0.000\);_(* &quot;-&quot;??_);_(@_)"/>
    <numFmt numFmtId="168" formatCode="_(* #,##0.0_);_(* \(#,##0.0\);_(* &quot;-&quot;??_);_(@_)"/>
    <numFmt numFmtId="169" formatCode="_(* #,##0_);_(* \(#,##0\);_(* &quot;-&quot;??_);_(@_)"/>
    <numFmt numFmtId="170" formatCode="0.00000%"/>
    <numFmt numFmtId="171" formatCode="0.0"/>
    <numFmt numFmtId="172" formatCode="[$-409]mmmm\-yy;@"/>
    <numFmt numFmtId="173" formatCode="0.00%;[Red]\-0.00%"/>
    <numFmt numFmtId="174" formatCode="0_);[Red]\(0\)"/>
    <numFmt numFmtId="175" formatCode="0.000\ \¢"/>
    <numFmt numFmtId="176" formatCode="#,##0.00&quot; $&quot;;\-#,##0.00&quot; $&quot;"/>
    <numFmt numFmtId="177" formatCode="m\-d\-yy"/>
    <numFmt numFmtId="178" formatCode="&quot;$&quot;#,##0.00;\-&quot;$&quot;#,##0.00"/>
    <numFmt numFmtId="179" formatCode="0.000000%"/>
    <numFmt numFmtId="180" formatCode="_(* #,##0.0_);_(* \(#,##0.0\);_(* &quot;-&quot;_);_(@_)"/>
    <numFmt numFmtId="181" formatCode="#,##0.000"/>
    <numFmt numFmtId="182" formatCode="_(* #,##0.0_);_(* \(#,##0.0\);_(* &quot;-&quot;?_);_(@_)"/>
    <numFmt numFmtId="183" formatCode="_(* #,##0.000_);_(* \(#,##0.000\);_(* &quot;-&quot;_);_(@_)"/>
    <numFmt numFmtId="184" formatCode="_(* #,##0.00000_);_(* \(#,##0.00000\);_(* &quot;-&quot;_);_(@_)"/>
    <numFmt numFmtId="185" formatCode="_(* #,##0.000_);_(* \(#,##0.000\);_(* &quot;-&quot;???_);_(@_)"/>
    <numFmt numFmtId="186" formatCode="[$-409]mmm\-yy;@"/>
    <numFmt numFmtId="187" formatCode="#,##0.000_);\(#,##0.000\)"/>
    <numFmt numFmtId="188" formatCode="_(&quot;$&quot;* #,##0_);_(&quot;$&quot;* \(#,##0\);_(&quot;$&quot;* &quot;-&quot;??_);_(@_)"/>
    <numFmt numFmtId="189" formatCode="_(&quot;$&quot;* #,##0.00000_);_(&quot;$&quot;* \(#,##0.00000\);_(&quot;$&quot;* &quot;-&quot;??_);_(@_)"/>
    <numFmt numFmtId="190" formatCode="#,##0.0_);\(#,##0.0\)"/>
  </numFmts>
  <fonts count="58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indexed="81"/>
      <name val="Tahoma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indexed="4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Geneva"/>
    </font>
    <font>
      <b/>
      <sz val="12"/>
      <color indexed="12"/>
      <name val="Arial"/>
      <family val="2"/>
    </font>
    <font>
      <sz val="12"/>
      <color indexed="12"/>
      <name val="Arial"/>
      <family val="2"/>
    </font>
    <font>
      <vertAlign val="superscript"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u/>
      <sz val="10"/>
      <color indexed="12"/>
      <name val="Arial"/>
      <family val="2"/>
    </font>
    <font>
      <vertAlign val="superscript"/>
      <sz val="11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u/>
      <sz val="12"/>
      <color indexed="12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0"/>
      <name val="New Century Schlbk"/>
    </font>
    <font>
      <sz val="11"/>
      <name val="??"/>
      <family val="3"/>
    </font>
    <font>
      <sz val="12"/>
      <name val="Helv"/>
    </font>
    <font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Arial"/>
      <family val="2"/>
    </font>
    <font>
      <sz val="11"/>
      <color indexed="81"/>
      <name val="Tahoma"/>
      <family val="2"/>
    </font>
    <font>
      <sz val="12"/>
      <color indexed="81"/>
      <name val="Tahoma"/>
      <family val="2"/>
    </font>
    <font>
      <sz val="11"/>
      <color indexed="10"/>
      <name val="Arial"/>
      <family val="2"/>
    </font>
    <font>
      <b/>
      <sz val="16"/>
      <color indexed="10"/>
      <name val="Arial"/>
      <family val="2"/>
    </font>
    <font>
      <b/>
      <sz val="12"/>
      <color indexed="10"/>
      <name val="Arial"/>
      <family val="2"/>
    </font>
    <font>
      <sz val="11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color rgb="FF0000FF"/>
      <name val="Arial"/>
      <family val="2"/>
    </font>
    <font>
      <sz val="10"/>
      <color rgb="FF0000FF"/>
      <name val="Arial"/>
      <family val="2"/>
    </font>
    <font>
      <sz val="11"/>
      <color rgb="FFFF0000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99CC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177" fontId="23" fillId="2" borderId="1">
      <alignment horizontal="center" vertical="center"/>
    </xf>
    <xf numFmtId="175" fontId="1" fillId="0" borderId="0"/>
    <xf numFmtId="43" fontId="1" fillId="0" borderId="0" applyFont="0" applyFill="0" applyBorder="0" applyAlignment="0" applyProtection="0"/>
    <xf numFmtId="3" fontId="24" fillId="0" borderId="0" applyFont="0" applyFill="0" applyBorder="0" applyProtection="0">
      <alignment horizontal="right"/>
    </xf>
    <xf numFmtId="178" fontId="25" fillId="0" borderId="0" applyFont="0" applyFill="0" applyBorder="0" applyAlignment="0" applyProtection="0"/>
    <xf numFmtId="6" fontId="26" fillId="0" borderId="0">
      <protection locked="0"/>
    </xf>
    <xf numFmtId="4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176" fontId="1" fillId="0" borderId="0">
      <protection locked="0"/>
    </xf>
    <xf numFmtId="176" fontId="1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3" fontId="20" fillId="0" borderId="0"/>
    <xf numFmtId="0" fontId="12" fillId="0" borderId="0"/>
    <xf numFmtId="9" fontId="1" fillId="0" borderId="0" applyFont="0" applyFill="0" applyBorder="0" applyAlignment="0" applyProtection="0"/>
    <xf numFmtId="9" fontId="1" fillId="0" borderId="0"/>
    <xf numFmtId="176" fontId="1" fillId="0" borderId="2">
      <protection locked="0"/>
    </xf>
    <xf numFmtId="0" fontId="8" fillId="0" borderId="0"/>
    <xf numFmtId="43" fontId="8" fillId="0" borderId="0" applyFont="0" applyFill="0" applyBorder="0" applyAlignment="0" applyProtection="0"/>
    <xf numFmtId="44" fontId="52" fillId="0" borderId="0" applyFont="0" applyFill="0" applyBorder="0" applyAlignment="0" applyProtection="0"/>
  </cellStyleXfs>
  <cellXfs count="79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left" indent="1"/>
    </xf>
    <xf numFmtId="43" fontId="3" fillId="0" borderId="0" xfId="3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9" fontId="5" fillId="0" borderId="0" xfId="3" applyNumberFormat="1" applyFont="1"/>
    <xf numFmtId="169" fontId="5" fillId="0" borderId="3" xfId="3" applyNumberFormat="1" applyFont="1" applyBorder="1"/>
    <xf numFmtId="169" fontId="0" fillId="0" borderId="0" xfId="3" applyNumberFormat="1" applyFont="1"/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 wrapText="1" indent="3"/>
    </xf>
    <xf numFmtId="0" fontId="0" fillId="0" borderId="0" xfId="0" quotePrefix="1" applyAlignment="1">
      <alignment horizontal="left" wrapText="1" indent="3"/>
    </xf>
    <xf numFmtId="10" fontId="0" fillId="0" borderId="0" xfId="0" applyNumberFormat="1"/>
    <xf numFmtId="166" fontId="0" fillId="0" borderId="0" xfId="14" applyNumberFormat="1" applyFont="1"/>
    <xf numFmtId="0" fontId="0" fillId="0" borderId="0" xfId="0" applyAlignment="1">
      <alignment horizontal="left" indent="3"/>
    </xf>
    <xf numFmtId="0" fontId="8" fillId="0" borderId="0" xfId="0" applyFont="1" applyAlignment="1">
      <alignment horizontal="center"/>
    </xf>
    <xf numFmtId="0" fontId="9" fillId="0" borderId="0" xfId="0" applyNumberFormat="1" applyFont="1" applyAlignment="1" applyProtection="1">
      <alignment horizontal="left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43" fontId="8" fillId="0" borderId="5" xfId="3" applyFont="1" applyBorder="1" applyAlignment="1" applyProtection="1">
      <alignment horizontal="center" vertical="center"/>
    </xf>
    <xf numFmtId="43" fontId="8" fillId="0" borderId="6" xfId="3" applyFont="1" applyBorder="1" applyAlignment="1" applyProtection="1">
      <alignment horizontal="center" vertical="center"/>
    </xf>
    <xf numFmtId="43" fontId="8" fillId="0" borderId="7" xfId="3" applyFont="1" applyBorder="1" applyAlignment="1" applyProtection="1">
      <alignment horizontal="center" vertical="center" wrapText="1"/>
    </xf>
    <xf numFmtId="0" fontId="2" fillId="0" borderId="3" xfId="13" applyFont="1" applyBorder="1" applyAlignment="1"/>
    <xf numFmtId="0" fontId="13" fillId="0" borderId="0" xfId="0" applyFont="1"/>
    <xf numFmtId="0" fontId="3" fillId="0" borderId="0" xfId="0" applyNumberFormat="1" applyFont="1" applyAlignment="1" applyProtection="1">
      <alignment horizontal="left"/>
    </xf>
    <xf numFmtId="0" fontId="3" fillId="0" borderId="0" xfId="0" applyNumberFormat="1" applyFont="1" applyAlignment="1" applyProtection="1">
      <alignment horizontal="left" indent="1"/>
    </xf>
    <xf numFmtId="166" fontId="14" fillId="0" borderId="0" xfId="14" applyNumberFormat="1" applyFont="1" applyAlignment="1">
      <alignment horizontal="right" indent="1"/>
    </xf>
    <xf numFmtId="166" fontId="3" fillId="0" borderId="0" xfId="14" applyNumberFormat="1" applyFont="1" applyAlignment="1">
      <alignment horizontal="right" indent="1"/>
    </xf>
    <xf numFmtId="166" fontId="14" fillId="0" borderId="3" xfId="14" applyNumberFormat="1" applyFont="1" applyBorder="1" applyAlignment="1">
      <alignment horizontal="right" indent="1"/>
    </xf>
    <xf numFmtId="166" fontId="3" fillId="0" borderId="3" xfId="14" applyNumberFormat="1" applyFont="1" applyBorder="1" applyAlignment="1">
      <alignment horizontal="right" indent="1"/>
    </xf>
    <xf numFmtId="0" fontId="3" fillId="0" borderId="0" xfId="0" applyFont="1" applyAlignment="1">
      <alignment horizontal="left"/>
    </xf>
    <xf numFmtId="166" fontId="3" fillId="0" borderId="0" xfId="14" applyNumberFormat="1" applyFont="1" applyBorder="1" applyAlignment="1">
      <alignment horizontal="right" indent="1"/>
    </xf>
    <xf numFmtId="166" fontId="3" fillId="0" borderId="8" xfId="14" applyNumberFormat="1" applyFont="1" applyBorder="1" applyAlignment="1">
      <alignment horizontal="right" indent="1"/>
    </xf>
    <xf numFmtId="0" fontId="3" fillId="0" borderId="0" xfId="13" applyFont="1" applyAlignment="1"/>
    <xf numFmtId="10" fontId="14" fillId="0" borderId="0" xfId="13" applyNumberFormat="1" applyFont="1" applyAlignment="1">
      <alignment horizontal="right" indent="1"/>
    </xf>
    <xf numFmtId="164" fontId="14" fillId="0" borderId="3" xfId="13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2" fillId="0" borderId="0" xfId="13" applyFont="1" applyBorder="1" applyAlignment="1">
      <alignment horizontal="left" vertical="center"/>
    </xf>
    <xf numFmtId="0" fontId="3" fillId="0" borderId="9" xfId="13" applyFont="1" applyBorder="1" applyAlignment="1">
      <alignment horizontal="center"/>
    </xf>
    <xf numFmtId="165" fontId="14" fillId="0" borderId="0" xfId="13" applyNumberFormat="1" applyFont="1" applyBorder="1" applyAlignment="1">
      <alignment horizontal="right" indent="1"/>
    </xf>
    <xf numFmtId="10" fontId="14" fillId="0" borderId="0" xfId="13" applyNumberFormat="1" applyFont="1" applyBorder="1" applyAlignment="1">
      <alignment horizontal="right" indent="1"/>
    </xf>
    <xf numFmtId="10" fontId="3" fillId="0" borderId="0" xfId="13" applyNumberFormat="1" applyFont="1" applyBorder="1" applyAlignment="1">
      <alignment horizontal="right" indent="1"/>
    </xf>
    <xf numFmtId="10" fontId="3" fillId="3" borderId="10" xfId="13" applyNumberFormat="1" applyFont="1" applyFill="1" applyBorder="1" applyAlignment="1">
      <alignment horizontal="right" indent="1"/>
    </xf>
    <xf numFmtId="164" fontId="3" fillId="0" borderId="0" xfId="13" applyNumberFormat="1" applyFont="1" applyBorder="1" applyAlignment="1">
      <alignment horizontal="right" indent="1"/>
    </xf>
    <xf numFmtId="166" fontId="3" fillId="0" borderId="0" xfId="13" applyNumberFormat="1" applyFont="1" applyBorder="1" applyAlignment="1">
      <alignment horizontal="right" indent="1"/>
    </xf>
    <xf numFmtId="164" fontId="14" fillId="0" borderId="0" xfId="13" applyNumberFormat="1" applyFont="1" applyBorder="1" applyAlignment="1">
      <alignment horizontal="right" indent="1"/>
    </xf>
    <xf numFmtId="164" fontId="3" fillId="0" borderId="0" xfId="13" applyNumberFormat="1" applyFont="1" applyFill="1" applyBorder="1" applyAlignment="1">
      <alignment horizontal="right" indent="1"/>
    </xf>
    <xf numFmtId="165" fontId="3" fillId="0" borderId="0" xfId="13" applyNumberFormat="1" applyFont="1" applyBorder="1" applyAlignment="1">
      <alignment horizontal="right" indent="1"/>
    </xf>
    <xf numFmtId="10" fontId="14" fillId="0" borderId="0" xfId="13" applyNumberFormat="1" applyFont="1" applyFill="1" applyBorder="1" applyAlignment="1">
      <alignment horizontal="right" indent="1"/>
    </xf>
    <xf numFmtId="0" fontId="0" fillId="0" borderId="0" xfId="0" applyAlignment="1">
      <alignment horizontal="right" wrapText="1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5" fillId="0" borderId="0" xfId="0" applyFont="1" applyFill="1" applyBorder="1"/>
    <xf numFmtId="166" fontId="0" fillId="0" borderId="0" xfId="14" applyNumberFormat="1" applyFont="1" applyFill="1" applyBorder="1"/>
    <xf numFmtId="0" fontId="0" fillId="0" borderId="0" xfId="0" applyAlignment="1"/>
    <xf numFmtId="43" fontId="0" fillId="0" borderId="0" xfId="0" applyNumberFormat="1"/>
    <xf numFmtId="43" fontId="0" fillId="3" borderId="9" xfId="3" applyFont="1" applyFill="1" applyBorder="1"/>
    <xf numFmtId="168" fontId="0" fillId="0" borderId="0" xfId="3" applyNumberFormat="1" applyFont="1" applyFill="1" applyBorder="1"/>
    <xf numFmtId="168" fontId="0" fillId="0" borderId="0" xfId="3" applyNumberFormat="1" applyFont="1"/>
    <xf numFmtId="0" fontId="11" fillId="0" borderId="0" xfId="0" applyFont="1" applyAlignment="1">
      <alignment horizontal="right"/>
    </xf>
    <xf numFmtId="169" fontId="0" fillId="4" borderId="9" xfId="3" applyNumberFormat="1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168" fontId="0" fillId="0" borderId="0" xfId="0" applyNumberFormat="1"/>
    <xf numFmtId="168" fontId="0" fillId="4" borderId="9" xfId="0" applyNumberFormat="1" applyFill="1" applyBorder="1"/>
    <xf numFmtId="0" fontId="11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left" indent="1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/>
    <xf numFmtId="0" fontId="10" fillId="0" borderId="3" xfId="0" applyFont="1" applyBorder="1" applyAlignment="1">
      <alignment horizontal="left"/>
    </xf>
    <xf numFmtId="169" fontId="1" fillId="0" borderId="0" xfId="3" applyNumberFormat="1"/>
    <xf numFmtId="169" fontId="1" fillId="4" borderId="9" xfId="3" applyNumberFormat="1" applyFill="1" applyBorder="1"/>
    <xf numFmtId="166" fontId="1" fillId="0" borderId="0" xfId="14" applyNumberFormat="1"/>
    <xf numFmtId="166" fontId="1" fillId="0" borderId="0" xfId="14" applyNumberFormat="1" applyFill="1" applyBorder="1"/>
    <xf numFmtId="43" fontId="1" fillId="3" borderId="9" xfId="3" applyFill="1" applyBorder="1"/>
    <xf numFmtId="0" fontId="2" fillId="0" borderId="0" xfId="0" applyFont="1" applyBorder="1" applyAlignment="1">
      <alignment wrapText="1"/>
    </xf>
    <xf numFmtId="0" fontId="4" fillId="0" borderId="0" xfId="0" applyFont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166" fontId="1" fillId="4" borderId="9" xfId="14" applyNumberFormat="1" applyFont="1" applyFill="1" applyBorder="1"/>
    <xf numFmtId="0" fontId="1" fillId="0" borderId="0" xfId="0" applyFont="1" applyAlignment="1">
      <alignment horizontal="left" indent="1"/>
    </xf>
    <xf numFmtId="10" fontId="1" fillId="0" borderId="0" xfId="0" applyNumberFormat="1" applyFont="1"/>
    <xf numFmtId="171" fontId="0" fillId="3" borderId="9" xfId="0" applyNumberFormat="1" applyFill="1" applyBorder="1"/>
    <xf numFmtId="10" fontId="1" fillId="0" borderId="0" xfId="14" applyNumberFormat="1" applyFont="1"/>
    <xf numFmtId="168" fontId="1" fillId="0" borderId="0" xfId="3" applyNumberFormat="1" applyFill="1" applyBorder="1"/>
    <xf numFmtId="168" fontId="1" fillId="0" borderId="0" xfId="3" applyNumberFormat="1"/>
    <xf numFmtId="0" fontId="0" fillId="0" borderId="3" xfId="0" applyBorder="1" applyAlignment="1">
      <alignment horizontal="center"/>
    </xf>
    <xf numFmtId="168" fontId="0" fillId="0" borderId="0" xfId="3" applyNumberFormat="1" applyFont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left" vertical="top" wrapText="1"/>
    </xf>
    <xf numFmtId="168" fontId="5" fillId="0" borderId="0" xfId="3" applyNumberFormat="1" applyFont="1" applyBorder="1"/>
    <xf numFmtId="49" fontId="0" fillId="0" borderId="11" xfId="3" applyNumberFormat="1" applyFont="1" applyBorder="1" applyAlignment="1">
      <alignment horizontal="center" vertical="center" wrapText="1"/>
    </xf>
    <xf numFmtId="173" fontId="3" fillId="0" borderId="0" xfId="0" applyNumberFormat="1" applyFont="1" applyAlignment="1" applyProtection="1">
      <alignment horizontal="left" vertical="center" indent="1"/>
    </xf>
    <xf numFmtId="166" fontId="0" fillId="3" borderId="9" xfId="14" applyNumberFormat="1" applyFont="1" applyFill="1" applyBorder="1"/>
    <xf numFmtId="166" fontId="1" fillId="3" borderId="9" xfId="14" applyNumberFormat="1" applyFill="1" applyBorder="1"/>
    <xf numFmtId="0" fontId="8" fillId="0" borderId="0" xfId="0" quotePrefix="1" applyFont="1" applyAlignment="1">
      <alignment horizontal="left" wrapText="1" indent="3"/>
    </xf>
    <xf numFmtId="0" fontId="7" fillId="0" borderId="12" xfId="0" applyFont="1" applyBorder="1" applyAlignment="1"/>
    <xf numFmtId="0" fontId="11" fillId="0" borderId="0" xfId="0" applyFont="1" applyAlignment="1">
      <alignment horizontal="left" indent="1"/>
    </xf>
    <xf numFmtId="10" fontId="5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left" vertical="top" wrapText="1"/>
    </xf>
    <xf numFmtId="0" fontId="0" fillId="0" borderId="0" xfId="0" applyBorder="1"/>
    <xf numFmtId="10" fontId="5" fillId="0" borderId="0" xfId="14" applyNumberFormat="1" applyFont="1" applyBorder="1" applyAlignment="1">
      <alignment horizontal="center"/>
    </xf>
    <xf numFmtId="0" fontId="20" fillId="0" borderId="0" xfId="0" applyFont="1"/>
    <xf numFmtId="40" fontId="20" fillId="0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74" fontId="20" fillId="0" borderId="0" xfId="0" applyNumberFormat="1" applyFont="1"/>
    <xf numFmtId="174" fontId="20" fillId="0" borderId="0" xfId="0" applyNumberFormat="1" applyFont="1" applyFill="1" applyAlignment="1">
      <alignment horizontal="center"/>
    </xf>
    <xf numFmtId="0" fontId="20" fillId="0" borderId="0" xfId="0" applyFont="1" applyAlignment="1">
      <alignment horizontal="center"/>
    </xf>
    <xf numFmtId="40" fontId="20" fillId="0" borderId="0" xfId="0" applyNumberFormat="1" applyFont="1"/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vertical="top"/>
    </xf>
    <xf numFmtId="0" fontId="3" fillId="0" borderId="0" xfId="0" applyFont="1" applyAlignment="1">
      <alignment vertical="top"/>
    </xf>
    <xf numFmtId="40" fontId="20" fillId="0" borderId="0" xfId="0" applyNumberFormat="1" applyFont="1" applyAlignment="1">
      <alignment horizontal="right"/>
    </xf>
    <xf numFmtId="0" fontId="0" fillId="0" borderId="9" xfId="0" applyBorder="1" applyAlignment="1">
      <alignment horizontal="center" vertical="center"/>
    </xf>
    <xf numFmtId="0" fontId="0" fillId="0" borderId="0" xfId="0" quotePrefix="1" applyAlignment="1">
      <alignment horizontal="left" vertical="top" wrapText="1" indent="3"/>
    </xf>
    <xf numFmtId="0" fontId="8" fillId="0" borderId="0" xfId="0" quotePrefix="1" applyFont="1" applyAlignment="1">
      <alignment horizontal="left" vertical="top" wrapText="1" indent="3"/>
    </xf>
    <xf numFmtId="166" fontId="0" fillId="0" borderId="3" xfId="0" applyNumberFormat="1" applyBorder="1"/>
    <xf numFmtId="3" fontId="20" fillId="0" borderId="0" xfId="12"/>
    <xf numFmtId="3" fontId="1" fillId="0" borderId="0" xfId="12" quotePrefix="1" applyFont="1" applyAlignment="1">
      <alignment horizontal="center"/>
    </xf>
    <xf numFmtId="181" fontId="1" fillId="0" borderId="0" xfId="12" quotePrefix="1" applyNumberFormat="1" applyFont="1" applyAlignment="1">
      <alignment horizontal="center"/>
    </xf>
    <xf numFmtId="3" fontId="1" fillId="0" borderId="0" xfId="12" quotePrefix="1" applyFont="1" applyAlignment="1">
      <alignment horizontal="left"/>
    </xf>
    <xf numFmtId="3" fontId="20" fillId="0" borderId="0" xfId="12" applyFont="1" applyAlignment="1">
      <alignment horizontal="left" indent="2"/>
    </xf>
    <xf numFmtId="41" fontId="28" fillId="0" borderId="0" xfId="4" applyNumberFormat="1" applyFont="1" applyAlignment="1" applyProtection="1">
      <alignment horizontal="left"/>
    </xf>
    <xf numFmtId="41" fontId="28" fillId="0" borderId="0" xfId="4" applyNumberFormat="1" applyFont="1" applyProtection="1">
      <alignment horizontal="right"/>
    </xf>
    <xf numFmtId="49" fontId="20" fillId="0" borderId="0" xfId="12" applyNumberFormat="1" applyFont="1" applyAlignment="1">
      <alignment horizontal="left"/>
    </xf>
    <xf numFmtId="41" fontId="29" fillId="0" borderId="0" xfId="4" applyNumberFormat="1" applyFont="1" applyProtection="1">
      <alignment horizontal="right"/>
    </xf>
    <xf numFmtId="41" fontId="14" fillId="0" borderId="0" xfId="4" applyNumberFormat="1" applyFont="1" applyProtection="1">
      <alignment horizontal="right"/>
    </xf>
    <xf numFmtId="172" fontId="20" fillId="0" borderId="0" xfId="12" applyNumberFormat="1"/>
    <xf numFmtId="3" fontId="20" fillId="0" borderId="0" xfId="12" applyFont="1" applyAlignment="1">
      <alignment horizontal="left"/>
    </xf>
    <xf numFmtId="3" fontId="31" fillId="0" borderId="0" xfId="12" applyFont="1"/>
    <xf numFmtId="10" fontId="31" fillId="0" borderId="0" xfId="14" applyNumberFormat="1" applyFont="1" applyBorder="1"/>
    <xf numFmtId="3" fontId="31" fillId="0" borderId="0" xfId="12" applyFont="1" applyAlignment="1">
      <alignment horizontal="left"/>
    </xf>
    <xf numFmtId="164" fontId="31" fillId="0" borderId="0" xfId="14" applyNumberFormat="1" applyFont="1" applyBorder="1" applyAlignment="1">
      <alignment horizontal="right"/>
    </xf>
    <xf numFmtId="3" fontId="33" fillId="0" borderId="3" xfId="12" applyFont="1" applyBorder="1"/>
    <xf numFmtId="3" fontId="31" fillId="0" borderId="0" xfId="12" applyFont="1" applyBorder="1"/>
    <xf numFmtId="49" fontId="31" fillId="0" borderId="0" xfId="12" applyNumberFormat="1" applyFont="1" applyAlignment="1">
      <alignment horizontal="right"/>
    </xf>
    <xf numFmtId="3" fontId="31" fillId="0" borderId="2" xfId="12" applyFont="1" applyBorder="1"/>
    <xf numFmtId="3" fontId="33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wrapText="1"/>
    </xf>
    <xf numFmtId="3" fontId="31" fillId="0" borderId="0" xfId="12" applyNumberFormat="1" applyFont="1"/>
    <xf numFmtId="10" fontId="31" fillId="0" borderId="0" xfId="14" applyNumberFormat="1" applyFont="1"/>
    <xf numFmtId="3" fontId="31" fillId="0" borderId="3" xfId="12" applyNumberFormat="1" applyFont="1" applyBorder="1"/>
    <xf numFmtId="9" fontId="31" fillId="0" borderId="0" xfId="14" applyFont="1"/>
    <xf numFmtId="49" fontId="31" fillId="0" borderId="0" xfId="12" applyNumberFormat="1" applyFont="1"/>
    <xf numFmtId="3" fontId="31" fillId="0" borderId="2" xfId="12" applyNumberFormat="1" applyFont="1" applyBorder="1"/>
    <xf numFmtId="3" fontId="31" fillId="0" borderId="13" xfId="12" applyFont="1" applyBorder="1"/>
    <xf numFmtId="3" fontId="32" fillId="0" borderId="0" xfId="12" applyFont="1" applyBorder="1" applyAlignment="1"/>
    <xf numFmtId="3" fontId="31" fillId="0" borderId="14" xfId="12" applyFont="1" applyBorder="1" applyAlignment="1">
      <alignment horizontal="center" vertical="center" wrapText="1"/>
    </xf>
    <xf numFmtId="164" fontId="31" fillId="0" borderId="15" xfId="14" applyNumberFormat="1" applyFont="1" applyBorder="1" applyAlignment="1">
      <alignment horizontal="center" vertical="center"/>
    </xf>
    <xf numFmtId="3" fontId="31" fillId="0" borderId="0" xfId="4" applyFont="1">
      <alignment horizontal="right"/>
    </xf>
    <xf numFmtId="164" fontId="31" fillId="0" borderId="0" xfId="14" applyNumberFormat="1" applyFont="1" applyBorder="1"/>
    <xf numFmtId="3" fontId="38" fillId="0" borderId="0" xfId="12" applyFont="1"/>
    <xf numFmtId="171" fontId="1" fillId="3" borderId="9" xfId="0" applyNumberFormat="1" applyFont="1" applyFill="1" applyBorder="1"/>
    <xf numFmtId="0" fontId="1" fillId="3" borderId="9" xfId="0" applyFont="1" applyFill="1" applyBorder="1"/>
    <xf numFmtId="171" fontId="1" fillId="3" borderId="9" xfId="0" applyNumberFormat="1" applyFont="1" applyFill="1" applyBorder="1" applyAlignment="1">
      <alignment horizontal="right"/>
    </xf>
    <xf numFmtId="180" fontId="29" fillId="0" borderId="0" xfId="4" applyNumberFormat="1" applyFont="1" applyProtection="1">
      <alignment horizontal="right"/>
    </xf>
    <xf numFmtId="167" fontId="0" fillId="0" borderId="0" xfId="3" applyNumberFormat="1" applyFont="1"/>
    <xf numFmtId="0" fontId="8" fillId="0" borderId="0" xfId="0" quotePrefix="1" applyFont="1" applyAlignment="1">
      <alignment horizontal="right"/>
    </xf>
    <xf numFmtId="169" fontId="1" fillId="0" borderId="0" xfId="3" applyNumberFormat="1" applyFont="1"/>
    <xf numFmtId="164" fontId="1" fillId="0" borderId="0" xfId="14" applyNumberFormat="1" applyFont="1"/>
    <xf numFmtId="170" fontId="1" fillId="0" borderId="0" xfId="14" applyNumberFormat="1" applyFont="1"/>
    <xf numFmtId="3" fontId="31" fillId="0" borderId="0" xfId="12" applyFont="1" applyFill="1"/>
    <xf numFmtId="3" fontId="31" fillId="0" borderId="2" xfId="12" applyFont="1" applyFill="1" applyBorder="1"/>
    <xf numFmtId="3" fontId="31" fillId="0" borderId="9" xfId="12" applyFont="1" applyFill="1" applyBorder="1" applyAlignment="1">
      <alignment horizontal="center" wrapText="1"/>
    </xf>
    <xf numFmtId="3" fontId="31" fillId="0" borderId="0" xfId="12" applyNumberFormat="1" applyFont="1" applyFill="1"/>
    <xf numFmtId="41" fontId="3" fillId="0" borderId="0" xfId="4" applyNumberFormat="1" applyFont="1" applyProtection="1">
      <alignment horizontal="right"/>
    </xf>
    <xf numFmtId="180" fontId="14" fillId="0" borderId="0" xfId="4" applyNumberFormat="1" applyFont="1" applyProtection="1">
      <alignment horizontal="right"/>
    </xf>
    <xf numFmtId="180" fontId="14" fillId="0" borderId="3" xfId="4" applyNumberFormat="1" applyFont="1" applyBorder="1" applyProtection="1">
      <alignment horizontal="right"/>
    </xf>
    <xf numFmtId="3" fontId="1" fillId="0" borderId="0" xfId="12" quotePrefix="1" applyFont="1" applyBorder="1" applyAlignment="1">
      <alignment horizontal="center"/>
    </xf>
    <xf numFmtId="3" fontId="20" fillId="0" borderId="0" xfId="12" quotePrefix="1" applyFont="1" applyBorder="1" applyAlignment="1">
      <alignment horizontal="center"/>
    </xf>
    <xf numFmtId="3" fontId="20" fillId="0" borderId="0" xfId="12" applyFont="1" applyBorder="1" applyAlignment="1">
      <alignment horizontal="center"/>
    </xf>
    <xf numFmtId="3" fontId="20" fillId="0" borderId="0" xfId="12" applyFont="1" applyBorder="1" applyAlignment="1">
      <alignment horizontal="left" indent="2"/>
    </xf>
    <xf numFmtId="180" fontId="21" fillId="0" borderId="0" xfId="4" applyNumberFormat="1" applyFont="1" applyBorder="1" applyAlignment="1" applyProtection="1">
      <alignment horizontal="left"/>
    </xf>
    <xf numFmtId="180" fontId="21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Protection="1">
      <alignment horizontal="right"/>
    </xf>
    <xf numFmtId="180" fontId="28" fillId="0" borderId="0" xfId="4" applyNumberFormat="1" applyFont="1" applyBorder="1" applyAlignment="1" applyProtection="1">
      <alignment horizontal="left"/>
    </xf>
    <xf numFmtId="3" fontId="20" fillId="0" borderId="0" xfId="12" applyFont="1" applyBorder="1" applyAlignment="1">
      <alignment horizontal="left"/>
    </xf>
    <xf numFmtId="41" fontId="21" fillId="0" borderId="0" xfId="4" applyNumberFormat="1" applyFont="1" applyBorder="1" applyProtection="1">
      <alignment horizontal="right"/>
    </xf>
    <xf numFmtId="41" fontId="28" fillId="0" borderId="0" xfId="4" applyNumberFormat="1" applyFont="1" applyBorder="1" applyProtection="1">
      <alignment horizontal="right"/>
    </xf>
    <xf numFmtId="180" fontId="3" fillId="0" borderId="0" xfId="4" applyNumberFormat="1" applyFont="1" applyProtection="1">
      <alignment horizontal="right"/>
    </xf>
    <xf numFmtId="3" fontId="20" fillId="0" borderId="0" xfId="12" applyFont="1"/>
    <xf numFmtId="3" fontId="20" fillId="0" borderId="0" xfId="12" applyAlignment="1">
      <alignment vertical="top"/>
    </xf>
    <xf numFmtId="183" fontId="3" fillId="0" borderId="0" xfId="4" applyNumberFormat="1" applyFont="1" applyProtection="1">
      <alignment horizontal="right"/>
    </xf>
    <xf numFmtId="168" fontId="11" fillId="4" borderId="13" xfId="3" applyNumberFormat="1" applyFont="1" applyFill="1" applyBorder="1"/>
    <xf numFmtId="167" fontId="11" fillId="4" borderId="13" xfId="3" applyNumberFormat="1" applyFont="1" applyFill="1" applyBorder="1"/>
    <xf numFmtId="168" fontId="11" fillId="3" borderId="13" xfId="3" applyNumberFormat="1" applyFont="1" applyFill="1" applyBorder="1"/>
    <xf numFmtId="0" fontId="0" fillId="0" borderId="0" xfId="0" applyAlignment="1">
      <alignment vertical="center"/>
    </xf>
    <xf numFmtId="0" fontId="1" fillId="0" borderId="0" xfId="0" applyFont="1"/>
    <xf numFmtId="3" fontId="31" fillId="0" borderId="0" xfId="12" applyFont="1" applyAlignment="1">
      <alignment horizontal="right"/>
    </xf>
    <xf numFmtId="0" fontId="11" fillId="0" borderId="0" xfId="0" applyFont="1" applyAlignment="1">
      <alignment wrapText="1"/>
    </xf>
    <xf numFmtId="169" fontId="1" fillId="0" borderId="3" xfId="3" applyNumberFormat="1" applyFont="1" applyBorder="1"/>
    <xf numFmtId="10" fontId="41" fillId="0" borderId="0" xfId="14" applyNumberFormat="1" applyFont="1" applyBorder="1"/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 wrapText="1"/>
    </xf>
    <xf numFmtId="169" fontId="5" fillId="0" borderId="0" xfId="3" applyNumberFormat="1" applyFont="1" applyAlignment="1">
      <alignment vertical="top"/>
    </xf>
    <xf numFmtId="169" fontId="1" fillId="0" borderId="0" xfId="3" applyNumberFormat="1" applyFont="1" applyAlignment="1">
      <alignment vertical="top"/>
    </xf>
    <xf numFmtId="0" fontId="0" fillId="0" borderId="0" xfId="0" applyAlignment="1">
      <alignment vertical="top"/>
    </xf>
    <xf numFmtId="168" fontId="5" fillId="0" borderId="0" xfId="3" applyNumberFormat="1" applyFont="1" applyAlignment="1">
      <alignment vertical="top"/>
    </xf>
    <xf numFmtId="0" fontId="11" fillId="0" borderId="0" xfId="0" applyFont="1" applyAlignment="1">
      <alignment horizontal="right" vertical="top" wrapText="1"/>
    </xf>
    <xf numFmtId="169" fontId="0" fillId="4" borderId="16" xfId="3" applyNumberFormat="1" applyFont="1" applyFill="1" applyBorder="1" applyAlignment="1">
      <alignment vertical="center"/>
    </xf>
    <xf numFmtId="0" fontId="8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11" fillId="4" borderId="16" xfId="0" applyFont="1" applyFill="1" applyBorder="1" applyAlignment="1">
      <alignment horizontal="right" vertical="center" wrapText="1"/>
    </xf>
    <xf numFmtId="168" fontId="1" fillId="0" borderId="0" xfId="3" applyNumberFormat="1" applyFont="1" applyAlignment="1">
      <alignment vertical="top"/>
    </xf>
    <xf numFmtId="168" fontId="11" fillId="4" borderId="16" xfId="3" applyNumberFormat="1" applyFont="1" applyFill="1" applyBorder="1" applyAlignment="1">
      <alignment vertical="center"/>
    </xf>
    <xf numFmtId="168" fontId="0" fillId="0" borderId="0" xfId="3" applyNumberFormat="1" applyFont="1" applyAlignment="1">
      <alignment horizontal="center"/>
    </xf>
    <xf numFmtId="41" fontId="3" fillId="0" borderId="3" xfId="4" applyNumberFormat="1" applyFont="1" applyBorder="1" applyProtection="1">
      <alignment horizontal="right"/>
    </xf>
    <xf numFmtId="180" fontId="3" fillId="0" borderId="3" xfId="4" applyNumberFormat="1" applyFont="1" applyBorder="1" applyProtection="1">
      <alignment horizontal="right"/>
    </xf>
    <xf numFmtId="3" fontId="8" fillId="0" borderId="0" xfId="12" quotePrefix="1" applyFont="1" applyAlignment="1">
      <alignment horizontal="center"/>
    </xf>
    <xf numFmtId="3" fontId="8" fillId="0" borderId="0" xfId="12" quotePrefix="1" applyFont="1" applyBorder="1" applyAlignment="1">
      <alignment horizontal="center"/>
    </xf>
    <xf numFmtId="3" fontId="3" fillId="0" borderId="0" xfId="12" applyFont="1" applyBorder="1" applyAlignment="1">
      <alignment horizontal="center"/>
    </xf>
    <xf numFmtId="41" fontId="3" fillId="0" borderId="0" xfId="4" applyNumberFormat="1" applyFont="1" applyBorder="1" applyAlignment="1" applyProtection="1">
      <alignment horizontal="left"/>
    </xf>
    <xf numFmtId="3" fontId="3" fillId="0" borderId="0" xfId="12" applyFont="1"/>
    <xf numFmtId="41" fontId="3" fillId="0" borderId="0" xfId="4" applyNumberFormat="1" applyFont="1" applyAlignment="1" applyProtection="1">
      <alignment horizontal="left"/>
    </xf>
    <xf numFmtId="168" fontId="11" fillId="3" borderId="2" xfId="3" applyNumberFormat="1" applyFont="1" applyFill="1" applyBorder="1"/>
    <xf numFmtId="180" fontId="14" fillId="0" borderId="0" xfId="4" applyNumberFormat="1" applyFont="1" applyFill="1" applyProtection="1">
      <alignment horizontal="right"/>
    </xf>
    <xf numFmtId="10" fontId="0" fillId="0" borderId="2" xfId="0" applyNumberFormat="1" applyBorder="1"/>
    <xf numFmtId="0" fontId="0" fillId="0" borderId="8" xfId="0" applyBorder="1" applyAlignment="1">
      <alignment horizontal="center" vertical="center"/>
    </xf>
    <xf numFmtId="37" fontId="0" fillId="0" borderId="0" xfId="0" applyNumberFormat="1"/>
    <xf numFmtId="37" fontId="0" fillId="0" borderId="3" xfId="0" applyNumberFormat="1" applyBorder="1" applyAlignment="1">
      <alignment horizontal="center" vertical="center"/>
    </xf>
    <xf numFmtId="37" fontId="0" fillId="0" borderId="8" xfId="0" applyNumberFormat="1" applyBorder="1" applyAlignment="1">
      <alignment horizontal="center" vertical="center"/>
    </xf>
    <xf numFmtId="180" fontId="3" fillId="0" borderId="0" xfId="4" applyNumberFormat="1" applyFont="1" applyBorder="1" applyProtection="1">
      <alignment horizontal="right"/>
    </xf>
    <xf numFmtId="180" fontId="3" fillId="0" borderId="8" xfId="4" applyNumberFormat="1" applyFont="1" applyBorder="1" applyProtection="1">
      <alignment horizontal="right"/>
    </xf>
    <xf numFmtId="180" fontId="2" fillId="0" borderId="0" xfId="4" applyNumberFormat="1" applyFont="1" applyProtection="1">
      <alignment horizontal="right"/>
    </xf>
    <xf numFmtId="180" fontId="40" fillId="0" borderId="0" xfId="4" applyNumberFormat="1" applyFont="1" applyProtection="1">
      <alignment horizontal="right"/>
    </xf>
    <xf numFmtId="180" fontId="20" fillId="0" borderId="0" xfId="0" applyNumberFormat="1" applyFont="1" applyFill="1"/>
    <xf numFmtId="180" fontId="3" fillId="0" borderId="3" xfId="4" applyNumberFormat="1" applyFont="1" applyBorder="1" applyAlignment="1" applyProtection="1">
      <alignment horizontal="right" indent="1"/>
    </xf>
    <xf numFmtId="180" fontId="0" fillId="0" borderId="0" xfId="0" applyNumberFormat="1" applyFill="1"/>
    <xf numFmtId="180" fontId="0" fillId="0" borderId="0" xfId="0" applyNumberFormat="1" applyFill="1" applyAlignment="1">
      <alignment horizontal="right"/>
    </xf>
    <xf numFmtId="180" fontId="5" fillId="0" borderId="0" xfId="3" applyNumberFormat="1" applyFont="1" applyBorder="1"/>
    <xf numFmtId="10" fontId="20" fillId="0" borderId="0" xfId="14" applyNumberFormat="1" applyFont="1" applyFill="1"/>
    <xf numFmtId="10" fontId="41" fillId="0" borderId="0" xfId="14" applyNumberFormat="1" applyFont="1" applyFill="1" applyBorder="1"/>
    <xf numFmtId="3" fontId="20" fillId="0" borderId="0" xfId="12" applyFill="1"/>
    <xf numFmtId="49" fontId="20" fillId="0" borderId="0" xfId="12" applyNumberFormat="1" applyFont="1" applyBorder="1" applyAlignment="1">
      <alignment horizontal="left"/>
    </xf>
    <xf numFmtId="41" fontId="3" fillId="0" borderId="0" xfId="4" applyNumberFormat="1" applyFont="1" applyBorder="1" applyProtection="1">
      <alignment horizontal="right"/>
    </xf>
    <xf numFmtId="180" fontId="14" fillId="0" borderId="0" xfId="4" applyNumberFormat="1" applyFont="1" applyBorder="1" applyProtection="1">
      <alignment horizontal="right"/>
    </xf>
    <xf numFmtId="41" fontId="14" fillId="0" borderId="0" xfId="4" applyNumberFormat="1" applyFont="1" applyBorder="1" applyProtection="1">
      <alignment horizontal="right"/>
    </xf>
    <xf numFmtId="3" fontId="31" fillId="0" borderId="0" xfId="12" applyNumberFormat="1" applyFont="1" applyBorder="1"/>
    <xf numFmtId="169" fontId="0" fillId="0" borderId="0" xfId="3" applyNumberFormat="1" applyFont="1" applyAlignment="1">
      <alignment vertical="top"/>
    </xf>
    <xf numFmtId="10" fontId="0" fillId="0" borderId="0" xfId="14" applyNumberFormat="1" applyFont="1"/>
    <xf numFmtId="10" fontId="20" fillId="0" borderId="0" xfId="0" applyNumberFormat="1" applyFont="1"/>
    <xf numFmtId="182" fontId="20" fillId="0" borderId="0" xfId="0" applyNumberFormat="1" applyFont="1"/>
    <xf numFmtId="168" fontId="20" fillId="0" borderId="0" xfId="0" applyNumberFormat="1" applyFont="1"/>
    <xf numFmtId="180" fontId="0" fillId="0" borderId="0" xfId="0" applyNumberFormat="1"/>
    <xf numFmtId="180" fontId="20" fillId="0" borderId="0" xfId="0" applyNumberFormat="1" applyFont="1"/>
    <xf numFmtId="0" fontId="0" fillId="0" borderId="17" xfId="0" applyBorder="1"/>
    <xf numFmtId="0" fontId="0" fillId="0" borderId="18" xfId="0" applyBorder="1"/>
    <xf numFmtId="0" fontId="2" fillId="0" borderId="17" xfId="0" applyFont="1" applyBorder="1" applyAlignment="1">
      <alignment horizontal="center"/>
    </xf>
    <xf numFmtId="0" fontId="0" fillId="0" borderId="19" xfId="0" applyBorder="1" applyAlignment="1">
      <alignment horizontal="left"/>
    </xf>
    <xf numFmtId="0" fontId="3" fillId="0" borderId="17" xfId="13" applyFont="1" applyBorder="1" applyAlignment="1">
      <alignment horizontal="right"/>
    </xf>
    <xf numFmtId="0" fontId="3" fillId="0" borderId="17" xfId="13" applyFont="1" applyBorder="1" applyAlignment="1">
      <alignment horizontal="left" indent="6"/>
    </xf>
    <xf numFmtId="0" fontId="3" fillId="0" borderId="17" xfId="13" applyFont="1" applyBorder="1" applyAlignment="1">
      <alignment horizontal="left" indent="8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49" fontId="31" fillId="0" borderId="0" xfId="12" applyNumberFormat="1" applyFont="1" applyFill="1" applyAlignment="1">
      <alignment horizontal="right"/>
    </xf>
    <xf numFmtId="171" fontId="20" fillId="0" borderId="0" xfId="12" applyNumberFormat="1" applyFont="1" applyAlignment="1">
      <alignment horizontal="right"/>
    </xf>
    <xf numFmtId="3" fontId="30" fillId="0" borderId="0" xfId="12" applyFont="1" applyBorder="1" applyAlignment="1">
      <alignment horizontal="center" vertical="center"/>
    </xf>
    <xf numFmtId="3" fontId="31" fillId="0" borderId="0" xfId="12" applyFont="1" applyBorder="1" applyAlignment="1">
      <alignment horizontal="center" vertical="center" wrapText="1"/>
    </xf>
    <xf numFmtId="3" fontId="31" fillId="0" borderId="0" xfId="12" applyFont="1" applyBorder="1" applyAlignment="1">
      <alignment horizontal="center" vertical="center"/>
    </xf>
    <xf numFmtId="3" fontId="31" fillId="0" borderId="0" xfId="12" applyFont="1" applyFill="1" applyBorder="1" applyAlignment="1">
      <alignment horizontal="center" wrapText="1"/>
    </xf>
    <xf numFmtId="164" fontId="31" fillId="0" borderId="9" xfId="14" applyNumberFormat="1" applyFont="1" applyBorder="1" applyAlignment="1">
      <alignment horizontal="center" vertical="center"/>
    </xf>
    <xf numFmtId="186" fontId="31" fillId="0" borderId="9" xfId="3" applyNumberFormat="1" applyFont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164" fontId="1" fillId="0" borderId="0" xfId="14" applyNumberFormat="1" applyFont="1" applyFill="1"/>
    <xf numFmtId="10" fontId="31" fillId="0" borderId="0" xfId="14" applyNumberFormat="1" applyFont="1" applyFill="1"/>
    <xf numFmtId="3" fontId="31" fillId="0" borderId="0" xfId="12" applyNumberFormat="1" applyFont="1" applyFill="1" applyBorder="1"/>
    <xf numFmtId="43" fontId="20" fillId="0" borderId="0" xfId="3" applyFont="1"/>
    <xf numFmtId="49" fontId="20" fillId="0" borderId="0" xfId="12" applyNumberFormat="1" applyFont="1" applyFill="1" applyAlignment="1">
      <alignment horizontal="left"/>
    </xf>
    <xf numFmtId="41" fontId="3" fillId="0" borderId="0" xfId="4" applyNumberFormat="1" applyFont="1" applyFill="1" applyProtection="1">
      <alignment horizontal="right"/>
    </xf>
    <xf numFmtId="180" fontId="3" fillId="0" borderId="0" xfId="4" applyNumberFormat="1" applyFont="1" applyFill="1" applyProtection="1">
      <alignment horizontal="right"/>
    </xf>
    <xf numFmtId="49" fontId="20" fillId="0" borderId="0" xfId="12" applyNumberFormat="1" applyFont="1" applyFill="1" applyBorder="1" applyAlignment="1">
      <alignment horizontal="left"/>
    </xf>
    <xf numFmtId="41" fontId="3" fillId="0" borderId="0" xfId="4" applyNumberFormat="1" applyFont="1" applyFill="1" applyBorder="1" applyProtection="1">
      <alignment horizontal="right"/>
    </xf>
    <xf numFmtId="180" fontId="14" fillId="0" borderId="0" xfId="4" applyNumberFormat="1" applyFont="1" applyFill="1" applyBorder="1" applyProtection="1">
      <alignment horizontal="right"/>
    </xf>
    <xf numFmtId="180" fontId="3" fillId="0" borderId="0" xfId="4" applyNumberFormat="1" applyFont="1" applyFill="1" applyBorder="1" applyProtection="1">
      <alignment horizontal="right"/>
    </xf>
    <xf numFmtId="41" fontId="14" fillId="0" borderId="0" xfId="4" applyNumberFormat="1" applyFont="1" applyFill="1" applyProtection="1">
      <alignment horizontal="right"/>
    </xf>
    <xf numFmtId="41" fontId="14" fillId="0" borderId="0" xfId="4" applyNumberFormat="1" applyFont="1" applyFill="1" applyBorder="1" applyProtection="1">
      <alignment horizontal="right"/>
    </xf>
    <xf numFmtId="179" fontId="0" fillId="0" borderId="0" xfId="0" applyNumberFormat="1"/>
    <xf numFmtId="186" fontId="0" fillId="0" borderId="0" xfId="0" applyNumberFormat="1" applyAlignment="1">
      <alignment horizontal="left"/>
    </xf>
    <xf numFmtId="41" fontId="0" fillId="0" borderId="0" xfId="0" applyNumberFormat="1"/>
    <xf numFmtId="0" fontId="46" fillId="0" borderId="0" xfId="0" applyFont="1"/>
    <xf numFmtId="49" fontId="1" fillId="0" borderId="0" xfId="0" applyNumberFormat="1" applyFont="1" applyAlignment="1">
      <alignment horizontal="left"/>
    </xf>
    <xf numFmtId="186" fontId="1" fillId="0" borderId="0" xfId="0" applyNumberFormat="1" applyFont="1" applyAlignment="1">
      <alignment horizontal="left"/>
    </xf>
    <xf numFmtId="41" fontId="31" fillId="0" borderId="3" xfId="12" applyNumberFormat="1" applyFont="1" applyBorder="1"/>
    <xf numFmtId="41" fontId="31" fillId="0" borderId="3" xfId="12" applyNumberFormat="1" applyFont="1" applyFill="1" applyBorder="1"/>
    <xf numFmtId="37" fontId="31" fillId="0" borderId="3" xfId="0" applyNumberFormat="1" applyFont="1" applyBorder="1"/>
    <xf numFmtId="37" fontId="1" fillId="0" borderId="0" xfId="0" applyNumberFormat="1" applyFont="1" applyAlignment="1">
      <alignment horizontal="left"/>
    </xf>
    <xf numFmtId="41" fontId="23" fillId="0" borderId="2" xfId="0" applyNumberFormat="1" applyFont="1" applyBorder="1"/>
    <xf numFmtId="37" fontId="46" fillId="0" borderId="0" xfId="0" applyNumberFormat="1" applyFont="1"/>
    <xf numFmtId="37" fontId="23" fillId="0" borderId="0" xfId="0" applyNumberFormat="1" applyFont="1" applyBorder="1"/>
    <xf numFmtId="0" fontId="8" fillId="0" borderId="3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41" fontId="31" fillId="0" borderId="0" xfId="12" applyNumberFormat="1" applyFont="1"/>
    <xf numFmtId="41" fontId="31" fillId="0" borderId="0" xfId="12" applyNumberFormat="1" applyFont="1" applyFill="1"/>
    <xf numFmtId="41" fontId="31" fillId="0" borderId="0" xfId="12" applyNumberFormat="1" applyFont="1" applyBorder="1"/>
    <xf numFmtId="169" fontId="1" fillId="5" borderId="3" xfId="3" applyNumberFormat="1" applyFont="1" applyFill="1" applyBorder="1"/>
    <xf numFmtId="171" fontId="20" fillId="0" borderId="0" xfId="12" applyNumberFormat="1" applyFont="1" applyAlignment="1">
      <alignment horizontal="left"/>
    </xf>
    <xf numFmtId="17" fontId="1" fillId="0" borderId="0" xfId="0" quotePrefix="1" applyNumberFormat="1" applyFont="1" applyAlignment="1">
      <alignment horizontal="left"/>
    </xf>
    <xf numFmtId="164" fontId="31" fillId="0" borderId="0" xfId="14" applyNumberFormat="1" applyFont="1" applyBorder="1" applyAlignment="1">
      <alignment horizontal="center" vertical="center"/>
    </xf>
    <xf numFmtId="186" fontId="31" fillId="0" borderId="0" xfId="3" applyNumberFormat="1" applyFont="1" applyBorder="1" applyAlignment="1">
      <alignment horizontal="center"/>
    </xf>
    <xf numFmtId="3" fontId="31" fillId="0" borderId="0" xfId="12" applyFont="1" applyFill="1" applyBorder="1"/>
    <xf numFmtId="3" fontId="31" fillId="0" borderId="3" xfId="12" applyFont="1" applyFill="1" applyBorder="1"/>
    <xf numFmtId="3" fontId="31" fillId="0" borderId="3" xfId="12" applyFont="1" applyBorder="1"/>
    <xf numFmtId="164" fontId="31" fillId="0" borderId="0" xfId="14" applyNumberFormat="1" applyFont="1" applyFill="1"/>
    <xf numFmtId="41" fontId="31" fillId="0" borderId="0" xfId="14" applyNumberFormat="1" applyFont="1"/>
    <xf numFmtId="166" fontId="14" fillId="0" borderId="0" xfId="14" applyNumberFormat="1" applyFont="1" applyBorder="1" applyAlignment="1">
      <alignment horizontal="right" indent="1"/>
    </xf>
    <xf numFmtId="164" fontId="3" fillId="0" borderId="8" xfId="14" applyNumberFormat="1" applyFont="1" applyBorder="1" applyAlignment="1">
      <alignment horizontal="right" indent="1"/>
    </xf>
    <xf numFmtId="0" fontId="1" fillId="0" borderId="0" xfId="0" applyFont="1" applyAlignment="1">
      <alignment horizontal="left"/>
    </xf>
    <xf numFmtId="0" fontId="19" fillId="0" borderId="0" xfId="0" applyFont="1" applyAlignment="1">
      <alignment vertical="top"/>
    </xf>
    <xf numFmtId="0" fontId="22" fillId="0" borderId="0" xfId="11" applyFont="1" applyAlignment="1" applyProtection="1"/>
    <xf numFmtId="41" fontId="14" fillId="0" borderId="3" xfId="4" applyNumberFormat="1" applyFont="1" applyFill="1" applyBorder="1" applyProtection="1">
      <alignment horizontal="right"/>
    </xf>
    <xf numFmtId="166" fontId="0" fillId="0" borderId="3" xfId="0" applyNumberFormat="1" applyFill="1" applyBorder="1"/>
    <xf numFmtId="10" fontId="1" fillId="0" borderId="0" xfId="14" applyNumberFormat="1" applyFont="1" applyFill="1"/>
    <xf numFmtId="10" fontId="1" fillId="0" borderId="0" xfId="0" applyNumberFormat="1" applyFont="1" applyFill="1"/>
    <xf numFmtId="168" fontId="0" fillId="0" borderId="0" xfId="0" applyNumberFormat="1" applyFill="1"/>
    <xf numFmtId="41" fontId="14" fillId="0" borderId="3" xfId="4" applyNumberFormat="1" applyFont="1" applyBorder="1" applyProtection="1">
      <alignment horizontal="right"/>
    </xf>
    <xf numFmtId="3" fontId="31" fillId="0" borderId="8" xfId="12" applyFont="1" applyBorder="1" applyAlignment="1">
      <alignment horizontal="center" vertical="center" wrapText="1"/>
    </xf>
    <xf numFmtId="3" fontId="30" fillId="0" borderId="8" xfId="12" applyFont="1" applyBorder="1" applyAlignment="1">
      <alignment horizontal="center" vertical="center"/>
    </xf>
    <xf numFmtId="3" fontId="31" fillId="0" borderId="24" xfId="12" applyFont="1" applyFill="1" applyBorder="1" applyAlignment="1">
      <alignment horizontal="center" wrapText="1"/>
    </xf>
    <xf numFmtId="3" fontId="31" fillId="0" borderId="8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169" fontId="1" fillId="0" borderId="3" xfId="3" applyNumberFormat="1" applyFont="1" applyFill="1" applyBorder="1"/>
    <xf numFmtId="168" fontId="0" fillId="0" borderId="0" xfId="3" applyNumberFormat="1" applyFont="1" applyFill="1" applyAlignment="1">
      <alignment horizontal="center"/>
    </xf>
    <xf numFmtId="3" fontId="31" fillId="0" borderId="0" xfId="12" applyFont="1" applyFill="1" applyAlignment="1">
      <alignment horizontal="right"/>
    </xf>
    <xf numFmtId="166" fontId="0" fillId="0" borderId="0" xfId="14" applyNumberFormat="1" applyFont="1" applyFill="1"/>
    <xf numFmtId="10" fontId="0" fillId="0" borderId="0" xfId="0" applyNumberFormat="1" applyFill="1"/>
    <xf numFmtId="166" fontId="1" fillId="0" borderId="0" xfId="14" applyNumberFormat="1" applyFill="1"/>
    <xf numFmtId="0" fontId="11" fillId="0" borderId="0" xfId="0" applyFont="1" applyBorder="1"/>
    <xf numFmtId="0" fontId="11" fillId="6" borderId="0" xfId="0" applyFont="1" applyFill="1" applyAlignment="1">
      <alignment wrapText="1"/>
    </xf>
    <xf numFmtId="167" fontId="11" fillId="6" borderId="13" xfId="3" applyNumberFormat="1" applyFont="1" applyFill="1" applyBorder="1"/>
    <xf numFmtId="0" fontId="11" fillId="0" borderId="0" xfId="0" applyFont="1" applyFill="1" applyAlignment="1">
      <alignment wrapText="1"/>
    </xf>
    <xf numFmtId="0" fontId="2" fillId="0" borderId="25" xfId="0" applyFont="1" applyBorder="1" applyAlignment="1">
      <alignment horizontal="left" vertical="center"/>
    </xf>
    <xf numFmtId="185" fontId="11" fillId="0" borderId="25" xfId="0" applyNumberFormat="1" applyFont="1" applyBorder="1"/>
    <xf numFmtId="0" fontId="1" fillId="0" borderId="0" xfId="0" quotePrefix="1" applyFont="1" applyAlignment="1">
      <alignment horizontal="center"/>
    </xf>
    <xf numFmtId="0" fontId="47" fillId="0" borderId="0" xfId="0" applyFont="1" applyAlignment="1"/>
    <xf numFmtId="40" fontId="3" fillId="7" borderId="25" xfId="0" applyNumberFormat="1" applyFont="1" applyFill="1" applyBorder="1"/>
    <xf numFmtId="0" fontId="0" fillId="7" borderId="25" xfId="0" applyFill="1" applyBorder="1"/>
    <xf numFmtId="168" fontId="46" fillId="7" borderId="25" xfId="3" applyNumberFormat="1" applyFont="1" applyFill="1" applyBorder="1"/>
    <xf numFmtId="43" fontId="2" fillId="7" borderId="25" xfId="0" applyNumberFormat="1" applyFont="1" applyFill="1" applyBorder="1"/>
    <xf numFmtId="185" fontId="11" fillId="0" borderId="13" xfId="0" applyNumberFormat="1" applyFont="1" applyBorder="1"/>
    <xf numFmtId="0" fontId="0" fillId="0" borderId="13" xfId="0" applyBorder="1"/>
    <xf numFmtId="0" fontId="0" fillId="0" borderId="25" xfId="0" applyBorder="1"/>
    <xf numFmtId="180" fontId="3" fillId="0" borderId="0" xfId="0" applyNumberFormat="1" applyFont="1" applyFill="1"/>
    <xf numFmtId="40" fontId="3" fillId="0" borderId="0" xfId="0" applyNumberFormat="1" applyFont="1" applyFill="1" applyAlignment="1">
      <alignment horizontal="right"/>
    </xf>
    <xf numFmtId="180" fontId="3" fillId="0" borderId="8" xfId="4" applyNumberFormat="1" applyFont="1" applyFill="1" applyBorder="1" applyProtection="1">
      <alignment horizontal="right"/>
    </xf>
    <xf numFmtId="0" fontId="3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center" vertical="center"/>
    </xf>
    <xf numFmtId="0" fontId="0" fillId="0" borderId="0" xfId="0" applyFill="1"/>
    <xf numFmtId="10" fontId="48" fillId="0" borderId="0" xfId="13" applyNumberFormat="1" applyFont="1" applyBorder="1" applyAlignment="1">
      <alignment horizontal="right" indent="1"/>
    </xf>
    <xf numFmtId="49" fontId="17" fillId="0" borderId="0" xfId="12" applyNumberFormat="1" applyFont="1" applyAlignment="1">
      <alignment horizontal="right"/>
    </xf>
    <xf numFmtId="49" fontId="17" fillId="0" borderId="0" xfId="12" applyNumberFormat="1" applyFont="1" applyFill="1" applyAlignment="1">
      <alignment horizontal="right"/>
    </xf>
    <xf numFmtId="3" fontId="1" fillId="0" borderId="0" xfId="12" quotePrefix="1" applyFont="1" applyAlignment="1">
      <alignment horizontal="center"/>
    </xf>
    <xf numFmtId="3" fontId="31" fillId="0" borderId="14" xfId="12" applyFont="1" applyBorder="1" applyAlignment="1">
      <alignment horizontal="center" vertical="center" wrapText="1"/>
    </xf>
    <xf numFmtId="166" fontId="3" fillId="0" borderId="0" xfId="13" applyNumberFormat="1" applyFont="1" applyFill="1" applyBorder="1" applyAlignment="1">
      <alignment horizontal="right" indent="1"/>
    </xf>
    <xf numFmtId="10" fontId="3" fillId="0" borderId="0" xfId="13" applyNumberFormat="1" applyFont="1" applyFill="1" applyBorder="1" applyAlignment="1">
      <alignment horizontal="right" indent="1"/>
    </xf>
    <xf numFmtId="167" fontId="0" fillId="0" borderId="0" xfId="3" applyNumberFormat="1" applyFont="1" applyBorder="1"/>
    <xf numFmtId="167" fontId="11" fillId="4" borderId="2" xfId="3" applyNumberFormat="1" applyFont="1" applyFill="1" applyBorder="1"/>
    <xf numFmtId="0" fontId="4" fillId="0" borderId="0" xfId="17" applyFont="1" applyBorder="1" applyAlignment="1">
      <alignment horizontal="left"/>
    </xf>
    <xf numFmtId="0" fontId="8" fillId="0" borderId="0" xfId="17"/>
    <xf numFmtId="0" fontId="4" fillId="0" borderId="3" xfId="17" applyFont="1" applyBorder="1" applyAlignment="1">
      <alignment horizontal="left"/>
    </xf>
    <xf numFmtId="0" fontId="8" fillId="0" borderId="0" xfId="17" applyAlignment="1">
      <alignment horizontal="left" indent="1"/>
    </xf>
    <xf numFmtId="0" fontId="11" fillId="0" borderId="0" xfId="17" applyFont="1" applyAlignment="1"/>
    <xf numFmtId="0" fontId="4" fillId="0" borderId="0" xfId="17" applyFont="1" applyBorder="1" applyAlignment="1">
      <alignment horizontal="left" vertical="center"/>
    </xf>
    <xf numFmtId="0" fontId="2" fillId="0" borderId="0" xfId="17" applyFont="1"/>
    <xf numFmtId="0" fontId="8" fillId="0" borderId="0" xfId="17" applyFont="1"/>
    <xf numFmtId="0" fontId="2" fillId="0" borderId="0" xfId="17" applyFont="1" applyBorder="1" applyAlignment="1">
      <alignment wrapText="1"/>
    </xf>
    <xf numFmtId="0" fontId="7" fillId="0" borderId="12" xfId="17" applyFont="1" applyBorder="1" applyAlignment="1"/>
    <xf numFmtId="0" fontId="8" fillId="0" borderId="9" xfId="17" applyBorder="1" applyAlignment="1">
      <alignment horizontal="center" vertical="center"/>
    </xf>
    <xf numFmtId="0" fontId="2" fillId="0" borderId="0" xfId="17" applyFont="1" applyAlignment="1">
      <alignment horizontal="left" wrapText="1" indent="1"/>
    </xf>
    <xf numFmtId="43" fontId="3" fillId="0" borderId="0" xfId="18" applyFont="1" applyBorder="1" applyAlignment="1">
      <alignment horizontal="right"/>
    </xf>
    <xf numFmtId="0" fontId="4" fillId="0" borderId="0" xfId="17" applyFont="1" applyFill="1" applyBorder="1" applyAlignment="1">
      <alignment horizontal="left"/>
    </xf>
    <xf numFmtId="0" fontId="8" fillId="0" borderId="0" xfId="17" applyFill="1" applyAlignment="1">
      <alignment horizontal="right"/>
    </xf>
    <xf numFmtId="169" fontId="5" fillId="0" borderId="0" xfId="18" applyNumberFormat="1" applyFont="1" applyFill="1"/>
    <xf numFmtId="169" fontId="8" fillId="0" borderId="0" xfId="18" applyNumberFormat="1" applyFont="1" applyFill="1"/>
    <xf numFmtId="0" fontId="4" fillId="0" borderId="0" xfId="17" applyFont="1" applyFill="1" applyBorder="1" applyAlignment="1">
      <alignment horizontal="left" vertical="center"/>
    </xf>
    <xf numFmtId="169" fontId="5" fillId="0" borderId="3" xfId="18" applyNumberFormat="1" applyFont="1" applyFill="1" applyBorder="1"/>
    <xf numFmtId="0" fontId="8" fillId="0" borderId="0" xfId="17" applyAlignment="1">
      <alignment horizontal="right"/>
    </xf>
    <xf numFmtId="0" fontId="8" fillId="0" borderId="0" xfId="17" applyFill="1" applyAlignment="1">
      <alignment horizontal="right" wrapText="1" indent="1"/>
    </xf>
    <xf numFmtId="10" fontId="8" fillId="0" borderId="0" xfId="14" applyNumberFormat="1" applyFont="1" applyFill="1"/>
    <xf numFmtId="166" fontId="8" fillId="4" borderId="9" xfId="14" applyNumberFormat="1" applyFont="1" applyFill="1" applyBorder="1"/>
    <xf numFmtId="0" fontId="2" fillId="0" borderId="0" xfId="17" applyFont="1" applyAlignment="1">
      <alignment horizontal="left" indent="1"/>
    </xf>
    <xf numFmtId="0" fontId="8" fillId="0" borderId="0" xfId="17" applyFont="1" applyAlignment="1">
      <alignment horizontal="left" indent="1"/>
    </xf>
    <xf numFmtId="0" fontId="8" fillId="0" borderId="0" xfId="17" applyAlignment="1">
      <alignment horizontal="left" indent="2"/>
    </xf>
    <xf numFmtId="0" fontId="8" fillId="0" borderId="0" xfId="17" quotePrefix="1" applyAlignment="1">
      <alignment horizontal="left" wrapText="1" indent="3"/>
    </xf>
    <xf numFmtId="0" fontId="8" fillId="0" borderId="0" xfId="17" applyAlignment="1">
      <alignment horizontal="left" wrapText="1" indent="3"/>
    </xf>
    <xf numFmtId="10" fontId="8" fillId="0" borderId="0" xfId="17" applyNumberFormat="1" applyFont="1" applyFill="1"/>
    <xf numFmtId="1" fontId="8" fillId="3" borderId="9" xfId="17" applyNumberFormat="1" applyFont="1" applyFill="1" applyBorder="1"/>
    <xf numFmtId="0" fontId="8" fillId="0" borderId="0" xfId="17" applyAlignment="1">
      <alignment horizontal="left" indent="3"/>
    </xf>
    <xf numFmtId="166" fontId="8" fillId="0" borderId="0" xfId="14" applyNumberFormat="1" applyFont="1" applyFill="1"/>
    <xf numFmtId="0" fontId="8" fillId="0" borderId="0" xfId="17" quotePrefix="1" applyAlignment="1">
      <alignment horizontal="left" vertical="top" wrapText="1" indent="3"/>
    </xf>
    <xf numFmtId="10" fontId="8" fillId="0" borderId="0" xfId="17" applyNumberFormat="1" applyFill="1"/>
    <xf numFmtId="0" fontId="5" fillId="0" borderId="0" xfId="17" applyFont="1" applyFill="1" applyBorder="1"/>
    <xf numFmtId="166" fontId="8" fillId="0" borderId="0" xfId="14" applyNumberFormat="1" applyFont="1" applyFill="1" applyBorder="1"/>
    <xf numFmtId="0" fontId="3" fillId="0" borderId="0" xfId="17" applyFont="1"/>
    <xf numFmtId="0" fontId="4" fillId="0" borderId="0" xfId="17" applyFont="1" applyBorder="1"/>
    <xf numFmtId="173" fontId="3" fillId="0" borderId="0" xfId="17" applyNumberFormat="1" applyFont="1" applyAlignment="1" applyProtection="1">
      <alignment horizontal="left" vertical="center" indent="1"/>
    </xf>
    <xf numFmtId="43" fontId="8" fillId="0" borderId="5" xfId="3" applyFont="1" applyBorder="1" applyAlignment="1" applyProtection="1">
      <alignment horizontal="center" vertical="center" wrapText="1"/>
    </xf>
    <xf numFmtId="3" fontId="31" fillId="0" borderId="3" xfId="12" applyNumberFormat="1" applyFont="1" applyFill="1" applyBorder="1"/>
    <xf numFmtId="3" fontId="31" fillId="0" borderId="0" xfId="12" applyFont="1" applyAlignment="1">
      <alignment horizontal="right"/>
    </xf>
    <xf numFmtId="3" fontId="17" fillId="0" borderId="0" xfId="12" applyFont="1" applyAlignment="1">
      <alignment horizontal="right"/>
    </xf>
    <xf numFmtId="3" fontId="17" fillId="0" borderId="0" xfId="12" applyFont="1" applyAlignment="1">
      <alignment horizontal="left"/>
    </xf>
    <xf numFmtId="0" fontId="8" fillId="0" borderId="15" xfId="17" applyBorder="1" applyAlignment="1">
      <alignment horizontal="center" vertical="center"/>
    </xf>
    <xf numFmtId="0" fontId="8" fillId="0" borderId="15" xfId="17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169" fontId="8" fillId="10" borderId="0" xfId="18" applyNumberFormat="1" applyFill="1"/>
    <xf numFmtId="166" fontId="8" fillId="10" borderId="9" xfId="14" applyNumberFormat="1" applyFont="1" applyFill="1" applyBorder="1"/>
    <xf numFmtId="169" fontId="8" fillId="10" borderId="9" xfId="18" applyNumberFormat="1" applyFill="1" applyBorder="1"/>
    <xf numFmtId="1" fontId="8" fillId="10" borderId="9" xfId="17" applyNumberFormat="1" applyFont="1" applyFill="1" applyBorder="1"/>
    <xf numFmtId="0" fontId="11" fillId="0" borderId="9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3" fontId="8" fillId="10" borderId="9" xfId="18" applyFill="1" applyBorder="1"/>
    <xf numFmtId="168" fontId="8" fillId="10" borderId="0" xfId="18" applyNumberFormat="1" applyFill="1" applyBorder="1"/>
    <xf numFmtId="168" fontId="8" fillId="10" borderId="0" xfId="18" applyNumberFormat="1" applyFill="1"/>
    <xf numFmtId="43" fontId="8" fillId="10" borderId="0" xfId="17" applyNumberFormat="1" applyFill="1"/>
    <xf numFmtId="168" fontId="8" fillId="10" borderId="9" xfId="17" applyNumberFormat="1" applyFill="1" applyBorder="1"/>
    <xf numFmtId="168" fontId="8" fillId="10" borderId="0" xfId="17" applyNumberFormat="1" applyFill="1"/>
    <xf numFmtId="166" fontId="8" fillId="10" borderId="3" xfId="17" applyNumberFormat="1" applyFill="1" applyBorder="1"/>
    <xf numFmtId="171" fontId="8" fillId="10" borderId="9" xfId="17" applyNumberFormat="1" applyFill="1" applyBorder="1"/>
    <xf numFmtId="0" fontId="0" fillId="0" borderId="29" xfId="0" applyBorder="1" applyAlignment="1">
      <alignment horizontal="center" vertical="center"/>
    </xf>
    <xf numFmtId="3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37" fontId="0" fillId="0" borderId="0" xfId="0" applyNumberFormat="1" applyBorder="1"/>
    <xf numFmtId="37" fontId="0" fillId="0" borderId="0" xfId="3" applyNumberFormat="1" applyFont="1" applyBorder="1"/>
    <xf numFmtId="10" fontId="0" fillId="0" borderId="0" xfId="0" quotePrefix="1" applyNumberFormat="1" applyBorder="1"/>
    <xf numFmtId="37" fontId="0" fillId="0" borderId="18" xfId="3" applyNumberFormat="1" applyFont="1" applyBorder="1"/>
    <xf numFmtId="10" fontId="0" fillId="0" borderId="0" xfId="0" applyNumberFormat="1" applyBorder="1"/>
    <xf numFmtId="37" fontId="0" fillId="0" borderId="21" xfId="0" applyNumberFormat="1" applyBorder="1"/>
    <xf numFmtId="10" fontId="0" fillId="0" borderId="27" xfId="0" applyNumberFormat="1" applyBorder="1"/>
    <xf numFmtId="0" fontId="0" fillId="0" borderId="32" xfId="0" applyBorder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3" fontId="31" fillId="0" borderId="0" xfId="12" applyFont="1" applyAlignment="1">
      <alignment horizontal="right"/>
    </xf>
    <xf numFmtId="180" fontId="3" fillId="0" borderId="0" xfId="0" applyNumberFormat="1" applyFont="1"/>
    <xf numFmtId="49" fontId="3" fillId="0" borderId="0" xfId="12" applyNumberFormat="1" applyFont="1" applyFill="1" applyAlignment="1">
      <alignment horizontal="left"/>
    </xf>
    <xf numFmtId="0" fontId="3" fillId="0" borderId="17" xfId="13" applyFont="1" applyFill="1" applyBorder="1" applyAlignment="1">
      <alignment horizontal="right"/>
    </xf>
    <xf numFmtId="165" fontId="14" fillId="0" borderId="0" xfId="13" applyNumberFormat="1" applyFont="1" applyFill="1" applyBorder="1" applyAlignment="1">
      <alignment horizontal="right" indent="1"/>
    </xf>
    <xf numFmtId="0" fontId="3" fillId="0" borderId="17" xfId="13" applyFont="1" applyFill="1" applyBorder="1" applyAlignment="1">
      <alignment horizontal="left" indent="6"/>
    </xf>
    <xf numFmtId="0" fontId="3" fillId="0" borderId="17" xfId="13" applyFont="1" applyFill="1" applyBorder="1" applyAlignment="1">
      <alignment horizontal="left" indent="8"/>
    </xf>
    <xf numFmtId="165" fontId="3" fillId="0" borderId="0" xfId="13" applyNumberFormat="1" applyFont="1" applyFill="1" applyBorder="1" applyAlignment="1">
      <alignment horizontal="right" indent="1"/>
    </xf>
    <xf numFmtId="10" fontId="48" fillId="0" borderId="0" xfId="13" applyNumberFormat="1" applyFont="1" applyFill="1" applyBorder="1" applyAlignment="1">
      <alignment horizontal="right" indent="1"/>
    </xf>
    <xf numFmtId="0" fontId="0" fillId="0" borderId="17" xfId="0" applyFill="1" applyBorder="1"/>
    <xf numFmtId="0" fontId="0" fillId="0" borderId="0" xfId="0" applyFill="1" applyBorder="1"/>
    <xf numFmtId="10" fontId="3" fillId="8" borderId="10" xfId="13" applyNumberFormat="1" applyFont="1" applyFill="1" applyBorder="1" applyAlignment="1">
      <alignment horizontal="right" indent="1"/>
    </xf>
    <xf numFmtId="166" fontId="3" fillId="0" borderId="0" xfId="14" applyNumberFormat="1" applyFont="1" applyAlignment="1">
      <alignment vertical="top"/>
    </xf>
    <xf numFmtId="187" fontId="0" fillId="0" borderId="0" xfId="3" applyNumberFormat="1" applyFont="1" applyBorder="1"/>
    <xf numFmtId="39" fontId="0" fillId="0" borderId="0" xfId="0" applyNumberFormat="1" applyBorder="1"/>
    <xf numFmtId="187" fontId="0" fillId="0" borderId="0" xfId="0" applyNumberFormat="1" applyBorder="1"/>
    <xf numFmtId="167" fontId="0" fillId="0" borderId="0" xfId="3" applyNumberFormat="1" applyFont="1" applyFill="1" applyBorder="1"/>
    <xf numFmtId="167" fontId="0" fillId="0" borderId="0" xfId="3" applyNumberFormat="1" applyFont="1" applyFill="1"/>
    <xf numFmtId="182" fontId="20" fillId="0" borderId="0" xfId="0" applyNumberFormat="1" applyFont="1" applyFill="1"/>
    <xf numFmtId="168" fontId="20" fillId="0" borderId="0" xfId="0" applyNumberFormat="1" applyFont="1" applyFill="1"/>
    <xf numFmtId="180" fontId="2" fillId="0" borderId="0" xfId="4" applyNumberFormat="1" applyFont="1" applyFill="1" applyProtection="1">
      <alignment horizontal="right"/>
    </xf>
    <xf numFmtId="180" fontId="40" fillId="0" borderId="0" xfId="4" applyNumberFormat="1" applyFont="1" applyFill="1" applyProtection="1">
      <alignment horizontal="right"/>
    </xf>
    <xf numFmtId="10" fontId="20" fillId="0" borderId="0" xfId="0" applyNumberFormat="1" applyFont="1" applyFill="1"/>
    <xf numFmtId="180" fontId="3" fillId="0" borderId="3" xfId="4" applyNumberFormat="1" applyFont="1" applyFill="1" applyBorder="1" applyAlignment="1" applyProtection="1">
      <alignment horizontal="right" indent="1"/>
    </xf>
    <xf numFmtId="183" fontId="3" fillId="0" borderId="0" xfId="4" applyNumberFormat="1" applyFont="1" applyFill="1" applyProtection="1">
      <alignment horizontal="right"/>
    </xf>
    <xf numFmtId="180" fontId="3" fillId="0" borderId="3" xfId="4" applyNumberFormat="1" applyFont="1" applyFill="1" applyBorder="1" applyProtection="1">
      <alignment horizontal="right"/>
    </xf>
    <xf numFmtId="10" fontId="5" fillId="0" borderId="0" xfId="0" applyNumberFormat="1" applyFont="1" applyFill="1" applyAlignment="1">
      <alignment horizontal="center"/>
    </xf>
    <xf numFmtId="169" fontId="0" fillId="0" borderId="0" xfId="3" applyNumberFormat="1" applyFont="1" applyFill="1" applyAlignment="1">
      <alignment vertical="top"/>
    </xf>
    <xf numFmtId="168" fontId="49" fillId="0" borderId="0" xfId="3" applyNumberFormat="1" applyFont="1" applyAlignment="1">
      <alignment vertical="top"/>
    </xf>
    <xf numFmtId="169" fontId="8" fillId="0" borderId="0" xfId="3" applyNumberFormat="1" applyFont="1" applyFill="1"/>
    <xf numFmtId="169" fontId="0" fillId="0" borderId="0" xfId="3" applyNumberFormat="1" applyFont="1" applyFill="1"/>
    <xf numFmtId="10" fontId="8" fillId="0" borderId="0" xfId="0" applyNumberFormat="1" applyFont="1" applyFill="1"/>
    <xf numFmtId="168" fontId="0" fillId="0" borderId="0" xfId="3" applyNumberFormat="1" applyFont="1" applyFill="1"/>
    <xf numFmtId="43" fontId="0" fillId="0" borderId="0" xfId="0" applyNumberFormat="1" applyFill="1"/>
    <xf numFmtId="168" fontId="0" fillId="0" borderId="0" xfId="0" applyNumberFormat="1" applyFill="1" applyAlignment="1">
      <alignment horizontal="center"/>
    </xf>
    <xf numFmtId="169" fontId="0" fillId="9" borderId="9" xfId="3" applyNumberFormat="1" applyFont="1" applyFill="1" applyBorder="1"/>
    <xf numFmtId="166" fontId="8" fillId="9" borderId="9" xfId="14" applyNumberFormat="1" applyFont="1" applyFill="1" applyBorder="1"/>
    <xf numFmtId="166" fontId="0" fillId="8" borderId="9" xfId="14" applyNumberFormat="1" applyFont="1" applyFill="1" applyBorder="1"/>
    <xf numFmtId="171" fontId="1" fillId="8" borderId="9" xfId="0" applyNumberFormat="1" applyFont="1" applyFill="1" applyBorder="1"/>
    <xf numFmtId="171" fontId="0" fillId="8" borderId="9" xfId="0" applyNumberFormat="1" applyFill="1" applyBorder="1"/>
    <xf numFmtId="43" fontId="0" fillId="8" borderId="9" xfId="3" applyFont="1" applyFill="1" applyBorder="1"/>
    <xf numFmtId="168" fontId="0" fillId="9" borderId="9" xfId="0" applyNumberFormat="1" applyFill="1" applyBorder="1"/>
    <xf numFmtId="166" fontId="1" fillId="9" borderId="9" xfId="14" applyNumberFormat="1" applyFont="1" applyFill="1" applyBorder="1"/>
    <xf numFmtId="169" fontId="1" fillId="0" borderId="0" xfId="3" applyNumberFormat="1" applyFont="1" applyFill="1"/>
    <xf numFmtId="168" fontId="1" fillId="0" borderId="0" xfId="3" applyNumberFormat="1" applyFill="1"/>
    <xf numFmtId="166" fontId="1" fillId="8" borderId="9" xfId="14" applyNumberFormat="1" applyFill="1" applyBorder="1"/>
    <xf numFmtId="43" fontId="1" fillId="8" borderId="9" xfId="3" applyFill="1" applyBorder="1"/>
    <xf numFmtId="169" fontId="8" fillId="0" borderId="0" xfId="18" applyNumberFormat="1" applyFill="1"/>
    <xf numFmtId="0" fontId="8" fillId="0" borderId="0" xfId="17" applyFill="1"/>
    <xf numFmtId="168" fontId="8" fillId="0" borderId="0" xfId="18" applyNumberFormat="1" applyFill="1" applyBorder="1"/>
    <xf numFmtId="168" fontId="8" fillId="0" borderId="0" xfId="18" applyNumberFormat="1" applyFill="1"/>
    <xf numFmtId="43" fontId="8" fillId="0" borderId="0" xfId="17" applyNumberFormat="1" applyFill="1"/>
    <xf numFmtId="168" fontId="8" fillId="0" borderId="0" xfId="17" applyNumberFormat="1" applyFill="1"/>
    <xf numFmtId="166" fontId="8" fillId="0" borderId="3" xfId="17" applyNumberFormat="1" applyFill="1" applyBorder="1"/>
    <xf numFmtId="43" fontId="3" fillId="0" borderId="0" xfId="18" applyFont="1" applyFill="1" applyBorder="1" applyAlignment="1">
      <alignment horizontal="right"/>
    </xf>
    <xf numFmtId="169" fontId="8" fillId="9" borderId="9" xfId="18" applyNumberFormat="1" applyFill="1" applyBorder="1"/>
    <xf numFmtId="166" fontId="8" fillId="8" borderId="9" xfId="14" applyNumberFormat="1" applyFont="1" applyFill="1" applyBorder="1"/>
    <xf numFmtId="1" fontId="8" fillId="8" borderId="9" xfId="17" applyNumberFormat="1" applyFont="1" applyFill="1" applyBorder="1"/>
    <xf numFmtId="171" fontId="8" fillId="8" borderId="9" xfId="17" applyNumberFormat="1" applyFill="1" applyBorder="1"/>
    <xf numFmtId="43" fontId="8" fillId="8" borderId="9" xfId="18" applyFill="1" applyBorder="1"/>
    <xf numFmtId="168" fontId="8" fillId="9" borderId="9" xfId="17" applyNumberFormat="1" applyFill="1" applyBorder="1"/>
    <xf numFmtId="0" fontId="11" fillId="0" borderId="0" xfId="17" applyFont="1" applyFill="1" applyAlignment="1">
      <alignment horizontal="right"/>
    </xf>
    <xf numFmtId="0" fontId="11" fillId="0" borderId="0" xfId="17" applyFont="1" applyFill="1" applyAlignment="1"/>
    <xf numFmtId="0" fontId="2" fillId="0" borderId="0" xfId="17" applyFont="1" applyFill="1"/>
    <xf numFmtId="0" fontId="8" fillId="0" borderId="0" xfId="17" applyFont="1" applyFill="1"/>
    <xf numFmtId="0" fontId="2" fillId="0" borderId="0" xfId="17" applyFont="1" applyFill="1" applyBorder="1" applyAlignment="1">
      <alignment wrapText="1"/>
    </xf>
    <xf numFmtId="0" fontId="7" fillId="0" borderId="12" xfId="17" applyFont="1" applyFill="1" applyBorder="1" applyAlignment="1"/>
    <xf numFmtId="0" fontId="2" fillId="0" borderId="0" xfId="17" applyFont="1" applyFill="1" applyAlignment="1">
      <alignment horizontal="left" wrapText="1" indent="1"/>
    </xf>
    <xf numFmtId="0" fontId="2" fillId="0" borderId="0" xfId="17" applyFont="1" applyFill="1" applyAlignment="1">
      <alignment horizontal="left" indent="1"/>
    </xf>
    <xf numFmtId="0" fontId="8" fillId="0" borderId="0" xfId="17" applyFont="1" applyFill="1" applyAlignment="1">
      <alignment horizontal="left" indent="1"/>
    </xf>
    <xf numFmtId="0" fontId="8" fillId="0" borderId="0" xfId="17" applyFill="1" applyAlignment="1">
      <alignment horizontal="left" indent="2"/>
    </xf>
    <xf numFmtId="0" fontId="8" fillId="0" borderId="0" xfId="17" quotePrefix="1" applyFill="1" applyAlignment="1">
      <alignment horizontal="left" wrapText="1" indent="3"/>
    </xf>
    <xf numFmtId="0" fontId="8" fillId="0" borderId="0" xfId="17" applyFill="1" applyAlignment="1">
      <alignment horizontal="left" wrapText="1" indent="3"/>
    </xf>
    <xf numFmtId="0" fontId="8" fillId="0" borderId="0" xfId="17" applyFill="1" applyAlignment="1">
      <alignment horizontal="left" indent="3"/>
    </xf>
    <xf numFmtId="0" fontId="8" fillId="0" borderId="0" xfId="17" quotePrefix="1" applyFill="1" applyAlignment="1">
      <alignment horizontal="left" vertical="top" wrapText="1" indent="3"/>
    </xf>
    <xf numFmtId="0" fontId="3" fillId="0" borderId="0" xfId="17" applyFont="1" applyFill="1"/>
    <xf numFmtId="173" fontId="3" fillId="0" borderId="0" xfId="17" applyNumberFormat="1" applyFont="1" applyFill="1" applyAlignment="1" applyProtection="1">
      <alignment horizontal="left" vertical="center" indent="1"/>
    </xf>
    <xf numFmtId="169" fontId="49" fillId="0" borderId="3" xfId="18" applyNumberFormat="1" applyFont="1" applyFill="1" applyBorder="1"/>
    <xf numFmtId="41" fontId="29" fillId="0" borderId="0" xfId="4" applyNumberFormat="1" applyFont="1" applyFill="1" applyProtection="1">
      <alignment horizontal="right"/>
    </xf>
    <xf numFmtId="182" fontId="29" fillId="0" borderId="0" xfId="4" applyNumberFormat="1" applyFont="1" applyFill="1" applyAlignment="1" applyProtection="1">
      <alignment horizontal="right"/>
    </xf>
    <xf numFmtId="182" fontId="14" fillId="0" borderId="0" xfId="4" applyNumberFormat="1" applyFont="1" applyFill="1" applyProtection="1">
      <alignment horizontal="right"/>
    </xf>
    <xf numFmtId="182" fontId="29" fillId="0" borderId="0" xfId="4" applyNumberFormat="1" applyFont="1" applyFill="1" applyProtection="1">
      <alignment horizontal="right"/>
    </xf>
    <xf numFmtId="182" fontId="48" fillId="0" borderId="0" xfId="4" applyNumberFormat="1" applyFont="1" applyFill="1" applyProtection="1">
      <alignment horizontal="right"/>
    </xf>
    <xf numFmtId="182" fontId="3" fillId="0" borderId="0" xfId="4" applyNumberFormat="1" applyFont="1" applyFill="1" applyProtection="1">
      <alignment horizontal="right"/>
    </xf>
    <xf numFmtId="9" fontId="31" fillId="0" borderId="0" xfId="14" applyFont="1" applyFill="1"/>
    <xf numFmtId="3" fontId="32" fillId="0" borderId="0" xfId="12" applyFont="1" applyFill="1" applyBorder="1" applyAlignment="1"/>
    <xf numFmtId="3" fontId="31" fillId="0" borderId="2" xfId="12" applyNumberFormat="1" applyFont="1" applyFill="1" applyBorder="1"/>
    <xf numFmtId="3" fontId="17" fillId="0" borderId="0" xfId="12" applyFont="1" applyFill="1" applyAlignment="1">
      <alignment horizontal="right"/>
    </xf>
    <xf numFmtId="10" fontId="31" fillId="0" borderId="0" xfId="14" applyNumberFormat="1" applyFont="1" applyFill="1" applyBorder="1"/>
    <xf numFmtId="3" fontId="17" fillId="0" borderId="0" xfId="12" applyFont="1" applyFill="1" applyAlignment="1">
      <alignment horizontal="left"/>
    </xf>
    <xf numFmtId="164" fontId="31" fillId="0" borderId="0" xfId="14" applyNumberFormat="1" applyFont="1" applyFill="1" applyBorder="1" applyAlignment="1">
      <alignment horizontal="right"/>
    </xf>
    <xf numFmtId="3" fontId="31" fillId="0" borderId="0" xfId="12" applyFont="1" applyFill="1" applyAlignment="1">
      <alignment horizontal="left"/>
    </xf>
    <xf numFmtId="164" fontId="31" fillId="0" borderId="0" xfId="14" applyNumberFormat="1" applyFont="1" applyFill="1" applyBorder="1"/>
    <xf numFmtId="3" fontId="31" fillId="0" borderId="13" xfId="12" applyFont="1" applyFill="1" applyBorder="1"/>
    <xf numFmtId="3" fontId="38" fillId="0" borderId="0" xfId="12" applyFont="1" applyFill="1"/>
    <xf numFmtId="164" fontId="31" fillId="0" borderId="9" xfId="14" applyNumberFormat="1" applyFont="1" applyFill="1" applyBorder="1" applyAlignment="1">
      <alignment horizontal="center" vertical="center"/>
    </xf>
    <xf numFmtId="186" fontId="31" fillId="0" borderId="9" xfId="3" applyNumberFormat="1" applyFont="1" applyFill="1" applyBorder="1" applyAlignment="1">
      <alignment horizontal="center"/>
    </xf>
    <xf numFmtId="3" fontId="30" fillId="0" borderId="0" xfId="12" applyFont="1" applyFill="1" applyBorder="1" applyAlignment="1">
      <alignment horizontal="center" vertical="center"/>
    </xf>
    <xf numFmtId="3" fontId="31" fillId="0" borderId="0" xfId="12" applyFont="1" applyFill="1" applyBorder="1" applyAlignment="1">
      <alignment horizontal="center" vertical="center" wrapText="1"/>
    </xf>
    <xf numFmtId="3" fontId="31" fillId="0" borderId="0" xfId="12" applyFont="1" applyFill="1" applyBorder="1" applyAlignment="1">
      <alignment horizontal="center" vertical="center"/>
    </xf>
    <xf numFmtId="164" fontId="31" fillId="0" borderId="15" xfId="14" applyNumberFormat="1" applyFont="1" applyFill="1" applyBorder="1" applyAlignment="1">
      <alignment horizontal="center" vertical="center"/>
    </xf>
    <xf numFmtId="186" fontId="31" fillId="0" borderId="0" xfId="3" applyNumberFormat="1" applyFont="1" applyFill="1" applyBorder="1" applyAlignment="1">
      <alignment horizontal="center"/>
    </xf>
    <xf numFmtId="3" fontId="33" fillId="0" borderId="3" xfId="12" applyFont="1" applyFill="1" applyBorder="1"/>
    <xf numFmtId="3" fontId="31" fillId="0" borderId="9" xfId="12" applyFont="1" applyFill="1" applyBorder="1" applyAlignment="1">
      <alignment horizontal="center" vertical="center" wrapText="1"/>
    </xf>
    <xf numFmtId="3" fontId="31" fillId="0" borderId="14" xfId="12" applyFont="1" applyFill="1" applyBorder="1" applyAlignment="1">
      <alignment horizontal="center" vertical="center" wrapText="1"/>
    </xf>
    <xf numFmtId="3" fontId="30" fillId="0" borderId="8" xfId="12" applyFont="1" applyFill="1" applyBorder="1" applyAlignment="1">
      <alignment horizontal="center" vertical="center"/>
    </xf>
    <xf numFmtId="3" fontId="31" fillId="0" borderId="8" xfId="12" applyFont="1" applyFill="1" applyBorder="1" applyAlignment="1">
      <alignment horizontal="center" vertical="center" wrapText="1"/>
    </xf>
    <xf numFmtId="3" fontId="31" fillId="0" borderId="8" xfId="12" applyFont="1" applyFill="1" applyBorder="1" applyAlignment="1">
      <alignment horizontal="center" vertical="center"/>
    </xf>
    <xf numFmtId="164" fontId="31" fillId="0" borderId="0" xfId="14" applyNumberFormat="1" applyFont="1" applyFill="1" applyBorder="1" applyAlignment="1">
      <alignment horizontal="center" vertical="center"/>
    </xf>
    <xf numFmtId="3" fontId="33" fillId="0" borderId="9" xfId="12" applyFont="1" applyFill="1" applyBorder="1" applyAlignment="1">
      <alignment horizontal="center" vertical="center"/>
    </xf>
    <xf numFmtId="3" fontId="31" fillId="0" borderId="0" xfId="12" applyFont="1" applyAlignment="1">
      <alignment horizontal="right"/>
    </xf>
    <xf numFmtId="37" fontId="31" fillId="0" borderId="0" xfId="12" applyNumberFormat="1" applyFont="1"/>
    <xf numFmtId="43" fontId="31" fillId="0" borderId="2" xfId="12" applyNumberFormat="1" applyFont="1" applyBorder="1"/>
    <xf numFmtId="3" fontId="17" fillId="0" borderId="0" xfId="12" applyFont="1" applyFill="1"/>
    <xf numFmtId="164" fontId="14" fillId="0" borderId="0" xfId="14" applyNumberFormat="1" applyFont="1" applyFill="1" applyAlignment="1">
      <alignment horizontal="right" indent="1"/>
    </xf>
    <xf numFmtId="164" fontId="3" fillId="0" borderId="0" xfId="14" applyNumberFormat="1" applyFont="1" applyFill="1" applyAlignment="1">
      <alignment horizontal="right" indent="1"/>
    </xf>
    <xf numFmtId="164" fontId="14" fillId="0" borderId="0" xfId="14" applyNumberFormat="1" applyFont="1" applyFill="1" applyBorder="1" applyAlignment="1">
      <alignment horizontal="right" indent="1"/>
    </xf>
    <xf numFmtId="164" fontId="3" fillId="0" borderId="0" xfId="14" applyNumberFormat="1" applyFont="1" applyFill="1" applyBorder="1" applyAlignment="1">
      <alignment horizontal="right" indent="1"/>
    </xf>
    <xf numFmtId="164" fontId="14" fillId="0" borderId="3" xfId="14" applyNumberFormat="1" applyFont="1" applyFill="1" applyBorder="1" applyAlignment="1">
      <alignment horizontal="right" indent="1"/>
    </xf>
    <xf numFmtId="164" fontId="3" fillId="0" borderId="3" xfId="14" applyNumberFormat="1" applyFont="1" applyFill="1" applyBorder="1" applyAlignment="1">
      <alignment horizontal="right" indent="1"/>
    </xf>
    <xf numFmtId="164" fontId="3" fillId="0" borderId="8" xfId="14" applyNumberFormat="1" applyFont="1" applyFill="1" applyBorder="1" applyAlignment="1">
      <alignment horizontal="right" indent="1"/>
    </xf>
    <xf numFmtId="164" fontId="14" fillId="0" borderId="0" xfId="13" applyNumberFormat="1" applyFont="1" applyFill="1" applyAlignment="1">
      <alignment horizontal="right" indent="1"/>
    </xf>
    <xf numFmtId="164" fontId="3" fillId="0" borderId="0" xfId="13" applyNumberFormat="1" applyFont="1" applyFill="1" applyAlignment="1">
      <alignment horizontal="right" indent="1"/>
    </xf>
    <xf numFmtId="164" fontId="14" fillId="0" borderId="3" xfId="13" applyNumberFormat="1" applyFont="1" applyFill="1" applyBorder="1" applyAlignment="1">
      <alignment horizontal="right" indent="1"/>
    </xf>
    <xf numFmtId="164" fontId="3" fillId="0" borderId="3" xfId="13" applyNumberFormat="1" applyFont="1" applyFill="1" applyBorder="1" applyAlignment="1">
      <alignment horizontal="right" indent="1"/>
    </xf>
    <xf numFmtId="0" fontId="1" fillId="0" borderId="0" xfId="0" applyFont="1" applyAlignment="1">
      <alignment horizontal="right" vertical="top" wrapText="1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 indent="1"/>
    </xf>
    <xf numFmtId="3" fontId="1" fillId="0" borderId="0" xfId="12" quotePrefix="1" applyFont="1" applyAlignment="1">
      <alignment horizont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4" xfId="12" applyFont="1" applyBorder="1" applyAlignment="1">
      <alignment horizontal="center" vertical="center" wrapText="1"/>
    </xf>
    <xf numFmtId="0" fontId="1" fillId="0" borderId="0" xfId="17" applyFont="1" applyFill="1"/>
    <xf numFmtId="0" fontId="1" fillId="0" borderId="15" xfId="17" applyFont="1" applyBorder="1" applyAlignment="1">
      <alignment horizontal="center" vertical="center"/>
    </xf>
    <xf numFmtId="0" fontId="0" fillId="0" borderId="33" xfId="0" applyBorder="1"/>
    <xf numFmtId="0" fontId="2" fillId="0" borderId="34" xfId="13" applyFont="1" applyBorder="1" applyAlignment="1">
      <alignment horizontal="left" vertic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50" fillId="0" borderId="0" xfId="12" applyFont="1"/>
    <xf numFmtId="167" fontId="11" fillId="9" borderId="2" xfId="3" applyNumberFormat="1" applyFont="1" applyFill="1" applyBorder="1"/>
    <xf numFmtId="0" fontId="11" fillId="0" borderId="0" xfId="0" applyFont="1"/>
    <xf numFmtId="0" fontId="11" fillId="8" borderId="2" xfId="0" applyFont="1" applyFill="1" applyBorder="1" applyAlignment="1">
      <alignment wrapText="1"/>
    </xf>
    <xf numFmtId="182" fontId="51" fillId="0" borderId="0" xfId="4" applyNumberFormat="1" applyFont="1" applyFill="1" applyProtection="1">
      <alignment horizontal="right"/>
    </xf>
    <xf numFmtId="43" fontId="0" fillId="0" borderId="0" xfId="3" applyFont="1"/>
    <xf numFmtId="188" fontId="8" fillId="0" borderId="0" xfId="19" applyNumberFormat="1" applyFont="1" applyFill="1"/>
    <xf numFmtId="189" fontId="8" fillId="0" borderId="0" xfId="19" applyNumberFormat="1" applyFont="1" applyFill="1"/>
    <xf numFmtId="0" fontId="2" fillId="0" borderId="17" xfId="0" applyFont="1" applyFill="1" applyBorder="1" applyAlignment="1">
      <alignment horizontal="center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43" fontId="1" fillId="0" borderId="7" xfId="3" applyFont="1" applyFill="1" applyBorder="1" applyAlignment="1" applyProtection="1">
      <alignment horizontal="center" vertical="center" wrapText="1"/>
    </xf>
    <xf numFmtId="43" fontId="1" fillId="0" borderId="5" xfId="3" applyFont="1" applyFill="1" applyBorder="1" applyAlignment="1" applyProtection="1">
      <alignment horizontal="center" vertical="center" wrapText="1"/>
    </xf>
    <xf numFmtId="43" fontId="1" fillId="0" borderId="6" xfId="3" applyFont="1" applyFill="1" applyBorder="1" applyAlignment="1" applyProtection="1">
      <alignment horizontal="center" vertical="center" wrapText="1"/>
    </xf>
    <xf numFmtId="168" fontId="0" fillId="0" borderId="3" xfId="3" applyNumberFormat="1" applyFont="1" applyFill="1" applyBorder="1"/>
    <xf numFmtId="0" fontId="0" fillId="0" borderId="3" xfId="0" applyBorder="1"/>
    <xf numFmtId="171" fontId="14" fillId="0" borderId="0" xfId="4" applyNumberFormat="1" applyFont="1" applyFill="1" applyBorder="1" applyProtection="1">
      <alignment horizontal="right"/>
    </xf>
    <xf numFmtId="184" fontId="14" fillId="0" borderId="0" xfId="4" applyNumberFormat="1" applyFont="1" applyFill="1" applyBorder="1" applyProtection="1">
      <alignment horizontal="right"/>
    </xf>
    <xf numFmtId="182" fontId="14" fillId="0" borderId="0" xfId="4" applyNumberFormat="1" applyFont="1" applyFill="1" applyBorder="1" applyProtection="1">
      <alignment horizontal="right"/>
    </xf>
    <xf numFmtId="0" fontId="1" fillId="0" borderId="0" xfId="0" applyFont="1" applyBorder="1"/>
    <xf numFmtId="169" fontId="31" fillId="0" borderId="0" xfId="3" applyNumberFormat="1" applyFont="1" applyFill="1"/>
    <xf numFmtId="169" fontId="31" fillId="0" borderId="0" xfId="3" applyNumberFormat="1" applyFont="1" applyFill="1" applyBorder="1"/>
    <xf numFmtId="186" fontId="5" fillId="0" borderId="0" xfId="0" applyNumberFormat="1" applyFont="1" applyFill="1" applyAlignment="1">
      <alignment horizontal="left"/>
    </xf>
    <xf numFmtId="37" fontId="5" fillId="0" borderId="0" xfId="0" applyNumberFormat="1" applyFont="1" applyFill="1"/>
    <xf numFmtId="179" fontId="8" fillId="0" borderId="0" xfId="0" applyNumberFormat="1" applyFont="1" applyFill="1"/>
    <xf numFmtId="37" fontId="8" fillId="0" borderId="0" xfId="0" applyNumberFormat="1" applyFont="1" applyFill="1"/>
    <xf numFmtId="186" fontId="1" fillId="0" borderId="0" xfId="0" applyNumberFormat="1" applyFont="1" applyFill="1" applyAlignment="1">
      <alignment horizontal="left"/>
    </xf>
    <xf numFmtId="0" fontId="11" fillId="0" borderId="3" xfId="0" applyFont="1" applyBorder="1" applyAlignment="1">
      <alignment horizontal="center"/>
    </xf>
    <xf numFmtId="41" fontId="0" fillId="0" borderId="0" xfId="0" applyNumberFormat="1" applyFill="1"/>
    <xf numFmtId="179" fontId="0" fillId="0" borderId="0" xfId="0" applyNumberFormat="1" applyFill="1"/>
    <xf numFmtId="37" fontId="0" fillId="0" borderId="0" xfId="0" applyNumberFormat="1" applyFill="1"/>
    <xf numFmtId="169" fontId="0" fillId="0" borderId="0" xfId="0" applyNumberFormat="1"/>
    <xf numFmtId="37" fontId="1" fillId="0" borderId="0" xfId="0" applyNumberFormat="1" applyFont="1" applyFill="1"/>
    <xf numFmtId="179" fontId="1" fillId="0" borderId="0" xfId="0" applyNumberFormat="1" applyFont="1" applyFill="1"/>
    <xf numFmtId="169" fontId="0" fillId="0" borderId="3" xfId="0" applyNumberFormat="1" applyBorder="1"/>
    <xf numFmtId="169" fontId="11" fillId="0" borderId="21" xfId="0" applyNumberFormat="1" applyFont="1" applyBorder="1"/>
    <xf numFmtId="49" fontId="11" fillId="0" borderId="0" xfId="0" applyNumberFormat="1" applyFont="1" applyAlignment="1">
      <alignment horizontal="left"/>
    </xf>
    <xf numFmtId="180" fontId="14" fillId="0" borderId="3" xfId="4" applyNumberFormat="1" applyFont="1" applyFill="1" applyBorder="1" applyProtection="1">
      <alignment horizontal="right"/>
    </xf>
    <xf numFmtId="3" fontId="31" fillId="0" borderId="35" xfId="12" applyFont="1" applyFill="1" applyBorder="1" applyAlignment="1">
      <alignment horizontal="center" wrapText="1"/>
    </xf>
    <xf numFmtId="3" fontId="31" fillId="0" borderId="8" xfId="12" applyFont="1" applyFill="1" applyBorder="1" applyAlignment="1">
      <alignment horizontal="center" wrapText="1"/>
    </xf>
    <xf numFmtId="40" fontId="3" fillId="0" borderId="0" xfId="0" applyNumberFormat="1" applyFont="1"/>
    <xf numFmtId="168" fontId="3" fillId="0" borderId="0" xfId="3" applyNumberFormat="1" applyFont="1" applyFill="1"/>
    <xf numFmtId="168" fontId="5" fillId="0" borderId="2" xfId="3" applyNumberFormat="1" applyFont="1" applyBorder="1"/>
    <xf numFmtId="168" fontId="0" fillId="0" borderId="2" xfId="3" applyNumberFormat="1" applyFont="1" applyBorder="1"/>
    <xf numFmtId="10" fontId="5" fillId="0" borderId="2" xfId="14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ill="1" applyBorder="1"/>
    <xf numFmtId="40" fontId="2" fillId="0" borderId="2" xfId="0" applyNumberFormat="1" applyFont="1" applyBorder="1" applyAlignment="1">
      <alignment horizontal="left"/>
    </xf>
    <xf numFmtId="43" fontId="2" fillId="0" borderId="2" xfId="0" applyNumberFormat="1" applyFont="1" applyFill="1" applyBorder="1"/>
    <xf numFmtId="49" fontId="3" fillId="0" borderId="3" xfId="12" applyNumberFormat="1" applyFont="1" applyFill="1" applyBorder="1" applyAlignment="1">
      <alignment horizontal="left"/>
    </xf>
    <xf numFmtId="168" fontId="21" fillId="0" borderId="0" xfId="3" applyNumberFormat="1" applyFont="1" applyFill="1" applyAlignment="1">
      <alignment horizontal="right"/>
    </xf>
    <xf numFmtId="172" fontId="20" fillId="0" borderId="0" xfId="12" applyNumberFormat="1" applyFill="1"/>
    <xf numFmtId="180" fontId="29" fillId="0" borderId="0" xfId="4" applyNumberFormat="1" applyFont="1" applyFill="1" applyProtection="1">
      <alignment horizontal="right"/>
    </xf>
    <xf numFmtId="41" fontId="3" fillId="0" borderId="3" xfId="4" applyNumberFormat="1" applyFont="1" applyFill="1" applyBorder="1" applyProtection="1">
      <alignment horizontal="right"/>
    </xf>
    <xf numFmtId="180" fontId="48" fillId="0" borderId="0" xfId="4" applyNumberFormat="1" applyFont="1" applyFill="1" applyProtection="1">
      <alignment horizontal="right"/>
    </xf>
    <xf numFmtId="168" fontId="21" fillId="0" borderId="0" xfId="3" applyNumberFormat="1" applyFont="1" applyFill="1" applyBorder="1" applyAlignment="1">
      <alignment horizontal="right"/>
    </xf>
    <xf numFmtId="168" fontId="21" fillId="0" borderId="3" xfId="3" applyNumberFormat="1" applyFont="1" applyFill="1" applyBorder="1" applyAlignment="1">
      <alignment horizontal="right"/>
    </xf>
    <xf numFmtId="0" fontId="57" fillId="0" borderId="3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168" fontId="11" fillId="0" borderId="0" xfId="3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69" fontId="1" fillId="0" borderId="0" xfId="3" applyNumberFormat="1" applyFont="1" applyFill="1" applyAlignment="1">
      <alignment vertical="top"/>
    </xf>
    <xf numFmtId="0" fontId="1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right" vertical="center" wrapText="1"/>
    </xf>
    <xf numFmtId="169" fontId="11" fillId="0" borderId="0" xfId="3" applyNumberFormat="1" applyFont="1" applyFill="1" applyBorder="1" applyAlignment="1">
      <alignment vertical="center"/>
    </xf>
    <xf numFmtId="168" fontId="11" fillId="9" borderId="16" xfId="3" applyNumberFormat="1" applyFont="1" applyFill="1" applyBorder="1" applyAlignment="1">
      <alignment vertical="center"/>
    </xf>
    <xf numFmtId="169" fontId="11" fillId="9" borderId="16" xfId="3" applyNumberFormat="1" applyFont="1" applyFill="1" applyBorder="1" applyAlignment="1">
      <alignment vertical="center"/>
    </xf>
    <xf numFmtId="3" fontId="31" fillId="0" borderId="14" xfId="12" applyFont="1" applyFill="1" applyBorder="1" applyAlignment="1">
      <alignment horizontal="center" vertical="center" wrapText="1"/>
    </xf>
    <xf numFmtId="169" fontId="1" fillId="0" borderId="8" xfId="3" applyNumberFormat="1" applyFont="1" applyFill="1" applyBorder="1" applyAlignment="1">
      <alignment vertical="center"/>
    </xf>
    <xf numFmtId="169" fontId="0" fillId="0" borderId="0" xfId="0" applyNumberFormat="1" applyFill="1"/>
    <xf numFmtId="169" fontId="1" fillId="0" borderId="0" xfId="3" applyNumberFormat="1" applyFont="1" applyFill="1" applyBorder="1" applyAlignment="1">
      <alignment horizontal="center" vertical="center"/>
    </xf>
    <xf numFmtId="169" fontId="1" fillId="0" borderId="0" xfId="3" applyNumberFormat="1" applyFont="1" applyFill="1" applyBorder="1" applyAlignment="1">
      <alignment vertical="center"/>
    </xf>
    <xf numFmtId="0" fontId="11" fillId="9" borderId="16" xfId="0" applyFont="1" applyFill="1" applyBorder="1" applyAlignment="1">
      <alignment horizontal="right" vertical="center" wrapText="1"/>
    </xf>
    <xf numFmtId="0" fontId="11" fillId="10" borderId="16" xfId="0" applyFont="1" applyFill="1" applyBorder="1" applyAlignment="1">
      <alignment horizontal="right" vertical="center" wrapText="1"/>
    </xf>
    <xf numFmtId="169" fontId="11" fillId="10" borderId="16" xfId="0" applyNumberFormat="1" applyFont="1" applyFill="1" applyBorder="1"/>
    <xf numFmtId="0" fontId="1" fillId="9" borderId="16" xfId="0" applyFont="1" applyFill="1" applyBorder="1" applyAlignment="1">
      <alignment horizontal="right" vertical="center" wrapText="1"/>
    </xf>
    <xf numFmtId="168" fontId="5" fillId="0" borderId="0" xfId="3" applyNumberFormat="1" applyFont="1" applyFill="1" applyAlignment="1">
      <alignment vertical="top"/>
    </xf>
    <xf numFmtId="168" fontId="49" fillId="0" borderId="0" xfId="3" applyNumberFormat="1" applyFont="1" applyFill="1" applyAlignment="1">
      <alignment vertical="top"/>
    </xf>
    <xf numFmtId="168" fontId="1" fillId="0" borderId="0" xfId="3" applyNumberFormat="1" applyFont="1" applyFill="1" applyAlignment="1">
      <alignment vertical="top"/>
    </xf>
    <xf numFmtId="0" fontId="1" fillId="10" borderId="16" xfId="0" applyFont="1" applyFill="1" applyBorder="1" applyAlignment="1">
      <alignment horizontal="right" vertical="center" wrapText="1"/>
    </xf>
    <xf numFmtId="168" fontId="11" fillId="10" borderId="16" xfId="3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0" fillId="0" borderId="37" xfId="0" applyBorder="1"/>
    <xf numFmtId="169" fontId="11" fillId="8" borderId="16" xfId="0" applyNumberFormat="1" applyFont="1" applyFill="1" applyBorder="1"/>
    <xf numFmtId="0" fontId="11" fillId="8" borderId="16" xfId="0" applyFont="1" applyFill="1" applyBorder="1" applyAlignment="1">
      <alignment horizontal="right" wrapText="1"/>
    </xf>
    <xf numFmtId="168" fontId="11" fillId="8" borderId="16" xfId="0" applyNumberFormat="1" applyFont="1" applyFill="1" applyBorder="1"/>
    <xf numFmtId="182" fontId="3" fillId="0" borderId="3" xfId="4" applyNumberFormat="1" applyFont="1" applyFill="1" applyBorder="1" applyProtection="1">
      <alignment horizontal="right"/>
    </xf>
    <xf numFmtId="182" fontId="14" fillId="0" borderId="3" xfId="4" applyNumberFormat="1" applyFont="1" applyFill="1" applyBorder="1" applyProtection="1">
      <alignment horizontal="right"/>
    </xf>
    <xf numFmtId="182" fontId="48" fillId="0" borderId="3" xfId="4" applyNumberFormat="1" applyFont="1" applyFill="1" applyBorder="1" applyProtection="1">
      <alignment horizontal="right"/>
    </xf>
    <xf numFmtId="180" fontId="48" fillId="0" borderId="3" xfId="4" applyNumberFormat="1" applyFont="1" applyFill="1" applyBorder="1" applyProtection="1">
      <alignment horizontal="right"/>
    </xf>
    <xf numFmtId="0" fontId="2" fillId="0" borderId="0" xfId="0" applyFont="1" applyAlignment="1"/>
    <xf numFmtId="0" fontId="3" fillId="0" borderId="0" xfId="0" applyFont="1" applyAlignment="1" applyProtection="1"/>
    <xf numFmtId="190" fontId="11" fillId="10" borderId="16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vertical="top" wrapText="1"/>
    </xf>
    <xf numFmtId="10" fontId="0" fillId="0" borderId="0" xfId="14" applyNumberFormat="1" applyFont="1" applyFill="1"/>
    <xf numFmtId="0" fontId="1" fillId="9" borderId="9" xfId="0" applyFont="1" applyFill="1" applyBorder="1" applyAlignment="1">
      <alignment horizontal="left" wrapText="1"/>
    </xf>
    <xf numFmtId="0" fontId="11" fillId="10" borderId="9" xfId="0" applyFont="1" applyFill="1" applyBorder="1" applyAlignment="1">
      <alignment horizontal="left" vertical="center" wrapText="1"/>
    </xf>
    <xf numFmtId="169" fontId="11" fillId="10" borderId="0" xfId="3" applyNumberFormat="1" applyFont="1" applyFill="1" applyBorder="1" applyAlignment="1">
      <alignment vertical="center"/>
    </xf>
    <xf numFmtId="0" fontId="0" fillId="9" borderId="9" xfId="0" applyFill="1" applyBorder="1" applyAlignment="1">
      <alignment horizontal="center" vertical="center"/>
    </xf>
    <xf numFmtId="0" fontId="1" fillId="9" borderId="9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center"/>
    </xf>
    <xf numFmtId="49" fontId="0" fillId="0" borderId="26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3" fillId="0" borderId="0" xfId="0" applyFont="1" applyAlignment="1" applyProtection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3" fillId="0" borderId="0" xfId="0" applyNumberFormat="1" applyFont="1" applyAlignment="1" applyProtection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2" fillId="0" borderId="0" xfId="17" applyFont="1" applyAlignment="1">
      <alignment horizontal="center"/>
    </xf>
    <xf numFmtId="0" fontId="3" fillId="0" borderId="0" xfId="17" applyFont="1" applyAlignment="1" applyProtection="1">
      <alignment horizontal="center"/>
    </xf>
    <xf numFmtId="0" fontId="3" fillId="0" borderId="0" xfId="17" quotePrefix="1" applyFont="1" applyAlignment="1" applyProtection="1">
      <alignment horizontal="center"/>
    </xf>
    <xf numFmtId="0" fontId="8" fillId="0" borderId="0" xfId="17" quotePrefix="1" applyFont="1" applyAlignment="1">
      <alignment horizontal="center"/>
    </xf>
    <xf numFmtId="3" fontId="2" fillId="0" borderId="0" xfId="12" applyFont="1" applyAlignment="1">
      <alignment horizontal="center"/>
    </xf>
    <xf numFmtId="3" fontId="20" fillId="0" borderId="0" xfId="12" applyFont="1" applyAlignment="1">
      <alignment horizontal="center" wrapText="1"/>
    </xf>
    <xf numFmtId="3" fontId="20" fillId="0" borderId="0" xfId="12" applyAlignment="1">
      <alignment horizontal="center"/>
    </xf>
    <xf numFmtId="49" fontId="3" fillId="0" borderId="0" xfId="12" applyNumberFormat="1" applyFont="1" applyAlignment="1">
      <alignment horizontal="center"/>
    </xf>
    <xf numFmtId="49" fontId="20" fillId="0" borderId="0" xfId="12" applyNumberFormat="1" applyAlignment="1">
      <alignment horizontal="center"/>
    </xf>
    <xf numFmtId="3" fontId="1" fillId="0" borderId="0" xfId="12" quotePrefix="1" applyFont="1" applyAlignment="1">
      <alignment horizontal="center"/>
    </xf>
    <xf numFmtId="3" fontId="20" fillId="0" borderId="0" xfId="12" applyFont="1" applyAlignment="1">
      <alignment horizontal="left" vertical="top" wrapText="1" indent="1"/>
    </xf>
    <xf numFmtId="3" fontId="20" fillId="0" borderId="14" xfId="12" applyFill="1" applyBorder="1" applyAlignment="1">
      <alignment horizontal="center" vertical="center"/>
    </xf>
    <xf numFmtId="3" fontId="20" fillId="0" borderId="15" xfId="12" applyFill="1" applyBorder="1" applyAlignment="1">
      <alignment horizontal="center" vertical="center"/>
    </xf>
    <xf numFmtId="3" fontId="20" fillId="0" borderId="14" xfId="12" applyFill="1" applyBorder="1" applyAlignment="1">
      <alignment horizontal="center" vertical="center" wrapText="1"/>
    </xf>
    <xf numFmtId="3" fontId="20" fillId="0" borderId="15" xfId="12" applyFill="1" applyBorder="1" applyAlignment="1">
      <alignment horizontal="center" vertical="center" wrapText="1"/>
    </xf>
    <xf numFmtId="3" fontId="20" fillId="0" borderId="14" xfId="12" applyFont="1" applyFill="1" applyBorder="1" applyAlignment="1">
      <alignment horizontal="center" vertical="center" wrapText="1"/>
    </xf>
    <xf numFmtId="3" fontId="20" fillId="0" borderId="15" xfId="12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3" fontId="20" fillId="0" borderId="0" xfId="12" applyAlignment="1">
      <alignment horizontal="center" wrapText="1"/>
    </xf>
    <xf numFmtId="3" fontId="20" fillId="0" borderId="14" xfId="12" applyFont="1" applyBorder="1" applyAlignment="1">
      <alignment horizontal="center" vertical="center" wrapText="1"/>
    </xf>
    <xf numFmtId="3" fontId="20" fillId="0" borderId="15" xfId="12" applyFont="1" applyBorder="1" applyAlignment="1">
      <alignment horizontal="center" vertical="center" wrapText="1"/>
    </xf>
    <xf numFmtId="3" fontId="3" fillId="0" borderId="14" xfId="12" applyFont="1" applyBorder="1" applyAlignment="1">
      <alignment horizontal="center" vertical="center"/>
    </xf>
    <xf numFmtId="3" fontId="3" fillId="0" borderId="15" xfId="12" applyFont="1" applyBorder="1" applyAlignment="1">
      <alignment horizontal="center" vertical="center"/>
    </xf>
    <xf numFmtId="3" fontId="20" fillId="0" borderId="0" xfId="12" applyFont="1" applyAlignment="1">
      <alignment horizontal="left" vertical="top" wrapText="1" indent="2"/>
    </xf>
    <xf numFmtId="3" fontId="20" fillId="0" borderId="14" xfId="12" applyBorder="1" applyAlignment="1">
      <alignment horizontal="center" vertical="center" wrapText="1"/>
    </xf>
    <xf numFmtId="3" fontId="20" fillId="0" borderId="15" xfId="12" applyBorder="1" applyAlignment="1">
      <alignment horizontal="center" vertical="center" wrapText="1"/>
    </xf>
    <xf numFmtId="3" fontId="3" fillId="0" borderId="0" xfId="12" applyFont="1" applyAlignment="1">
      <alignment horizontal="center" wrapText="1"/>
    </xf>
    <xf numFmtId="3" fontId="34" fillId="0" borderId="0" xfId="12" applyFont="1" applyFill="1" applyAlignment="1">
      <alignment horizontal="left"/>
    </xf>
    <xf numFmtId="3" fontId="17" fillId="0" borderId="0" xfId="12" applyFont="1" applyFill="1" applyAlignment="1">
      <alignment horizontal="right"/>
    </xf>
    <xf numFmtId="3" fontId="31" fillId="0" borderId="0" xfId="12" applyFont="1" applyFill="1" applyAlignment="1">
      <alignment horizontal="right"/>
    </xf>
    <xf numFmtId="3" fontId="16" fillId="0" borderId="21" xfId="12" applyFont="1" applyFill="1" applyBorder="1" applyAlignment="1">
      <alignment horizontal="center"/>
    </xf>
    <xf numFmtId="3" fontId="32" fillId="0" borderId="21" xfId="12" applyFont="1" applyFill="1" applyBorder="1" applyAlignment="1">
      <alignment horizontal="center"/>
    </xf>
    <xf numFmtId="3" fontId="30" fillId="0" borderId="14" xfId="12" applyFont="1" applyFill="1" applyBorder="1" applyAlignment="1">
      <alignment horizontal="center" vertical="center"/>
    </xf>
    <xf numFmtId="3" fontId="30" fillId="0" borderId="15" xfId="12" applyFont="1" applyFill="1" applyBorder="1" applyAlignment="1">
      <alignment horizontal="center" vertical="center"/>
    </xf>
    <xf numFmtId="3" fontId="31" fillId="0" borderId="14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 wrapText="1"/>
    </xf>
    <xf numFmtId="3" fontId="31" fillId="0" borderId="15" xfId="12" applyFont="1" applyFill="1" applyBorder="1" applyAlignment="1">
      <alignment horizontal="center" vertical="center"/>
    </xf>
    <xf numFmtId="3" fontId="31" fillId="0" borderId="14" xfId="12" applyFont="1" applyFill="1" applyBorder="1" applyAlignment="1">
      <alignment horizontal="center" wrapText="1"/>
    </xf>
    <xf numFmtId="3" fontId="31" fillId="0" borderId="15" xfId="12" applyFont="1" applyFill="1" applyBorder="1" applyAlignment="1">
      <alignment horizontal="center" wrapText="1"/>
    </xf>
    <xf numFmtId="3" fontId="34" fillId="0" borderId="0" xfId="12" applyFont="1" applyAlignment="1">
      <alignment horizontal="left"/>
    </xf>
    <xf numFmtId="3" fontId="30" fillId="0" borderId="14" xfId="12" applyFont="1" applyBorder="1" applyAlignment="1">
      <alignment horizontal="center" vertical="center"/>
    </xf>
    <xf numFmtId="3" fontId="30" fillId="0" borderId="15" xfId="12" applyFont="1" applyBorder="1" applyAlignment="1">
      <alignment horizontal="center" vertical="center"/>
    </xf>
    <xf numFmtId="3" fontId="30" fillId="0" borderId="36" xfId="12" applyFont="1" applyFill="1" applyBorder="1" applyAlignment="1">
      <alignment horizontal="center" vertical="center"/>
    </xf>
    <xf numFmtId="3" fontId="31" fillId="0" borderId="36" xfId="12" applyFont="1" applyFill="1" applyBorder="1" applyAlignment="1">
      <alignment horizontal="center" vertical="center" wrapText="1"/>
    </xf>
    <xf numFmtId="3" fontId="31" fillId="0" borderId="36" xfId="12" applyFont="1" applyFill="1" applyBorder="1" applyAlignment="1">
      <alignment horizontal="center" vertical="center"/>
    </xf>
    <xf numFmtId="3" fontId="31" fillId="0" borderId="36" xfId="12" applyFont="1" applyFill="1" applyBorder="1" applyAlignment="1">
      <alignment horizontal="center" wrapText="1"/>
    </xf>
    <xf numFmtId="3" fontId="16" fillId="0" borderId="21" xfId="12" applyFont="1" applyBorder="1" applyAlignment="1">
      <alignment horizontal="center"/>
    </xf>
    <xf numFmtId="3" fontId="32" fillId="0" borderId="21" xfId="12" applyFont="1" applyBorder="1" applyAlignment="1">
      <alignment horizontal="center"/>
    </xf>
    <xf numFmtId="3" fontId="17" fillId="0" borderId="0" xfId="12" applyFont="1" applyAlignment="1">
      <alignment horizontal="right"/>
    </xf>
    <xf numFmtId="3" fontId="31" fillId="0" borderId="0" xfId="12" applyFont="1" applyAlignment="1">
      <alignment horizontal="right"/>
    </xf>
    <xf numFmtId="3" fontId="30" fillId="0" borderId="36" xfId="12" applyFont="1" applyBorder="1" applyAlignment="1">
      <alignment horizontal="center" vertical="center"/>
    </xf>
    <xf numFmtId="3" fontId="31" fillId="0" borderId="14" xfId="12" applyFont="1" applyBorder="1" applyAlignment="1">
      <alignment horizontal="center" vertical="center" wrapText="1"/>
    </xf>
    <xf numFmtId="3" fontId="31" fillId="0" borderId="36" xfId="12" applyFont="1" applyBorder="1" applyAlignment="1">
      <alignment horizontal="center" vertical="center" wrapText="1"/>
    </xf>
    <xf numFmtId="3" fontId="31" fillId="0" borderId="36" xfId="12" applyFont="1" applyBorder="1" applyAlignment="1">
      <alignment horizontal="center" vertical="center"/>
    </xf>
    <xf numFmtId="3" fontId="31" fillId="0" borderId="15" xfId="12" applyFont="1" applyBorder="1" applyAlignment="1">
      <alignment horizontal="center" vertical="center" wrapText="1"/>
    </xf>
    <xf numFmtId="3" fontId="31" fillId="0" borderId="15" xfId="12" applyFont="1" applyBorder="1" applyAlignment="1">
      <alignment horizontal="center" vertical="center"/>
    </xf>
    <xf numFmtId="3" fontId="1" fillId="0" borderId="0" xfId="12" applyFont="1" applyAlignment="1">
      <alignment horizontal="left"/>
    </xf>
    <xf numFmtId="3" fontId="30" fillId="0" borderId="9" xfId="12" applyFont="1" applyBorder="1" applyAlignment="1">
      <alignment horizontal="center" vertical="center"/>
    </xf>
    <xf numFmtId="3" fontId="31" fillId="0" borderId="9" xfId="12" applyFont="1" applyBorder="1" applyAlignment="1">
      <alignment horizontal="center" vertical="center" wrapText="1"/>
    </xf>
    <xf numFmtId="3" fontId="31" fillId="0" borderId="9" xfId="12" applyFont="1" applyBorder="1" applyAlignment="1">
      <alignment horizontal="center" vertical="center"/>
    </xf>
    <xf numFmtId="3" fontId="30" fillId="0" borderId="0" xfId="12" applyFont="1" applyAlignment="1">
      <alignment horizontal="center"/>
    </xf>
    <xf numFmtId="3" fontId="31" fillId="0" borderId="0" xfId="12" applyFont="1" applyAlignment="1">
      <alignment horizontal="center"/>
    </xf>
    <xf numFmtId="3" fontId="1" fillId="0" borderId="0" xfId="12" applyFont="1" applyFill="1" applyAlignment="1">
      <alignment horizontal="left"/>
    </xf>
    <xf numFmtId="3" fontId="31" fillId="0" borderId="9" xfId="12" applyFont="1" applyFill="1" applyBorder="1" applyAlignment="1">
      <alignment horizontal="center" wrapText="1"/>
    </xf>
    <xf numFmtId="0" fontId="11" fillId="10" borderId="30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/>
    </xf>
    <xf numFmtId="0" fontId="11" fillId="10" borderId="31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/>
    </xf>
    <xf numFmtId="0" fontId="11" fillId="11" borderId="3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/>
    </xf>
    <xf numFmtId="0" fontId="3" fillId="0" borderId="17" xfId="13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16" fillId="4" borderId="28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center"/>
    </xf>
    <xf numFmtId="49" fontId="3" fillId="0" borderId="0" xfId="0" quotePrefix="1" applyNumberFormat="1" applyFont="1" applyAlignment="1" applyProtection="1">
      <alignment horizontal="center"/>
    </xf>
    <xf numFmtId="0" fontId="3" fillId="0" borderId="0" xfId="0" quotePrefix="1" applyFont="1" applyAlignment="1" applyProtection="1">
      <alignment horizontal="center"/>
    </xf>
    <xf numFmtId="0" fontId="16" fillId="4" borderId="23" xfId="0" applyFont="1" applyFill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quotePrefix="1" applyFont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</cellXfs>
  <cellStyles count="20">
    <cellStyle name="Actual Date" xfId="1"/>
    <cellStyle name="Cents" xfId="2"/>
    <cellStyle name="Comma" xfId="3" builtinId="3"/>
    <cellStyle name="Comma_2008 TY CWIP COS" xfId="4"/>
    <cellStyle name="Comma_CWIP Balancing Account September_v4" xfId="18"/>
    <cellStyle name="Currency" xfId="19" builtinId="4"/>
    <cellStyle name="Currency.00" xfId="5"/>
    <cellStyle name="Date" xfId="6"/>
    <cellStyle name="Decimal" xfId="7"/>
    <cellStyle name="Floating" xfId="8"/>
    <cellStyle name="Heading1" xfId="9"/>
    <cellStyle name="Heading2" xfId="10"/>
    <cellStyle name="Hyperlink" xfId="11" builtinId="8"/>
    <cellStyle name="Normal" xfId="0" builtinId="0"/>
    <cellStyle name="Normal_2008 TY CWIP COS" xfId="12"/>
    <cellStyle name="Normal_CWIP Balancing Account September_v4" xfId="17"/>
    <cellStyle name="Normal_FCR Rev Req" xfId="13"/>
    <cellStyle name="Percent" xfId="14" builtinId="5"/>
    <cellStyle name="Percent[0]" xfId="15"/>
    <cellStyle name="Total" xfId="16" builtinId="25" customBuiltin="1"/>
  </cellStyles>
  <dxfs count="0"/>
  <tableStyles count="0" defaultTableStyle="TableStyleMedium9" defaultPivotStyle="PivotStyleLight16"/>
  <colors>
    <mruColors>
      <color rgb="FFCCFFCC"/>
      <color rgb="FF99CCFF"/>
      <color rgb="FFFF99CC"/>
      <color rgb="FFFFFF99"/>
      <color rgb="FF99FF99"/>
      <color rgb="FF0000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DESKTOP\FERC%20Case%20Two\Complia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ERC-REG\FERC\ALGROUP\CWIP\CWIP%20Budget%20Analysis\2011TY%20CWIP%20Budget%20Forecast%20Oct%20Update%2010.29.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1"/>
      <sheetName val="Exhibit"/>
      <sheetName val="Inc Stmt"/>
      <sheetName val="Rate Base"/>
      <sheetName val="Rev Tax"/>
      <sheetName val="O&amp;M "/>
      <sheetName val="ALF"/>
      <sheetName val="FF&amp;U"/>
      <sheetName val="Ann Chg"/>
      <sheetName val="Acct 928"/>
      <sheetName val="RR - IS"/>
      <sheetName val="SUMMARY"/>
      <sheetName val="Sheet1"/>
      <sheetName val="Compliance"/>
      <sheetName val="#REF"/>
      <sheetName val="COS"/>
      <sheetName val="T&amp;D ISO PERCENTAGE"/>
      <sheetName val="Sheet2"/>
      <sheetName val="Sheet3"/>
      <sheetName val="Sheet4"/>
      <sheetName val="Sheet5"/>
      <sheetName val="Sheet6"/>
      <sheetName val="Sheet7"/>
      <sheetName val="FERC SUMMARY"/>
    </sheetNames>
    <sheetDataSet>
      <sheetData sheetId="0" refreshError="1"/>
      <sheetData sheetId="1" refreshError="1">
        <row r="13">
          <cell r="B13" t="str">
            <v>Period II -- Year 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orkpapers"/>
      <sheetName val="Formula COS"/>
      <sheetName val="Formula Taxes"/>
      <sheetName val="DCR Rev Req"/>
      <sheetName val="TRTP Rev Req"/>
      <sheetName val="EDIP Rev Req"/>
      <sheetName val="Lugo-Pisgah Rev Req"/>
      <sheetName val="Redbluff Rev Req"/>
      <sheetName val="DPV2 Rate Base"/>
      <sheetName val="Tehachapi Rate Base"/>
      <sheetName val="EDIP Rate Base"/>
      <sheetName val="Lugo-Pisgah Rate Base"/>
      <sheetName val="Redbluff Rate Base"/>
      <sheetName val="DPV2 Transfer"/>
      <sheetName val="Lugo-Pisgah Transfer"/>
      <sheetName val="Def Tax"/>
      <sheetName val="Cost of Capital"/>
      <sheetName val="Income Tax Rate"/>
      <sheetName val="O&amp;M FF&amp;U"/>
      <sheetName val="Overhead Loader"/>
      <sheetName val="Statement BJ"/>
      <sheetName val="Statement BK"/>
      <sheetName val="Statement AG"/>
      <sheetName val="Statement AM"/>
      <sheetName val="Statement AP"/>
      <sheetName val="Statement AQ"/>
      <sheetName val="Statement AR"/>
      <sheetName val="Statement AS"/>
      <sheetName val="Statement AT"/>
      <sheetName val="Statement AY"/>
      <sheetName val="Options"/>
      <sheetName val="Inc Stmt"/>
      <sheetName val="Rev Ta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2">
          <cell r="G22">
            <v>8088.6356284069989</v>
          </cell>
        </row>
      </sheetData>
      <sheetData sheetId="12">
        <row r="22">
          <cell r="G22">
            <v>0</v>
          </cell>
        </row>
      </sheetData>
      <sheetData sheetId="13">
        <row r="22">
          <cell r="G22">
            <v>0</v>
          </cell>
        </row>
      </sheetData>
      <sheetData sheetId="14"/>
      <sheetData sheetId="15"/>
      <sheetData sheetId="16">
        <row r="221">
          <cell r="E221">
            <v>42.354995907368107</v>
          </cell>
        </row>
        <row r="222">
          <cell r="F222">
            <v>21.129975135157189</v>
          </cell>
        </row>
        <row r="223">
          <cell r="F223">
            <v>25.464783697977175</v>
          </cell>
        </row>
        <row r="224">
          <cell r="F224">
            <v>31.142405829038211</v>
          </cell>
        </row>
        <row r="225">
          <cell r="F225">
            <v>35.529362468388825</v>
          </cell>
        </row>
        <row r="226">
          <cell r="F226">
            <v>38.163449828019509</v>
          </cell>
        </row>
        <row r="227">
          <cell r="F227">
            <v>40.60661974440027</v>
          </cell>
        </row>
        <row r="228">
          <cell r="F228">
            <v>45.262908571278345</v>
          </cell>
        </row>
        <row r="229">
          <cell r="F229">
            <v>50.009460724478572</v>
          </cell>
        </row>
        <row r="230">
          <cell r="F230">
            <v>54.780734503476701</v>
          </cell>
        </row>
        <row r="231">
          <cell r="F231">
            <v>61.799256674595107</v>
          </cell>
        </row>
        <row r="232">
          <cell r="F232">
            <v>73.255121783053752</v>
          </cell>
        </row>
      </sheetData>
      <sheetData sheetId="17">
        <row r="25">
          <cell r="D25">
            <v>2.6703000000000001E-2</v>
          </cell>
        </row>
      </sheetData>
      <sheetData sheetId="18">
        <row r="17">
          <cell r="F17">
            <v>8.8328000000000004E-2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ferc.gov/legal/acct-matts/interest-rates.asp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7"/>
  <sheetViews>
    <sheetView tabSelected="1" workbookViewId="0">
      <selection activeCell="G12" sqref="G12"/>
    </sheetView>
  </sheetViews>
  <sheetFormatPr defaultRowHeight="12.75"/>
  <cols>
    <col min="1" max="1" width="3.85546875" bestFit="1" customWidth="1"/>
    <col min="2" max="2" width="50.140625" customWidth="1"/>
    <col min="3" max="5" width="9.85546875" bestFit="1" customWidth="1"/>
    <col min="7" max="7" width="9.140625" customWidth="1"/>
    <col min="15" max="15" width="10.85546875" bestFit="1" customWidth="1"/>
  </cols>
  <sheetData>
    <row r="1" spans="1:50">
      <c r="A1" s="686" t="s">
        <v>0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  <c r="O1" s="581"/>
      <c r="P1" s="581"/>
      <c r="Q1" s="581"/>
      <c r="R1" s="581"/>
      <c r="S1" s="581"/>
      <c r="T1" s="581"/>
      <c r="U1" s="581"/>
      <c r="V1" s="581"/>
      <c r="W1" s="581"/>
      <c r="X1" s="581"/>
      <c r="Y1" s="581"/>
      <c r="Z1" s="581"/>
      <c r="AA1" s="581"/>
      <c r="AB1" s="581"/>
      <c r="AC1" s="581"/>
      <c r="AD1" s="581"/>
      <c r="AE1" s="581"/>
      <c r="AF1" s="581"/>
      <c r="AG1" s="581"/>
      <c r="AH1" s="581"/>
      <c r="AI1" s="581"/>
      <c r="AJ1" s="581"/>
      <c r="AK1" s="581"/>
      <c r="AL1" s="581"/>
      <c r="AM1" s="581"/>
      <c r="AN1" s="581"/>
      <c r="AO1" s="581"/>
      <c r="AP1" s="581"/>
      <c r="AQ1" s="581"/>
      <c r="AR1" s="581"/>
      <c r="AS1" s="581"/>
      <c r="AT1" s="581"/>
      <c r="AU1" s="581"/>
      <c r="AV1" s="581"/>
      <c r="AW1" s="581"/>
      <c r="AX1" s="581"/>
    </row>
    <row r="2" spans="1:50">
      <c r="A2" s="686" t="s">
        <v>6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  <c r="O2" s="581"/>
      <c r="P2" s="581"/>
      <c r="Q2" s="581"/>
      <c r="R2" s="581"/>
      <c r="S2" s="581"/>
      <c r="T2" s="581"/>
      <c r="U2" s="581"/>
      <c r="V2" s="581"/>
      <c r="W2" s="581"/>
      <c r="X2" s="581"/>
      <c r="Y2" s="581"/>
      <c r="Z2" s="581"/>
      <c r="AA2" s="581"/>
      <c r="AB2" s="581"/>
      <c r="AC2" s="581"/>
      <c r="AD2" s="581"/>
      <c r="AE2" s="581"/>
      <c r="AF2" s="581"/>
      <c r="AG2" s="581"/>
      <c r="AH2" s="581"/>
      <c r="AI2" s="581"/>
      <c r="AJ2" s="581"/>
      <c r="AK2" s="581"/>
      <c r="AL2" s="581"/>
      <c r="AM2" s="581"/>
      <c r="AN2" s="581"/>
      <c r="AO2" s="581"/>
      <c r="AP2" s="581"/>
      <c r="AQ2" s="581"/>
      <c r="AR2" s="581"/>
      <c r="AS2" s="581"/>
      <c r="AT2" s="581"/>
      <c r="AU2" s="581"/>
      <c r="AV2" s="581"/>
      <c r="AW2" s="581"/>
      <c r="AX2" s="581"/>
    </row>
    <row r="3" spans="1:50">
      <c r="A3" s="686" t="s">
        <v>321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  <c r="Z3" s="581"/>
      <c r="AA3" s="581"/>
      <c r="AB3" s="581"/>
      <c r="AC3" s="581"/>
      <c r="AD3" s="581"/>
      <c r="AE3" s="581"/>
      <c r="AF3" s="581"/>
      <c r="AG3" s="581"/>
      <c r="AH3" s="581"/>
      <c r="AI3" s="581"/>
      <c r="AJ3" s="581"/>
      <c r="AK3" s="581"/>
      <c r="AL3" s="581"/>
      <c r="AM3" s="581"/>
      <c r="AN3" s="581"/>
      <c r="AO3" s="581"/>
      <c r="AP3" s="581"/>
      <c r="AQ3" s="581"/>
      <c r="AR3" s="581"/>
      <c r="AS3" s="581"/>
      <c r="AT3" s="581"/>
      <c r="AU3" s="581"/>
      <c r="AV3" s="581"/>
      <c r="AW3" s="581"/>
      <c r="AX3" s="581"/>
    </row>
    <row r="4" spans="1:50">
      <c r="A4" s="686" t="s">
        <v>1</v>
      </c>
      <c r="B4" s="686"/>
      <c r="C4" s="686"/>
      <c r="D4" s="686"/>
      <c r="E4" s="686"/>
      <c r="F4" s="686"/>
      <c r="G4" s="686"/>
      <c r="H4" s="686"/>
      <c r="I4" s="686"/>
      <c r="J4" s="686"/>
      <c r="K4" s="686"/>
      <c r="L4" s="686"/>
      <c r="M4" s="686"/>
      <c r="N4" s="686"/>
      <c r="O4" s="581"/>
      <c r="P4" s="581"/>
      <c r="Q4" s="581"/>
      <c r="R4" s="581"/>
      <c r="S4" s="581"/>
      <c r="T4" s="581"/>
      <c r="U4" s="581"/>
      <c r="V4" s="581"/>
      <c r="W4" s="581"/>
      <c r="X4" s="581"/>
      <c r="Y4" s="581"/>
      <c r="Z4" s="581"/>
      <c r="AA4" s="581"/>
      <c r="AB4" s="581"/>
      <c r="AC4" s="581"/>
      <c r="AD4" s="581"/>
      <c r="AE4" s="581"/>
      <c r="AF4" s="581"/>
      <c r="AG4" s="581"/>
      <c r="AH4" s="581"/>
      <c r="AI4" s="581"/>
      <c r="AJ4" s="581"/>
      <c r="AK4" s="581"/>
      <c r="AL4" s="581"/>
      <c r="AM4" s="581"/>
      <c r="AN4" s="581"/>
      <c r="AO4" s="581"/>
      <c r="AP4" s="581"/>
      <c r="AQ4" s="581"/>
      <c r="AR4" s="581"/>
      <c r="AS4" s="581"/>
      <c r="AT4" s="581"/>
      <c r="AU4" s="581"/>
      <c r="AV4" s="581"/>
      <c r="AW4" s="581"/>
      <c r="AX4" s="581"/>
    </row>
    <row r="6" spans="1:50">
      <c r="C6" s="687">
        <v>2011</v>
      </c>
      <c r="D6" s="688"/>
      <c r="E6" s="688"/>
      <c r="F6" s="688"/>
      <c r="G6" s="688"/>
      <c r="H6" s="688"/>
      <c r="I6" s="688"/>
      <c r="J6" s="688"/>
      <c r="K6" s="688"/>
      <c r="L6" s="688"/>
      <c r="M6" s="688"/>
      <c r="N6" s="689"/>
    </row>
    <row r="7" spans="1:50">
      <c r="A7" s="637" t="s">
        <v>2</v>
      </c>
      <c r="C7" s="269" t="s">
        <v>100</v>
      </c>
      <c r="D7" s="269" t="s">
        <v>76</v>
      </c>
      <c r="E7" s="269" t="s">
        <v>77</v>
      </c>
      <c r="F7" s="119" t="s">
        <v>78</v>
      </c>
      <c r="G7" s="119" t="s">
        <v>75</v>
      </c>
      <c r="H7" s="119" t="s">
        <v>79</v>
      </c>
      <c r="I7" s="119" t="s">
        <v>80</v>
      </c>
      <c r="J7" s="119" t="s">
        <v>81</v>
      </c>
      <c r="K7" s="119" t="s">
        <v>82</v>
      </c>
      <c r="L7" s="119" t="s">
        <v>83</v>
      </c>
      <c r="M7" s="119" t="s">
        <v>84</v>
      </c>
      <c r="N7" s="119" t="s">
        <v>101</v>
      </c>
      <c r="O7" s="666" t="s">
        <v>115</v>
      </c>
    </row>
    <row r="8" spans="1:50" ht="51">
      <c r="A8" s="638">
        <v>1</v>
      </c>
      <c r="B8" s="195" t="s">
        <v>323</v>
      </c>
    </row>
    <row r="9" spans="1:50" ht="24">
      <c r="A9" s="638">
        <v>2</v>
      </c>
      <c r="B9" s="567" t="s">
        <v>172</v>
      </c>
      <c r="C9" s="469">
        <v>145970</v>
      </c>
      <c r="D9" s="469">
        <v>145970</v>
      </c>
      <c r="E9" s="469">
        <v>145970</v>
      </c>
      <c r="F9" s="469">
        <v>145970</v>
      </c>
      <c r="G9" s="469">
        <v>145970</v>
      </c>
      <c r="H9" s="469">
        <v>145970</v>
      </c>
      <c r="I9" s="469">
        <v>145970</v>
      </c>
      <c r="J9" s="469">
        <v>145970</v>
      </c>
      <c r="K9" s="469">
        <v>145970</v>
      </c>
      <c r="L9" s="469">
        <v>145970</v>
      </c>
      <c r="M9" s="469">
        <v>145970</v>
      </c>
      <c r="N9" s="469">
        <v>145970</v>
      </c>
    </row>
    <row r="10" spans="1:50" ht="24">
      <c r="A10" s="638">
        <v>3</v>
      </c>
      <c r="B10" s="567" t="s">
        <v>285</v>
      </c>
      <c r="C10" s="469">
        <v>635970</v>
      </c>
      <c r="D10" s="469">
        <v>635970</v>
      </c>
      <c r="E10" s="469">
        <v>635970</v>
      </c>
      <c r="F10" s="469">
        <v>635970</v>
      </c>
      <c r="G10" s="469">
        <v>635970</v>
      </c>
      <c r="H10" s="469">
        <v>635970</v>
      </c>
      <c r="I10" s="469">
        <v>635970</v>
      </c>
      <c r="J10" s="469">
        <v>635970</v>
      </c>
      <c r="K10" s="469">
        <v>635970</v>
      </c>
      <c r="L10" s="469">
        <v>635970</v>
      </c>
      <c r="M10" s="469">
        <v>635970</v>
      </c>
      <c r="N10" s="469">
        <v>635970</v>
      </c>
    </row>
    <row r="11" spans="1:50">
      <c r="A11" s="638">
        <v>4</v>
      </c>
      <c r="B11" s="61" t="s">
        <v>171</v>
      </c>
      <c r="C11" s="680">
        <f>C9/C10</f>
        <v>0.22952340519206882</v>
      </c>
      <c r="D11" s="680">
        <f t="shared" ref="D11:N11" si="0">D9/D10</f>
        <v>0.22952340519206882</v>
      </c>
      <c r="E11" s="680">
        <f t="shared" si="0"/>
        <v>0.22952340519206882</v>
      </c>
      <c r="F11" s="680">
        <f t="shared" si="0"/>
        <v>0.22952340519206882</v>
      </c>
      <c r="G11" s="680">
        <f t="shared" si="0"/>
        <v>0.22952340519206882</v>
      </c>
      <c r="H11" s="680">
        <f t="shared" si="0"/>
        <v>0.22952340519206882</v>
      </c>
      <c r="I11" s="680">
        <f t="shared" si="0"/>
        <v>0.22952340519206882</v>
      </c>
      <c r="J11" s="680">
        <f t="shared" si="0"/>
        <v>0.22952340519206882</v>
      </c>
      <c r="K11" s="680">
        <f t="shared" si="0"/>
        <v>0.22952340519206882</v>
      </c>
      <c r="L11" s="680">
        <f t="shared" si="0"/>
        <v>0.22952340519206882</v>
      </c>
      <c r="M11" s="680">
        <f t="shared" si="0"/>
        <v>0.22952340519206882</v>
      </c>
      <c r="N11" s="680">
        <f t="shared" si="0"/>
        <v>0.22952340519206882</v>
      </c>
    </row>
    <row r="12" spans="1:50" ht="24">
      <c r="A12" s="638">
        <v>5</v>
      </c>
      <c r="B12" s="679" t="s">
        <v>348</v>
      </c>
      <c r="C12" s="661">
        <v>52717.94</v>
      </c>
      <c r="D12" s="662">
        <v>47862.336000000003</v>
      </c>
      <c r="E12" s="662">
        <v>51741.673000000003</v>
      </c>
      <c r="F12" s="662">
        <v>47984.915000000001</v>
      </c>
      <c r="G12" s="662">
        <v>48802.027999999998</v>
      </c>
      <c r="H12" s="662">
        <v>52940.745999999999</v>
      </c>
      <c r="I12" s="662">
        <v>56083.24</v>
      </c>
      <c r="J12" s="662">
        <v>59721.186999999998</v>
      </c>
      <c r="K12" s="662">
        <v>59881.150999999998</v>
      </c>
      <c r="L12" s="662">
        <v>54902.205000000002</v>
      </c>
      <c r="M12" s="662">
        <v>50557.93</v>
      </c>
      <c r="N12" s="662">
        <v>52754.648999999998</v>
      </c>
    </row>
    <row r="13" spans="1:50" ht="24">
      <c r="A13" s="638">
        <v>6</v>
      </c>
      <c r="B13" s="639" t="s">
        <v>349</v>
      </c>
      <c r="C13" s="663">
        <f>C12*C11</f>
        <v>12100.001103511173</v>
      </c>
      <c r="D13" s="663">
        <f t="shared" ref="D13:N13" si="1">D12*D11</f>
        <v>10985.526339166943</v>
      </c>
      <c r="E13" s="663">
        <f t="shared" si="1"/>
        <v>11875.924977294528</v>
      </c>
      <c r="F13" s="663">
        <f t="shared" si="1"/>
        <v>11013.661088651981</v>
      </c>
      <c r="G13" s="663">
        <f t="shared" si="1"/>
        <v>11201.207646838688</v>
      </c>
      <c r="H13" s="663">
        <f t="shared" si="1"/>
        <v>12151.140295328396</v>
      </c>
      <c r="I13" s="663">
        <f t="shared" si="1"/>
        <v>12872.416219004041</v>
      </c>
      <c r="J13" s="663">
        <f t="shared" si="1"/>
        <v>13707.410202352312</v>
      </c>
      <c r="K13" s="663">
        <f t="shared" si="1"/>
        <v>13744.125684340457</v>
      </c>
      <c r="L13" s="663">
        <f t="shared" si="1"/>
        <v>12601.341044153027</v>
      </c>
      <c r="M13" s="663">
        <f t="shared" si="1"/>
        <v>11604.228253062252</v>
      </c>
      <c r="N13" s="663">
        <f t="shared" si="1"/>
        <v>12108.426678192367</v>
      </c>
    </row>
    <row r="14" spans="1:50">
      <c r="A14" s="638">
        <v>7</v>
      </c>
      <c r="B14" s="640" t="s">
        <v>159</v>
      </c>
      <c r="C14" s="270">
        <f t="shared" ref="C14:N14" si="2">0.009056+0.0024</f>
        <v>1.1455999999999999E-2</v>
      </c>
      <c r="D14" s="270">
        <f t="shared" si="2"/>
        <v>1.1455999999999999E-2</v>
      </c>
      <c r="E14" s="270">
        <f t="shared" si="2"/>
        <v>1.1455999999999999E-2</v>
      </c>
      <c r="F14" s="270">
        <f t="shared" si="2"/>
        <v>1.1455999999999999E-2</v>
      </c>
      <c r="G14" s="270">
        <f t="shared" si="2"/>
        <v>1.1455999999999999E-2</v>
      </c>
      <c r="H14" s="270">
        <f t="shared" si="2"/>
        <v>1.1455999999999999E-2</v>
      </c>
      <c r="I14" s="270">
        <f t="shared" si="2"/>
        <v>1.1455999999999999E-2</v>
      </c>
      <c r="J14" s="270">
        <f t="shared" si="2"/>
        <v>1.1455999999999999E-2</v>
      </c>
      <c r="K14" s="270">
        <f t="shared" si="2"/>
        <v>1.1455999999999999E-2</v>
      </c>
      <c r="L14" s="270">
        <f t="shared" si="2"/>
        <v>1.1455999999999999E-2</v>
      </c>
      <c r="M14" s="270">
        <f t="shared" si="2"/>
        <v>1.1455999999999999E-2</v>
      </c>
      <c r="N14" s="270">
        <f t="shared" si="2"/>
        <v>1.1455999999999999E-2</v>
      </c>
      <c r="Q14" s="193"/>
    </row>
    <row r="15" spans="1:50">
      <c r="A15" s="638">
        <v>8</v>
      </c>
      <c r="B15" s="641" t="s">
        <v>160</v>
      </c>
      <c r="C15" s="165">
        <f t="shared" ref="C15:N15" si="3">1-C14</f>
        <v>0.98854399999999998</v>
      </c>
      <c r="D15" s="165">
        <f t="shared" si="3"/>
        <v>0.98854399999999998</v>
      </c>
      <c r="E15" s="165">
        <f t="shared" si="3"/>
        <v>0.98854399999999998</v>
      </c>
      <c r="F15" s="165">
        <f t="shared" si="3"/>
        <v>0.98854399999999998</v>
      </c>
      <c r="G15" s="165">
        <f t="shared" si="3"/>
        <v>0.98854399999999998</v>
      </c>
      <c r="H15" s="165">
        <f t="shared" si="3"/>
        <v>0.98854399999999998</v>
      </c>
      <c r="I15" s="165">
        <f t="shared" si="3"/>
        <v>0.98854399999999998</v>
      </c>
      <c r="J15" s="165">
        <f t="shared" si="3"/>
        <v>0.98854399999999998</v>
      </c>
      <c r="K15" s="165">
        <f t="shared" si="3"/>
        <v>0.98854399999999998</v>
      </c>
      <c r="L15" s="165">
        <f t="shared" si="3"/>
        <v>0.98854399999999998</v>
      </c>
      <c r="M15" s="165">
        <f t="shared" si="3"/>
        <v>0.98854399999999998</v>
      </c>
      <c r="N15" s="165">
        <f t="shared" si="3"/>
        <v>0.98854399999999998</v>
      </c>
    </row>
    <row r="16" spans="1:50" ht="24.75" thickBot="1">
      <c r="A16" s="638">
        <v>9</v>
      </c>
      <c r="B16" s="660" t="s">
        <v>346</v>
      </c>
      <c r="C16" s="650">
        <f>C13*C15</f>
        <v>11961.383490869348</v>
      </c>
      <c r="D16" s="650">
        <f>D13*D15</f>
        <v>10859.676149425446</v>
      </c>
      <c r="E16" s="650">
        <f>E13*E15</f>
        <v>11739.874380754642</v>
      </c>
      <c r="F16" s="650">
        <f t="shared" ref="F16:N16" si="4">F13*F15</f>
        <v>10887.488587220383</v>
      </c>
      <c r="G16" s="650">
        <f t="shared" si="4"/>
        <v>11072.886612036504</v>
      </c>
      <c r="H16" s="650">
        <f t="shared" si="4"/>
        <v>12011.936832105113</v>
      </c>
      <c r="I16" s="650">
        <f t="shared" si="4"/>
        <v>12724.94981879913</v>
      </c>
      <c r="J16" s="650">
        <f t="shared" si="4"/>
        <v>13550.378111074164</v>
      </c>
      <c r="K16" s="650">
        <f t="shared" si="4"/>
        <v>13586.672980500653</v>
      </c>
      <c r="L16" s="650">
        <f t="shared" si="4"/>
        <v>12456.980081151209</v>
      </c>
      <c r="M16" s="650">
        <f t="shared" si="4"/>
        <v>11471.290214195171</v>
      </c>
      <c r="N16" s="650">
        <f t="shared" si="4"/>
        <v>11969.712542166995</v>
      </c>
      <c r="O16" s="650">
        <f>SUM(C16:N16)</f>
        <v>144293.22980029875</v>
      </c>
    </row>
    <row r="17" spans="1:31" ht="13.5" thickTop="1">
      <c r="A17" s="638">
        <v>10</v>
      </c>
    </row>
    <row r="18" spans="1:31">
      <c r="A18" s="638">
        <v>11</v>
      </c>
    </row>
    <row r="19" spans="1:31" ht="39" thickBot="1">
      <c r="A19" s="638">
        <v>12</v>
      </c>
      <c r="B19" s="664" t="s">
        <v>322</v>
      </c>
      <c r="C19" s="665">
        <v>3838.5161152407459</v>
      </c>
      <c r="D19" s="665">
        <v>3306.787341589586</v>
      </c>
      <c r="E19" s="665">
        <v>7155.9659581712913</v>
      </c>
      <c r="F19" s="665">
        <v>11377.313933885458</v>
      </c>
      <c r="G19" s="665">
        <v>11530.567623764948</v>
      </c>
      <c r="H19" s="665">
        <v>12211.147480213171</v>
      </c>
      <c r="I19" s="665">
        <v>12825.371887868165</v>
      </c>
      <c r="J19" s="665">
        <v>14932.213283492547</v>
      </c>
      <c r="K19" s="665">
        <v>14332.527497107649</v>
      </c>
      <c r="L19" s="665">
        <v>11821.888398275194</v>
      </c>
      <c r="M19" s="665">
        <v>11596.629678640122</v>
      </c>
      <c r="N19" s="665">
        <v>12372.637668586422</v>
      </c>
      <c r="O19" s="678">
        <f>SUM(C19:N19)</f>
        <v>127301.5668668353</v>
      </c>
    </row>
    <row r="20" spans="1:31" ht="13.5" thickTop="1">
      <c r="A20" s="638">
        <v>13</v>
      </c>
      <c r="P20" s="642"/>
      <c r="Q20" s="642"/>
      <c r="R20" s="642"/>
      <c r="S20" s="642"/>
      <c r="T20" s="642"/>
      <c r="U20" s="642"/>
      <c r="V20" s="642"/>
      <c r="W20" s="642"/>
      <c r="X20" s="642"/>
      <c r="Y20" s="642"/>
      <c r="Z20" s="642"/>
      <c r="AA20" s="642"/>
      <c r="AB20" s="452"/>
      <c r="AC20" s="452"/>
      <c r="AD20" s="452"/>
      <c r="AE20" s="452"/>
    </row>
    <row r="21" spans="1:31">
      <c r="A21" s="638">
        <v>14</v>
      </c>
    </row>
    <row r="22" spans="1:31" ht="27.75" customHeight="1" thickBot="1">
      <c r="A22" s="638">
        <v>15</v>
      </c>
      <c r="B22" s="670" t="s">
        <v>347</v>
      </c>
      <c r="C22" s="671">
        <f>C16-C19</f>
        <v>8122.8673756286025</v>
      </c>
      <c r="D22" s="671">
        <f t="shared" ref="D22:N22" si="5">D16-D19</f>
        <v>7552.8888078358596</v>
      </c>
      <c r="E22" s="671">
        <f t="shared" si="5"/>
        <v>4583.9084225833503</v>
      </c>
      <c r="F22" s="671">
        <f t="shared" si="5"/>
        <v>-489.8253466650749</v>
      </c>
      <c r="G22" s="671">
        <f t="shared" si="5"/>
        <v>-457.68101172844399</v>
      </c>
      <c r="H22" s="671">
        <f t="shared" si="5"/>
        <v>-199.21064810805728</v>
      </c>
      <c r="I22" s="671">
        <f t="shared" si="5"/>
        <v>-100.42206906903448</v>
      </c>
      <c r="J22" s="671">
        <f t="shared" si="5"/>
        <v>-1381.8351724183831</v>
      </c>
      <c r="K22" s="671">
        <f t="shared" si="5"/>
        <v>-745.85451660699619</v>
      </c>
      <c r="L22" s="671">
        <f t="shared" si="5"/>
        <v>635.0916828760146</v>
      </c>
      <c r="M22" s="671">
        <f t="shared" si="5"/>
        <v>-125.33946444495086</v>
      </c>
      <c r="N22" s="671">
        <f t="shared" si="5"/>
        <v>-402.92512641942631</v>
      </c>
      <c r="O22" s="671">
        <f>SUM(C22:N22)</f>
        <v>16991.662933463464</v>
      </c>
    </row>
    <row r="23" spans="1:31" ht="13.5" thickTop="1">
      <c r="A23" s="643"/>
    </row>
    <row r="24" spans="1:31">
      <c r="A24" s="643"/>
    </row>
    <row r="25" spans="1:31">
      <c r="A25" s="643"/>
    </row>
    <row r="26" spans="1:31">
      <c r="A26" s="643"/>
    </row>
    <row r="27" spans="1:31">
      <c r="A27" s="643"/>
    </row>
  </sheetData>
  <mergeCells count="5">
    <mergeCell ref="A1:N1"/>
    <mergeCell ref="A2:N2"/>
    <mergeCell ref="A3:N3"/>
    <mergeCell ref="A4:N4"/>
    <mergeCell ref="C6:N6"/>
  </mergeCells>
  <pageMargins left="0.7" right="0.7" top="0.75" bottom="0.75" header="0.3" footer="0.3"/>
  <pageSetup scale="70" orientation="landscape" verticalDpi="0" r:id="rId1"/>
  <headerFooter>
    <oddHeader>&amp;RAttachment 4
WP-Schedule 3
CWIP Balancing Acct 12-31-11 Balance
&amp;P of &amp;N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BreakPreview" topLeftCell="A25" zoomScale="60" zoomScaleNormal="100" workbookViewId="0">
      <selection activeCell="A4" sqref="A4:O4"/>
    </sheetView>
  </sheetViews>
  <sheetFormatPr defaultRowHeight="12.75"/>
  <cols>
    <col min="1" max="1" width="3.85546875" bestFit="1" customWidth="1"/>
    <col min="2" max="2" width="60.5703125" bestFit="1" customWidth="1"/>
    <col min="3" max="10" width="10.140625" bestFit="1" customWidth="1"/>
    <col min="11" max="15" width="9.140625" customWidth="1"/>
  </cols>
  <sheetData>
    <row r="1" spans="1:15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</row>
    <row r="2" spans="1:15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</row>
    <row r="3" spans="1:15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2"/>
      <c r="O3" s="712"/>
    </row>
    <row r="4" spans="1:15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713"/>
      <c r="O4" s="713"/>
    </row>
    <row r="5" spans="1:15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  <c r="L5" s="710"/>
      <c r="M5" s="710"/>
      <c r="N5" s="710"/>
      <c r="O5" s="710"/>
    </row>
    <row r="6" spans="1:15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15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15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15">
      <c r="A9" s="365">
        <v>1</v>
      </c>
      <c r="B9" s="504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15">
      <c r="A10" s="370">
        <v>2</v>
      </c>
      <c r="B10" s="490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15" ht="15.75">
      <c r="A11" s="365">
        <v>3</v>
      </c>
      <c r="B11" s="505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15">
      <c r="A12" s="370">
        <v>4</v>
      </c>
      <c r="B12" s="490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15">
      <c r="A13" s="365">
        <v>5</v>
      </c>
      <c r="B13" s="506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15" ht="15.75">
      <c r="A14" s="370">
        <v>6</v>
      </c>
      <c r="B14" s="505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15">
      <c r="A15" s="365">
        <v>7</v>
      </c>
      <c r="B15" s="50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15" ht="15.75">
      <c r="A16" s="370">
        <v>8</v>
      </c>
      <c r="B16" s="507" t="s">
        <v>97</v>
      </c>
      <c r="C16" s="416">
        <v>2010</v>
      </c>
      <c r="D16" s="690">
        <v>2011</v>
      </c>
      <c r="E16" s="690"/>
      <c r="F16" s="690"/>
      <c r="G16" s="690"/>
      <c r="H16" s="690"/>
      <c r="I16" s="690"/>
      <c r="J16" s="690"/>
      <c r="K16" s="690"/>
      <c r="L16" s="690"/>
      <c r="M16" s="690"/>
      <c r="N16" s="690"/>
      <c r="O16" s="690"/>
    </row>
    <row r="17" spans="1:15" ht="21" thickBot="1">
      <c r="A17" s="365">
        <v>9</v>
      </c>
      <c r="B17" s="508" t="s">
        <v>333</v>
      </c>
      <c r="C17" s="375" t="s">
        <v>101</v>
      </c>
      <c r="D17" s="375" t="s">
        <v>100</v>
      </c>
      <c r="E17" s="375" t="s">
        <v>76</v>
      </c>
      <c r="F17" s="375" t="s">
        <v>77</v>
      </c>
      <c r="G17" s="375" t="s">
        <v>78</v>
      </c>
      <c r="H17" s="375" t="s">
        <v>75</v>
      </c>
      <c r="I17" s="375" t="s">
        <v>79</v>
      </c>
      <c r="J17" s="375" t="s">
        <v>80</v>
      </c>
      <c r="K17" s="375" t="s">
        <v>81</v>
      </c>
      <c r="L17" s="375" t="s">
        <v>82</v>
      </c>
      <c r="M17" s="375" t="s">
        <v>83</v>
      </c>
      <c r="N17" s="375" t="s">
        <v>84</v>
      </c>
      <c r="O17" s="375" t="s">
        <v>101</v>
      </c>
    </row>
    <row r="18" spans="1:15" ht="29.25" thickTop="1">
      <c r="A18" s="370">
        <v>10</v>
      </c>
      <c r="B18" s="509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</row>
    <row r="19" spans="1:15">
      <c r="A19" s="378">
        <v>11</v>
      </c>
      <c r="B19" s="379" t="s">
        <v>146</v>
      </c>
      <c r="C19" s="380">
        <f>'Lugo-Pisgah CWIP Balance'!E15+'Def Tax'!F654</f>
        <v>-320.10793000000001</v>
      </c>
      <c r="D19" s="381">
        <f>C20</f>
        <v>-144.55245556820833</v>
      </c>
      <c r="E19" s="381">
        <f>D20</f>
        <v>-51.374729982677806</v>
      </c>
      <c r="F19" s="381">
        <f t="shared" ref="F19:O19" si="0">E20</f>
        <v>-5.8101596820059624</v>
      </c>
      <c r="G19" s="381">
        <f t="shared" si="0"/>
        <v>76.580896063445579</v>
      </c>
      <c r="H19" s="381">
        <f t="shared" si="0"/>
        <v>-187.80875907045186</v>
      </c>
      <c r="I19" s="381">
        <f t="shared" si="0"/>
        <v>-168.11819910862857</v>
      </c>
      <c r="J19" s="381">
        <f t="shared" si="0"/>
        <v>117.47324860160752</v>
      </c>
      <c r="K19" s="381">
        <f t="shared" si="0"/>
        <v>17.17032296259525</v>
      </c>
      <c r="L19" s="381">
        <f t="shared" si="0"/>
        <v>58.899855616087457</v>
      </c>
      <c r="M19" s="381">
        <f t="shared" si="0"/>
        <v>-201.04594079362349</v>
      </c>
      <c r="N19" s="381">
        <f t="shared" si="0"/>
        <v>-188.30751348584471</v>
      </c>
      <c r="O19" s="381">
        <f t="shared" si="0"/>
        <v>-108.94245170017466</v>
      </c>
    </row>
    <row r="20" spans="1:15">
      <c r="A20" s="382">
        <v>12</v>
      </c>
      <c r="B20" s="379" t="s">
        <v>147</v>
      </c>
      <c r="C20" s="383">
        <f>'Lugo-Pisgah CWIP Balance'!E16+'Def Tax'!F655</f>
        <v>-144.55245556820833</v>
      </c>
      <c r="D20" s="383">
        <f>'Lugo-Pisgah CWIP Balance'!E17+'Def Tax'!F656</f>
        <v>-51.374729982677806</v>
      </c>
      <c r="E20" s="383">
        <f>'Lugo-Pisgah CWIP Balance'!E18+'Def Tax'!F657</f>
        <v>-5.8101596820059624</v>
      </c>
      <c r="F20" s="383">
        <f>'Lugo-Pisgah CWIP Balance'!E19+'Def Tax'!F658</f>
        <v>76.580896063445579</v>
      </c>
      <c r="G20" s="383">
        <f>'Lugo-Pisgah CWIP Balance'!E20+'Def Tax'!F659</f>
        <v>-187.80875907045186</v>
      </c>
      <c r="H20" s="383">
        <f>'Lugo-Pisgah CWIP Balance'!E21+'Def Tax'!F660</f>
        <v>-168.11819910862857</v>
      </c>
      <c r="I20" s="383">
        <f>'Lugo-Pisgah CWIP Balance'!E22+'Def Tax'!F661</f>
        <v>117.47324860160752</v>
      </c>
      <c r="J20" s="383">
        <f>'Lugo-Pisgah CWIP Balance'!E23+'Def Tax'!F662</f>
        <v>17.17032296259525</v>
      </c>
      <c r="K20" s="383">
        <f>'Lugo-Pisgah CWIP Balance'!E24+'Def Tax'!F663</f>
        <v>58.899855616087457</v>
      </c>
      <c r="L20" s="383">
        <f>'Lugo-Pisgah CWIP Balance'!E25+'Def Tax'!F664</f>
        <v>-201.04594079362349</v>
      </c>
      <c r="M20" s="383">
        <f>'Lugo-Pisgah CWIP Balance'!E26+'Def Tax'!F665</f>
        <v>-188.30751348584471</v>
      </c>
      <c r="N20" s="383">
        <f>'Lugo-Pisgah CWIP Balance'!E27+'Def Tax'!F666</f>
        <v>-108.94245170017466</v>
      </c>
      <c r="O20" s="383">
        <f>'Lugo-Pisgah CWIP Balance'!E28+'Def Tax'!F667</f>
        <v>-74.62784170017467</v>
      </c>
    </row>
    <row r="21" spans="1:15">
      <c r="A21" s="378">
        <v>13</v>
      </c>
      <c r="B21" s="379" t="s">
        <v>12</v>
      </c>
      <c r="C21" s="489">
        <f>SUM(C19:C20)</f>
        <v>-464.66038556820831</v>
      </c>
      <c r="D21" s="489">
        <f>SUM(D19:D20)</f>
        <v>-195.92718555088612</v>
      </c>
      <c r="E21" s="489">
        <f t="shared" ref="E21:N21" si="1">SUM(E19:E20)</f>
        <v>-57.184889664683766</v>
      </c>
      <c r="F21" s="489">
        <f t="shared" si="1"/>
        <v>70.770736381439619</v>
      </c>
      <c r="G21" s="489">
        <f t="shared" si="1"/>
        <v>-111.22786300700628</v>
      </c>
      <c r="H21" s="489">
        <f t="shared" si="1"/>
        <v>-355.92695817908043</v>
      </c>
      <c r="I21" s="489">
        <f t="shared" si="1"/>
        <v>-50.644950507021051</v>
      </c>
      <c r="J21" s="489">
        <f t="shared" si="1"/>
        <v>134.64357156420277</v>
      </c>
      <c r="K21" s="489">
        <f t="shared" si="1"/>
        <v>76.070178578682714</v>
      </c>
      <c r="L21" s="489">
        <f t="shared" si="1"/>
        <v>-142.14608517753604</v>
      </c>
      <c r="M21" s="489">
        <f t="shared" si="1"/>
        <v>-389.35345427946822</v>
      </c>
      <c r="N21" s="489">
        <f t="shared" si="1"/>
        <v>-297.24996518601938</v>
      </c>
      <c r="O21" s="489">
        <f t="shared" ref="O21" si="2">SUM(O19:O20)</f>
        <v>-183.57029340034933</v>
      </c>
    </row>
    <row r="22" spans="1:15">
      <c r="A22" s="370">
        <v>14</v>
      </c>
      <c r="B22" s="503" t="s">
        <v>13</v>
      </c>
      <c r="C22" s="497">
        <f>C21/2</f>
        <v>-232.33019278410416</v>
      </c>
      <c r="D22" s="497">
        <f>D21/2</f>
        <v>-97.963592775443061</v>
      </c>
      <c r="E22" s="497">
        <f t="shared" ref="E22:N22" si="3">E21/2</f>
        <v>-28.592444832341883</v>
      </c>
      <c r="F22" s="497">
        <f t="shared" si="3"/>
        <v>35.385368190719809</v>
      </c>
      <c r="G22" s="497">
        <f t="shared" si="3"/>
        <v>-55.613931503503139</v>
      </c>
      <c r="H22" s="497">
        <f t="shared" si="3"/>
        <v>-177.96347908954021</v>
      </c>
      <c r="I22" s="497">
        <f t="shared" si="3"/>
        <v>-25.322475253510525</v>
      </c>
      <c r="J22" s="497">
        <f t="shared" si="3"/>
        <v>67.321785782101387</v>
      </c>
      <c r="K22" s="497">
        <f t="shared" si="3"/>
        <v>38.035089289341357</v>
      </c>
      <c r="L22" s="497">
        <f t="shared" si="3"/>
        <v>-71.073042588768018</v>
      </c>
      <c r="M22" s="497">
        <f t="shared" si="3"/>
        <v>-194.67672713973411</v>
      </c>
      <c r="N22" s="497">
        <f t="shared" si="3"/>
        <v>-148.62498259300969</v>
      </c>
      <c r="O22" s="497">
        <f t="shared" ref="O22" si="4">O21/2</f>
        <v>-91.785146700174664</v>
      </c>
    </row>
    <row r="23" spans="1:15">
      <c r="A23" s="365">
        <v>15</v>
      </c>
      <c r="B23" s="379"/>
      <c r="C23" s="586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355"/>
    </row>
    <row r="24" spans="1:15" ht="28.5">
      <c r="A24" s="370">
        <v>16</v>
      </c>
      <c r="B24" s="509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355"/>
    </row>
    <row r="25" spans="1:15">
      <c r="A25" s="378">
        <v>17</v>
      </c>
      <c r="B25" s="385" t="s">
        <v>47</v>
      </c>
      <c r="C25" s="386">
        <f>'Cost of Capital'!D99</f>
        <v>8.4279999999999994E-2</v>
      </c>
      <c r="D25" s="386">
        <f>'Cost of Capital'!$D$152</f>
        <v>8.3139999999999992E-2</v>
      </c>
      <c r="E25" s="386">
        <f>'Cost of Capital'!$D$152</f>
        <v>8.3139999999999992E-2</v>
      </c>
      <c r="F25" s="386">
        <f>'Cost of Capital'!$D$152</f>
        <v>8.3139999999999992E-2</v>
      </c>
      <c r="G25" s="386">
        <f>'Cost of Capital'!$D$152</f>
        <v>8.3139999999999992E-2</v>
      </c>
      <c r="H25" s="386">
        <f>'Cost of Capital'!$D$152</f>
        <v>8.3139999999999992E-2</v>
      </c>
      <c r="I25" s="386">
        <f>'Cost of Capital'!$D$152</f>
        <v>8.3139999999999992E-2</v>
      </c>
      <c r="J25" s="386">
        <f>'Cost of Capital'!$D$152</f>
        <v>8.3139999999999992E-2</v>
      </c>
      <c r="K25" s="386">
        <f>'Cost of Capital'!$D$152</f>
        <v>8.3139999999999992E-2</v>
      </c>
      <c r="L25" s="386">
        <f>'Cost of Capital'!$D$152</f>
        <v>8.3139999999999992E-2</v>
      </c>
      <c r="M25" s="386">
        <f>'Cost of Capital'!$D$152</f>
        <v>8.3139999999999992E-2</v>
      </c>
      <c r="N25" s="386">
        <f>'Cost of Capital'!$D$152</f>
        <v>8.3139999999999992E-2</v>
      </c>
      <c r="O25" s="386">
        <f>'Cost of Capital'!$D$152</f>
        <v>8.3139999999999992E-2</v>
      </c>
    </row>
    <row r="26" spans="1:15">
      <c r="A26" s="370">
        <v>18</v>
      </c>
      <c r="B26" s="503" t="s">
        <v>48</v>
      </c>
      <c r="C26" s="478">
        <f>'Cost of Capital'!D100</f>
        <v>7.0233333333333328E-3</v>
      </c>
      <c r="D26" s="478">
        <f>'Cost of Capital'!$D$153</f>
        <v>6.9283333333333324E-3</v>
      </c>
      <c r="E26" s="478">
        <f>'Cost of Capital'!$D$153</f>
        <v>6.9283333333333324E-3</v>
      </c>
      <c r="F26" s="478">
        <f>'Cost of Capital'!$D$153</f>
        <v>6.9283333333333324E-3</v>
      </c>
      <c r="G26" s="478">
        <f>'Cost of Capital'!$D$153</f>
        <v>6.9283333333333324E-3</v>
      </c>
      <c r="H26" s="478">
        <f>'Cost of Capital'!$D$153</f>
        <v>6.9283333333333324E-3</v>
      </c>
      <c r="I26" s="478">
        <f>'Cost of Capital'!$D$153</f>
        <v>6.9283333333333324E-3</v>
      </c>
      <c r="J26" s="478">
        <f>'Cost of Capital'!$D$153</f>
        <v>6.9283333333333324E-3</v>
      </c>
      <c r="K26" s="478">
        <f>'Cost of Capital'!$D$153</f>
        <v>6.9283333333333324E-3</v>
      </c>
      <c r="L26" s="478">
        <f>'Cost of Capital'!$D$153</f>
        <v>6.9283333333333324E-3</v>
      </c>
      <c r="M26" s="478">
        <f>'Cost of Capital'!$D$153</f>
        <v>6.9283333333333324E-3</v>
      </c>
      <c r="N26" s="478">
        <f>'Cost of Capital'!$D$153</f>
        <v>6.9283333333333324E-3</v>
      </c>
      <c r="O26" s="478">
        <f>'Cost of Capital'!$D$153</f>
        <v>6.9283333333333324E-3</v>
      </c>
    </row>
    <row r="27" spans="1:15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355"/>
    </row>
    <row r="28" spans="1:15" ht="15.75">
      <c r="A28" s="370">
        <v>20</v>
      </c>
      <c r="B28" s="510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355"/>
    </row>
    <row r="29" spans="1:15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355"/>
    </row>
    <row r="30" spans="1:15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355"/>
    </row>
    <row r="31" spans="1:15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355"/>
    </row>
    <row r="32" spans="1:15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355"/>
    </row>
    <row r="33" spans="1:15">
      <c r="A33" s="378">
        <v>25</v>
      </c>
      <c r="B33" s="379" t="s">
        <v>20</v>
      </c>
      <c r="C33" s="393">
        <f>'Cost of Capital'!D96</f>
        <v>2.6700000000000002E-2</v>
      </c>
      <c r="D33" s="393">
        <f>'Cost of Capital'!$D$141</f>
        <v>2.58E-2</v>
      </c>
      <c r="E33" s="393">
        <f>'Cost of Capital'!$D$141</f>
        <v>2.58E-2</v>
      </c>
      <c r="F33" s="393">
        <f>'Cost of Capital'!$D$141</f>
        <v>2.58E-2</v>
      </c>
      <c r="G33" s="393">
        <f>'Cost of Capital'!$D$141</f>
        <v>2.58E-2</v>
      </c>
      <c r="H33" s="393">
        <f>'Cost of Capital'!$D$141</f>
        <v>2.58E-2</v>
      </c>
      <c r="I33" s="393">
        <f>'Cost of Capital'!$D$141</f>
        <v>2.58E-2</v>
      </c>
      <c r="J33" s="393">
        <f>'Cost of Capital'!$D$141</f>
        <v>2.58E-2</v>
      </c>
      <c r="K33" s="393">
        <f>'Cost of Capital'!$D$141</f>
        <v>2.58E-2</v>
      </c>
      <c r="L33" s="393">
        <f>'Cost of Capital'!$D$141</f>
        <v>2.58E-2</v>
      </c>
      <c r="M33" s="393">
        <f>'Cost of Capital'!$D$141</f>
        <v>2.58E-2</v>
      </c>
      <c r="N33" s="393">
        <f>'Cost of Capital'!$D$141</f>
        <v>2.58E-2</v>
      </c>
      <c r="O33" s="393">
        <f>'Cost of Capital'!$D$141</f>
        <v>2.58E-2</v>
      </c>
    </row>
    <row r="34" spans="1:15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N34" si="5">E33/12</f>
        <v>2.15E-3</v>
      </c>
      <c r="F34" s="498">
        <f t="shared" si="5"/>
        <v>2.15E-3</v>
      </c>
      <c r="G34" s="498">
        <f t="shared" si="5"/>
        <v>2.15E-3</v>
      </c>
      <c r="H34" s="498">
        <f t="shared" si="5"/>
        <v>2.15E-3</v>
      </c>
      <c r="I34" s="498">
        <f t="shared" si="5"/>
        <v>2.15E-3</v>
      </c>
      <c r="J34" s="498">
        <f t="shared" si="5"/>
        <v>2.15E-3</v>
      </c>
      <c r="K34" s="498">
        <f t="shared" si="5"/>
        <v>2.15E-3</v>
      </c>
      <c r="L34" s="498">
        <f t="shared" si="5"/>
        <v>2.15E-3</v>
      </c>
      <c r="M34" s="498">
        <f t="shared" si="5"/>
        <v>2.15E-3</v>
      </c>
      <c r="N34" s="498">
        <f t="shared" si="5"/>
        <v>2.15E-3</v>
      </c>
      <c r="O34" s="498">
        <f t="shared" ref="O34" si="6">O33/12</f>
        <v>2.15E-3</v>
      </c>
    </row>
    <row r="35" spans="1:15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355"/>
    </row>
    <row r="36" spans="1:15">
      <c r="A36" s="370">
        <v>28</v>
      </c>
      <c r="B36" s="379" t="s">
        <v>18</v>
      </c>
      <c r="C36" s="499">
        <f>'Def Tax'!E630</f>
        <v>-1.6672288020833332</v>
      </c>
      <c r="D36" s="499">
        <f>'Def Tax'!E633</f>
        <v>-0.75802494167751733</v>
      </c>
      <c r="E36" s="499">
        <f>'Def Tax'!E634</f>
        <v>-0.2751979361654211</v>
      </c>
      <c r="F36" s="499">
        <f>'Def Tax'!E635</f>
        <v>-3.8829175416282669E-2</v>
      </c>
      <c r="G36" s="499">
        <f>'Def Tax'!E636</f>
        <v>0.39015046429509082</v>
      </c>
      <c r="H36" s="499">
        <f>'Def Tax'!E637</f>
        <v>-0.98539885620337231</v>
      </c>
      <c r="I36" s="499">
        <f>'Def Tax'!E638</f>
        <v>-0.88675645441276485</v>
      </c>
      <c r="J36" s="499">
        <f>'Def Tax'!E639</f>
        <v>0.5970212723871684</v>
      </c>
      <c r="K36" s="499">
        <f>'Def Tax'!E640</f>
        <v>7.7191851930851596E-2</v>
      </c>
      <c r="L36" s="499">
        <f>'Def Tax'!E641</f>
        <v>0.29488061157632472</v>
      </c>
      <c r="M36" s="499">
        <f>'Def Tax'!E642</f>
        <v>-1.0576243331550481</v>
      </c>
      <c r="N36" s="499">
        <f>'Def Tax'!E643</f>
        <v>-0.99641279322356413</v>
      </c>
      <c r="O36" s="499">
        <f>'Def Tax'!E644</f>
        <v>-0.58806655777160355</v>
      </c>
    </row>
    <row r="37" spans="1:15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</row>
    <row r="38" spans="1:15">
      <c r="A38" s="382">
        <v>30</v>
      </c>
      <c r="B38" s="379" t="s">
        <v>16</v>
      </c>
      <c r="C38" s="396">
        <f>'Income Tax Rates'!G52</f>
        <v>8.795E-2</v>
      </c>
      <c r="D38" s="396">
        <f>'Income Tax Rates'!$G$72</f>
        <v>8.8330000000000006E-2</v>
      </c>
      <c r="E38" s="396">
        <f>'Income Tax Rates'!$G$72</f>
        <v>8.8330000000000006E-2</v>
      </c>
      <c r="F38" s="396">
        <f>'Income Tax Rates'!$G$72</f>
        <v>8.8330000000000006E-2</v>
      </c>
      <c r="G38" s="396">
        <f>'Income Tax Rates'!$G$72</f>
        <v>8.8330000000000006E-2</v>
      </c>
      <c r="H38" s="396">
        <f>'Income Tax Rates'!$G$72</f>
        <v>8.8330000000000006E-2</v>
      </c>
      <c r="I38" s="396">
        <f>'Income Tax Rates'!$G$72</f>
        <v>8.8330000000000006E-2</v>
      </c>
      <c r="J38" s="396">
        <f>'Income Tax Rates'!$G$72</f>
        <v>8.8330000000000006E-2</v>
      </c>
      <c r="K38" s="396">
        <f>'Income Tax Rates'!$G$72</f>
        <v>8.8330000000000006E-2</v>
      </c>
      <c r="L38" s="396">
        <f>'Income Tax Rates'!$G$72</f>
        <v>8.8330000000000006E-2</v>
      </c>
      <c r="M38" s="396">
        <f>'Income Tax Rates'!$G$72</f>
        <v>8.8330000000000006E-2</v>
      </c>
      <c r="N38" s="396">
        <f>'Income Tax Rates'!$G$72</f>
        <v>8.8330000000000006E-2</v>
      </c>
      <c r="O38" s="396">
        <f>'Income Tax Rates'!$G$72</f>
        <v>8.8330000000000006E-2</v>
      </c>
    </row>
    <row r="39" spans="1:15">
      <c r="A39" s="365">
        <v>31</v>
      </c>
      <c r="B39" s="379" t="s">
        <v>49</v>
      </c>
      <c r="C39" s="500">
        <f>((C22*(C26-C34))+C36)*C38</f>
        <v>-0.24467923159487429</v>
      </c>
      <c r="D39" s="500">
        <f>((D22*(D26-D34))+D36)*D38</f>
        <v>-0.10830385466109836</v>
      </c>
      <c r="E39" s="500">
        <f t="shared" ref="E39:N39" si="7">((E22*(E26-E34))+E36)*E38</f>
        <v>-3.6376252133826406E-2</v>
      </c>
      <c r="F39" s="500">
        <f t="shared" si="7"/>
        <v>1.1505327775054362E-2</v>
      </c>
      <c r="G39" s="500">
        <f t="shared" si="7"/>
        <v>1.0989008245614367E-2</v>
      </c>
      <c r="H39" s="500">
        <f t="shared" si="7"/>
        <v>-0.16215335921440396</v>
      </c>
      <c r="I39" s="500">
        <f t="shared" si="7"/>
        <v>-8.9015059390982518E-2</v>
      </c>
      <c r="J39" s="500">
        <f t="shared" si="7"/>
        <v>8.1149407457337508E-2</v>
      </c>
      <c r="K39" s="500">
        <f t="shared" si="7"/>
        <v>2.287183339050413E-2</v>
      </c>
      <c r="L39" s="500">
        <f t="shared" si="7"/>
        <v>-3.9510076949623553E-3</v>
      </c>
      <c r="M39" s="500">
        <f t="shared" si="7"/>
        <v>-0.17558719926218627</v>
      </c>
      <c r="N39" s="500">
        <f t="shared" si="7"/>
        <v>-0.15074331567638249</v>
      </c>
      <c r="O39" s="500">
        <f t="shared" ref="O39" si="8">((O22*(O26-O34))+O36)*O38</f>
        <v>-9.068369274298535E-2</v>
      </c>
    </row>
    <row r="40" spans="1:15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355"/>
    </row>
    <row r="41" spans="1:15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355"/>
    </row>
    <row r="42" spans="1:15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355"/>
    </row>
    <row r="43" spans="1:15">
      <c r="A43" s="378">
        <v>35</v>
      </c>
      <c r="B43" s="379" t="s">
        <v>51</v>
      </c>
      <c r="C43" s="398">
        <f>'Income Tax Rates'!$G$53</f>
        <v>0.35</v>
      </c>
      <c r="D43" s="398">
        <f>'Income Tax Rates'!$G$73</f>
        <v>0.35</v>
      </c>
      <c r="E43" s="398">
        <f>'Income Tax Rates'!$G$73</f>
        <v>0.35</v>
      </c>
      <c r="F43" s="398">
        <f>'Income Tax Rates'!$G$73</f>
        <v>0.35</v>
      </c>
      <c r="G43" s="398">
        <f>'Income Tax Rates'!$G$73</f>
        <v>0.35</v>
      </c>
      <c r="H43" s="398">
        <f>'Income Tax Rates'!$G$73</f>
        <v>0.35</v>
      </c>
      <c r="I43" s="398">
        <f>'Income Tax Rates'!$G$73</f>
        <v>0.35</v>
      </c>
      <c r="J43" s="398">
        <f>'Income Tax Rates'!$G$73</f>
        <v>0.35</v>
      </c>
      <c r="K43" s="398">
        <f>'Income Tax Rates'!$G$73</f>
        <v>0.35</v>
      </c>
      <c r="L43" s="398">
        <f>'Income Tax Rates'!$G$73</f>
        <v>0.35</v>
      </c>
      <c r="M43" s="398">
        <f>'Income Tax Rates'!$G$73</f>
        <v>0.35</v>
      </c>
      <c r="N43" s="398">
        <f>'Income Tax Rates'!$G$73</f>
        <v>0.35</v>
      </c>
      <c r="O43" s="398">
        <f>'Income Tax Rates'!$G$73</f>
        <v>0.35</v>
      </c>
    </row>
    <row r="44" spans="1:15">
      <c r="A44" s="370">
        <v>36</v>
      </c>
      <c r="B44" s="379" t="s">
        <v>52</v>
      </c>
      <c r="C44" s="500">
        <f>((C22*(C26-C34))-C39+C36)*C43</f>
        <v>-0.88807154760246487</v>
      </c>
      <c r="D44" s="500">
        <f>((D22*(D26-D34))-D39+D36)*D43</f>
        <v>-0.39123832573994383</v>
      </c>
      <c r="E44" s="500">
        <f t="shared" ref="E44:N44" si="9">((E22*(E26-E34))-E39+E36)*E43</f>
        <v>-0.1314060706894139</v>
      </c>
      <c r="F44" s="500">
        <f t="shared" si="9"/>
        <v>4.1562003401328346E-2</v>
      </c>
      <c r="G44" s="500">
        <f t="shared" si="9"/>
        <v>3.9696843671999736E-2</v>
      </c>
      <c r="H44" s="500">
        <f t="shared" si="9"/>
        <v>-0.58576501243347079</v>
      </c>
      <c r="I44" s="500">
        <f t="shared" si="9"/>
        <v>-0.32155921791284897</v>
      </c>
      <c r="J44" s="500">
        <f t="shared" si="9"/>
        <v>0.29314522929719017</v>
      </c>
      <c r="K44" s="500">
        <f t="shared" si="9"/>
        <v>8.26225237347709E-2</v>
      </c>
      <c r="L44" s="500">
        <f t="shared" si="9"/>
        <v>-1.4272674231214932E-2</v>
      </c>
      <c r="M44" s="500">
        <f t="shared" si="9"/>
        <v>-0.63429359994311196</v>
      </c>
      <c r="N44" s="500">
        <f t="shared" si="9"/>
        <v>-0.54454721511310611</v>
      </c>
      <c r="O44" s="500">
        <f t="shared" ref="O44" si="10">((O22*(O26-O34))-O39+O36)*O43</f>
        <v>-0.32758701185383343</v>
      </c>
    </row>
    <row r="45" spans="1:15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</row>
    <row r="46" spans="1:15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</row>
    <row r="47" spans="1:15">
      <c r="A47" s="365">
        <v>39</v>
      </c>
      <c r="B47" s="379" t="s">
        <v>58</v>
      </c>
      <c r="C47" s="499">
        <f>-'Def Tax'!F630</f>
        <v>0.6788955682083333</v>
      </c>
      <c r="D47" s="499">
        <f>-'Def Tax'!F633</f>
        <v>0.30881936123942055</v>
      </c>
      <c r="E47" s="499">
        <f>-'Def Tax'!F634</f>
        <v>0.11211563919379255</v>
      </c>
      <c r="F47" s="499">
        <f>-'Def Tax'!F635</f>
        <v>1.581900606459356E-2</v>
      </c>
      <c r="G47" s="499">
        <f>-'Def Tax'!F636</f>
        <v>-0.15894729915382</v>
      </c>
      <c r="H47" s="499">
        <f>-'Def Tax'!F637</f>
        <v>0.40145149401725388</v>
      </c>
      <c r="I47" s="499">
        <f>-'Def Tax'!F638</f>
        <v>0.36126457952776037</v>
      </c>
      <c r="J47" s="499">
        <f>-'Def Tax'!F639</f>
        <v>-0.24322646637053238</v>
      </c>
      <c r="K47" s="499">
        <f>-'Def Tax'!F640</f>
        <v>-3.1447960476628942E-2</v>
      </c>
      <c r="L47" s="499">
        <f>-'Def Tax'!F641</f>
        <v>-0.12013436115619469</v>
      </c>
      <c r="M47" s="499">
        <f>-'Def Tax'!F642</f>
        <v>0.43087615332736656</v>
      </c>
      <c r="N47" s="499">
        <f>-'Def Tax'!F643</f>
        <v>0.40593857195928001</v>
      </c>
      <c r="O47" s="499">
        <f>-'Def Tax'!F644</f>
        <v>0.23957831563615128</v>
      </c>
    </row>
    <row r="48" spans="1:15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355"/>
    </row>
    <row r="49" spans="1:15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355"/>
    </row>
    <row r="50" spans="1:15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355"/>
    </row>
    <row r="51" spans="1:15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355"/>
    </row>
    <row r="52" spans="1:15">
      <c r="A52" s="382">
        <v>44</v>
      </c>
      <c r="B52" s="379" t="s">
        <v>57</v>
      </c>
      <c r="C52" s="400">
        <f>'Income Tax Rates'!G56</f>
        <v>0.40720000000000001</v>
      </c>
      <c r="D52" s="400">
        <f>'Income Tax Rates'!$G$76</f>
        <v>0.40739999999999998</v>
      </c>
      <c r="E52" s="400">
        <f>'Income Tax Rates'!$G$76</f>
        <v>0.40739999999999998</v>
      </c>
      <c r="F52" s="400">
        <f>'Income Tax Rates'!$G$76</f>
        <v>0.40739999999999998</v>
      </c>
      <c r="G52" s="400">
        <f>'Income Tax Rates'!$G$76</f>
        <v>0.40739999999999998</v>
      </c>
      <c r="H52" s="400">
        <f>'Income Tax Rates'!$G$76</f>
        <v>0.40739999999999998</v>
      </c>
      <c r="I52" s="400">
        <f>'Income Tax Rates'!$G$76</f>
        <v>0.40739999999999998</v>
      </c>
      <c r="J52" s="400">
        <f>'Income Tax Rates'!$G$76</f>
        <v>0.40739999999999998</v>
      </c>
      <c r="K52" s="400">
        <f>'Income Tax Rates'!$G$76</f>
        <v>0.40739999999999998</v>
      </c>
      <c r="L52" s="400">
        <f>'Income Tax Rates'!$G$76</f>
        <v>0.40739999999999998</v>
      </c>
      <c r="M52" s="400">
        <f>'Income Tax Rates'!$G$76</f>
        <v>0.40739999999999998</v>
      </c>
      <c r="N52" s="400">
        <f>'Income Tax Rates'!$G$76</f>
        <v>0.40739999999999998</v>
      </c>
      <c r="O52" s="400">
        <f>'Income Tax Rates'!$G$76</f>
        <v>0.40739999999999998</v>
      </c>
    </row>
    <row r="53" spans="1:15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N53" si="11">1/(1-E52)</f>
        <v>1.6874789065136686</v>
      </c>
      <c r="F53" s="501">
        <f t="shared" si="11"/>
        <v>1.6874789065136686</v>
      </c>
      <c r="G53" s="501">
        <f t="shared" si="11"/>
        <v>1.6874789065136686</v>
      </c>
      <c r="H53" s="501">
        <f t="shared" si="11"/>
        <v>1.6874789065136686</v>
      </c>
      <c r="I53" s="501">
        <f t="shared" si="11"/>
        <v>1.6874789065136686</v>
      </c>
      <c r="J53" s="501">
        <f t="shared" si="11"/>
        <v>1.6874789065136686</v>
      </c>
      <c r="K53" s="501">
        <f t="shared" si="11"/>
        <v>1.6874789065136686</v>
      </c>
      <c r="L53" s="501">
        <f t="shared" si="11"/>
        <v>1.6874789065136686</v>
      </c>
      <c r="M53" s="501">
        <f t="shared" si="11"/>
        <v>1.6874789065136686</v>
      </c>
      <c r="N53" s="501">
        <f t="shared" si="11"/>
        <v>1.6874789065136686</v>
      </c>
      <c r="O53" s="501">
        <f t="shared" ref="O53" si="12">1/(1-O52)</f>
        <v>1.6874789065136686</v>
      </c>
    </row>
    <row r="54" spans="1:15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355"/>
    </row>
    <row r="55" spans="1:15" ht="15.75">
      <c r="A55" s="365">
        <v>47</v>
      </c>
      <c r="B55" s="510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355"/>
    </row>
    <row r="56" spans="1:15">
      <c r="A56" s="370">
        <v>48</v>
      </c>
      <c r="B56" s="379" t="s">
        <v>49</v>
      </c>
      <c r="C56" s="491">
        <f>C39</f>
        <v>-0.24467923159487429</v>
      </c>
      <c r="D56" s="491">
        <f>D39</f>
        <v>-0.10830385466109836</v>
      </c>
      <c r="E56" s="491">
        <f t="shared" ref="E56:N56" si="13">E39</f>
        <v>-3.6376252133826406E-2</v>
      </c>
      <c r="F56" s="491">
        <f t="shared" si="13"/>
        <v>1.1505327775054362E-2</v>
      </c>
      <c r="G56" s="491">
        <f t="shared" si="13"/>
        <v>1.0989008245614367E-2</v>
      </c>
      <c r="H56" s="491">
        <f t="shared" si="13"/>
        <v>-0.16215335921440396</v>
      </c>
      <c r="I56" s="491">
        <f t="shared" si="13"/>
        <v>-8.9015059390982518E-2</v>
      </c>
      <c r="J56" s="491">
        <f t="shared" si="13"/>
        <v>8.1149407457337508E-2</v>
      </c>
      <c r="K56" s="491">
        <f t="shared" si="13"/>
        <v>2.287183339050413E-2</v>
      </c>
      <c r="L56" s="491">
        <f t="shared" si="13"/>
        <v>-3.9510076949623553E-3</v>
      </c>
      <c r="M56" s="491">
        <f t="shared" si="13"/>
        <v>-0.17558719926218627</v>
      </c>
      <c r="N56" s="491">
        <f t="shared" si="13"/>
        <v>-0.15074331567638249</v>
      </c>
      <c r="O56" s="491">
        <f t="shared" ref="O56" si="14">O39</f>
        <v>-9.068369274298535E-2</v>
      </c>
    </row>
    <row r="57" spans="1:15">
      <c r="A57" s="365">
        <v>49</v>
      </c>
      <c r="B57" s="379" t="s">
        <v>52</v>
      </c>
      <c r="C57" s="491">
        <f>C44</f>
        <v>-0.88807154760246487</v>
      </c>
      <c r="D57" s="491">
        <f>D44</f>
        <v>-0.39123832573994383</v>
      </c>
      <c r="E57" s="491">
        <f t="shared" ref="E57:N57" si="15">E44</f>
        <v>-0.1314060706894139</v>
      </c>
      <c r="F57" s="491">
        <f t="shared" si="15"/>
        <v>4.1562003401328346E-2</v>
      </c>
      <c r="G57" s="491">
        <f t="shared" si="15"/>
        <v>3.9696843671999736E-2</v>
      </c>
      <c r="H57" s="491">
        <f t="shared" si="15"/>
        <v>-0.58576501243347079</v>
      </c>
      <c r="I57" s="491">
        <f t="shared" si="15"/>
        <v>-0.32155921791284897</v>
      </c>
      <c r="J57" s="491">
        <f t="shared" si="15"/>
        <v>0.29314522929719017</v>
      </c>
      <c r="K57" s="491">
        <f t="shared" si="15"/>
        <v>8.26225237347709E-2</v>
      </c>
      <c r="L57" s="491">
        <f t="shared" si="15"/>
        <v>-1.4272674231214932E-2</v>
      </c>
      <c r="M57" s="491">
        <f t="shared" si="15"/>
        <v>-0.63429359994311196</v>
      </c>
      <c r="N57" s="491">
        <f t="shared" si="15"/>
        <v>-0.54454721511310611</v>
      </c>
      <c r="O57" s="491">
        <f t="shared" ref="O57" si="16">O44</f>
        <v>-0.32758701185383343</v>
      </c>
    </row>
    <row r="58" spans="1:15">
      <c r="A58" s="370">
        <v>50</v>
      </c>
      <c r="B58" s="379" t="s">
        <v>58</v>
      </c>
      <c r="C58" s="492">
        <f>C47</f>
        <v>0.6788955682083333</v>
      </c>
      <c r="D58" s="492">
        <f>D47</f>
        <v>0.30881936123942055</v>
      </c>
      <c r="E58" s="492">
        <f t="shared" ref="E58:N58" si="17">E47</f>
        <v>0.11211563919379255</v>
      </c>
      <c r="F58" s="492">
        <f t="shared" si="17"/>
        <v>1.581900606459356E-2</v>
      </c>
      <c r="G58" s="492">
        <f t="shared" si="17"/>
        <v>-0.15894729915382</v>
      </c>
      <c r="H58" s="492">
        <f t="shared" si="17"/>
        <v>0.40145149401725388</v>
      </c>
      <c r="I58" s="492">
        <f t="shared" si="17"/>
        <v>0.36126457952776037</v>
      </c>
      <c r="J58" s="492">
        <f t="shared" si="17"/>
        <v>-0.24322646637053238</v>
      </c>
      <c r="K58" s="492">
        <f t="shared" si="17"/>
        <v>-3.1447960476628942E-2</v>
      </c>
      <c r="L58" s="492">
        <f t="shared" si="17"/>
        <v>-0.12013436115619469</v>
      </c>
      <c r="M58" s="492">
        <f t="shared" si="17"/>
        <v>0.43087615332736656</v>
      </c>
      <c r="N58" s="492">
        <f t="shared" si="17"/>
        <v>0.40593857195928001</v>
      </c>
      <c r="O58" s="492">
        <f t="shared" ref="O58" si="18">O47</f>
        <v>0.23957831563615128</v>
      </c>
    </row>
    <row r="59" spans="1:15">
      <c r="A59" s="365">
        <v>51</v>
      </c>
      <c r="B59" s="379" t="s">
        <v>59</v>
      </c>
      <c r="C59" s="493">
        <f>C53</f>
        <v>1.6869095816464237</v>
      </c>
      <c r="D59" s="493">
        <f>D53</f>
        <v>1.6874789065136686</v>
      </c>
      <c r="E59" s="493">
        <f t="shared" ref="E59:N59" si="19">E53</f>
        <v>1.6874789065136686</v>
      </c>
      <c r="F59" s="493">
        <f t="shared" si="19"/>
        <v>1.6874789065136686</v>
      </c>
      <c r="G59" s="493">
        <f t="shared" si="19"/>
        <v>1.6874789065136686</v>
      </c>
      <c r="H59" s="493">
        <f t="shared" si="19"/>
        <v>1.6874789065136686</v>
      </c>
      <c r="I59" s="493">
        <f t="shared" si="19"/>
        <v>1.6874789065136686</v>
      </c>
      <c r="J59" s="493">
        <f t="shared" si="19"/>
        <v>1.6874789065136686</v>
      </c>
      <c r="K59" s="493">
        <f t="shared" si="19"/>
        <v>1.6874789065136686</v>
      </c>
      <c r="L59" s="493">
        <f t="shared" si="19"/>
        <v>1.6874789065136686</v>
      </c>
      <c r="M59" s="493">
        <f t="shared" si="19"/>
        <v>1.6874789065136686</v>
      </c>
      <c r="N59" s="493">
        <f t="shared" si="19"/>
        <v>1.6874789065136686</v>
      </c>
      <c r="O59" s="493">
        <f t="shared" ref="O59" si="20">O53</f>
        <v>1.6874789065136686</v>
      </c>
    </row>
    <row r="60" spans="1:15">
      <c r="A60" s="370">
        <v>52</v>
      </c>
      <c r="B60" s="503" t="s">
        <v>60</v>
      </c>
      <c r="C60" s="502">
        <f>(C56+C57+C58)*C59</f>
        <v>-0.76561270409751336</v>
      </c>
      <c r="D60" s="502">
        <f>(D56+D57+D58)*D59</f>
        <v>-0.32184073432605748</v>
      </c>
      <c r="E60" s="502">
        <f t="shared" ref="E60:N60" si="21">(E56+E57+E58)*E59</f>
        <v>-9.393635442026281E-2</v>
      </c>
      <c r="F60" s="502">
        <f t="shared" si="21"/>
        <v>0.11624424104113444</v>
      </c>
      <c r="G60" s="502">
        <f t="shared" si="21"/>
        <v>-0.18268890859973996</v>
      </c>
      <c r="H60" s="502">
        <f t="shared" si="21"/>
        <v>-0.5846555478073252</v>
      </c>
      <c r="I60" s="502">
        <f t="shared" si="21"/>
        <v>-8.3209074883683995E-2</v>
      </c>
      <c r="J60" s="502">
        <f t="shared" si="21"/>
        <v>0.22117477283833159</v>
      </c>
      <c r="K60" s="502">
        <f t="shared" si="21"/>
        <v>0.12495173244793467</v>
      </c>
      <c r="L60" s="502">
        <f t="shared" si="21"/>
        <v>-0.23347627924801212</v>
      </c>
      <c r="M60" s="502">
        <f t="shared" si="21"/>
        <v>-0.63956234538969226</v>
      </c>
      <c r="N60" s="502">
        <f t="shared" si="21"/>
        <v>-0.48827532708438837</v>
      </c>
      <c r="O60" s="502">
        <f t="shared" ref="O60" si="22">(O56+O57+O58)*O59</f>
        <v>-0.3015396371256624</v>
      </c>
    </row>
    <row r="61" spans="1:15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355"/>
    </row>
    <row r="62" spans="1:15">
      <c r="A62" s="370">
        <v>54</v>
      </c>
      <c r="B62" s="506" t="s">
        <v>260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355"/>
    </row>
    <row r="63" spans="1:15" ht="15.75">
      <c r="A63" s="365">
        <v>55</v>
      </c>
      <c r="B63" s="505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355"/>
    </row>
    <row r="64" spans="1:15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355"/>
    </row>
    <row r="65" spans="1:15">
      <c r="A65" s="378">
        <v>57</v>
      </c>
      <c r="B65" s="379" t="s">
        <v>13</v>
      </c>
      <c r="C65" s="494">
        <f>C22</f>
        <v>-232.33019278410416</v>
      </c>
      <c r="D65" s="494">
        <f>D22</f>
        <v>-97.963592775443061</v>
      </c>
      <c r="E65" s="494">
        <f t="shared" ref="E65:N65" si="23">E22</f>
        <v>-28.592444832341883</v>
      </c>
      <c r="F65" s="494">
        <f t="shared" si="23"/>
        <v>35.385368190719809</v>
      </c>
      <c r="G65" s="494">
        <f t="shared" si="23"/>
        <v>-55.613931503503139</v>
      </c>
      <c r="H65" s="494">
        <f t="shared" si="23"/>
        <v>-177.96347908954021</v>
      </c>
      <c r="I65" s="494">
        <f t="shared" si="23"/>
        <v>-25.322475253510525</v>
      </c>
      <c r="J65" s="494">
        <f t="shared" si="23"/>
        <v>67.321785782101387</v>
      </c>
      <c r="K65" s="494">
        <f t="shared" si="23"/>
        <v>38.035089289341357</v>
      </c>
      <c r="L65" s="494">
        <f t="shared" si="23"/>
        <v>-71.073042588768018</v>
      </c>
      <c r="M65" s="494">
        <f t="shared" si="23"/>
        <v>-194.67672713973411</v>
      </c>
      <c r="N65" s="494">
        <f t="shared" si="23"/>
        <v>-148.62498259300969</v>
      </c>
      <c r="O65" s="494">
        <f t="shared" ref="O65" si="24">O22</f>
        <v>-91.785146700174664</v>
      </c>
    </row>
    <row r="66" spans="1:15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N66" si="25">E26</f>
        <v>6.9283333333333324E-3</v>
      </c>
      <c r="F66" s="495">
        <f t="shared" si="25"/>
        <v>6.9283333333333324E-3</v>
      </c>
      <c r="G66" s="495">
        <f t="shared" si="25"/>
        <v>6.9283333333333324E-3</v>
      </c>
      <c r="H66" s="495">
        <f t="shared" si="25"/>
        <v>6.9283333333333324E-3</v>
      </c>
      <c r="I66" s="495">
        <f t="shared" si="25"/>
        <v>6.9283333333333324E-3</v>
      </c>
      <c r="J66" s="495">
        <f t="shared" si="25"/>
        <v>6.9283333333333324E-3</v>
      </c>
      <c r="K66" s="495">
        <f t="shared" si="25"/>
        <v>6.9283333333333324E-3</v>
      </c>
      <c r="L66" s="495">
        <f t="shared" si="25"/>
        <v>6.9283333333333324E-3</v>
      </c>
      <c r="M66" s="495">
        <f t="shared" si="25"/>
        <v>6.9283333333333324E-3</v>
      </c>
      <c r="N66" s="495">
        <f t="shared" si="25"/>
        <v>6.9283333333333324E-3</v>
      </c>
      <c r="O66" s="495">
        <f t="shared" ref="O66" si="26">O26</f>
        <v>6.9283333333333324E-3</v>
      </c>
    </row>
    <row r="67" spans="1:15">
      <c r="A67" s="378">
        <v>59</v>
      </c>
      <c r="B67" s="379" t="s">
        <v>152</v>
      </c>
      <c r="C67" s="492">
        <f>C65*C66</f>
        <v>-1.631732387320358</v>
      </c>
      <c r="D67" s="492">
        <f t="shared" ref="D67:N67" si="27">D65*D66</f>
        <v>-0.67872442527919463</v>
      </c>
      <c r="E67" s="492">
        <f t="shared" si="27"/>
        <v>-0.19809798861340866</v>
      </c>
      <c r="F67" s="492">
        <f t="shared" si="27"/>
        <v>0.24516162594803703</v>
      </c>
      <c r="G67" s="492">
        <f t="shared" si="27"/>
        <v>-0.38531185543343754</v>
      </c>
      <c r="H67" s="492">
        <f t="shared" si="27"/>
        <v>-1.2329903042920309</v>
      </c>
      <c r="I67" s="492">
        <f t="shared" si="27"/>
        <v>-0.17544254938140541</v>
      </c>
      <c r="J67" s="492">
        <f t="shared" si="27"/>
        <v>0.46642777249365902</v>
      </c>
      <c r="K67" s="492">
        <f t="shared" si="27"/>
        <v>0.26351977695965334</v>
      </c>
      <c r="L67" s="492">
        <f t="shared" si="27"/>
        <v>-0.49241773006918099</v>
      </c>
      <c r="M67" s="492">
        <f t="shared" si="27"/>
        <v>-1.3487852578664576</v>
      </c>
      <c r="N67" s="492">
        <f t="shared" si="27"/>
        <v>-1.0297234210652353</v>
      </c>
      <c r="O67" s="492">
        <f t="shared" ref="O67" si="28">O65*O66</f>
        <v>-0.63591809138771005</v>
      </c>
    </row>
    <row r="68" spans="1:15">
      <c r="A68" s="382">
        <v>60</v>
      </c>
      <c r="B68" s="379" t="s">
        <v>151</v>
      </c>
      <c r="C68" s="494">
        <f>C60</f>
        <v>-0.76561270409751336</v>
      </c>
      <c r="D68" s="494">
        <f>D60</f>
        <v>-0.32184073432605748</v>
      </c>
      <c r="E68" s="494">
        <f t="shared" ref="E68:N68" si="29">E60</f>
        <v>-9.393635442026281E-2</v>
      </c>
      <c r="F68" s="494">
        <f t="shared" si="29"/>
        <v>0.11624424104113444</v>
      </c>
      <c r="G68" s="494">
        <f t="shared" si="29"/>
        <v>-0.18268890859973996</v>
      </c>
      <c r="H68" s="494">
        <f t="shared" si="29"/>
        <v>-0.5846555478073252</v>
      </c>
      <c r="I68" s="494">
        <f t="shared" si="29"/>
        <v>-8.3209074883683995E-2</v>
      </c>
      <c r="J68" s="494">
        <f t="shared" si="29"/>
        <v>0.22117477283833159</v>
      </c>
      <c r="K68" s="494">
        <f t="shared" si="29"/>
        <v>0.12495173244793467</v>
      </c>
      <c r="L68" s="494">
        <f t="shared" si="29"/>
        <v>-0.23347627924801212</v>
      </c>
      <c r="M68" s="494">
        <f t="shared" si="29"/>
        <v>-0.63956234538969226</v>
      </c>
      <c r="N68" s="494">
        <f t="shared" si="29"/>
        <v>-0.48827532708438837</v>
      </c>
      <c r="O68" s="494">
        <f t="shared" ref="O68" si="30">O60</f>
        <v>-0.3015396371256624</v>
      </c>
    </row>
    <row r="69" spans="1:15">
      <c r="A69" s="365">
        <v>61</v>
      </c>
      <c r="B69" s="503" t="s">
        <v>112</v>
      </c>
      <c r="C69" s="502">
        <f t="shared" ref="C69:N69" si="31">C67+C68</f>
        <v>-2.3973450914178711</v>
      </c>
      <c r="D69" s="502">
        <f t="shared" si="31"/>
        <v>-1.0005651596052521</v>
      </c>
      <c r="E69" s="502">
        <f t="shared" si="31"/>
        <v>-0.29203434303367148</v>
      </c>
      <c r="F69" s="502">
        <f t="shared" si="31"/>
        <v>0.36140586698917149</v>
      </c>
      <c r="G69" s="502">
        <f t="shared" si="31"/>
        <v>-0.56800076403317745</v>
      </c>
      <c r="H69" s="502">
        <f t="shared" si="31"/>
        <v>-1.8176458520993561</v>
      </c>
      <c r="I69" s="502">
        <f t="shared" si="31"/>
        <v>-0.25865162426508942</v>
      </c>
      <c r="J69" s="502">
        <f t="shared" si="31"/>
        <v>0.68760254533199061</v>
      </c>
      <c r="K69" s="502">
        <f t="shared" si="31"/>
        <v>0.38847150940758801</v>
      </c>
      <c r="L69" s="502">
        <f t="shared" si="31"/>
        <v>-0.72589400931719306</v>
      </c>
      <c r="M69" s="502">
        <f t="shared" si="31"/>
        <v>-1.98834760325615</v>
      </c>
      <c r="N69" s="502">
        <f t="shared" si="31"/>
        <v>-1.5179987481496235</v>
      </c>
      <c r="O69" s="502">
        <f t="shared" ref="O69" si="32">O67+O68</f>
        <v>-0.9374577285133725</v>
      </c>
    </row>
    <row r="70" spans="1:15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355"/>
    </row>
    <row r="71" spans="1:15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355"/>
    </row>
    <row r="72" spans="1:15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355"/>
    </row>
  </sheetData>
  <mergeCells count="6">
    <mergeCell ref="A2:O2"/>
    <mergeCell ref="A1:O1"/>
    <mergeCell ref="D16:O16"/>
    <mergeCell ref="A5:O5"/>
    <mergeCell ref="A4:O4"/>
    <mergeCell ref="A3:O3"/>
  </mergeCells>
  <pageMargins left="0.7" right="0.7" top="0.75" bottom="0.75" header="0.3" footer="0.3"/>
  <pageSetup scale="50" orientation="landscape" verticalDpi="0" r:id="rId1"/>
  <headerFooter>
    <oddHeader>&amp;RAttachment 4
WP-Schedule 3
CWIP Balancing Acct 12-31-11 Balance
&amp;P of &amp;N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72"/>
  <sheetViews>
    <sheetView view="pageBreakPreview" topLeftCell="A28" zoomScale="60" zoomScaleNormal="100" workbookViewId="0">
      <selection activeCell="B18" sqref="B18"/>
    </sheetView>
  </sheetViews>
  <sheetFormatPr defaultRowHeight="12.75"/>
  <cols>
    <col min="1" max="1" width="3.85546875" bestFit="1" customWidth="1"/>
    <col min="2" max="2" width="60.5703125" bestFit="1" customWidth="1"/>
    <col min="3" max="3" width="9.42578125" bestFit="1" customWidth="1"/>
    <col min="4" max="9" width="9.28515625" bestFit="1" customWidth="1"/>
    <col min="10" max="11" width="10" customWidth="1"/>
    <col min="12" max="12" width="10.7109375" customWidth="1"/>
    <col min="13" max="13" width="10" customWidth="1"/>
    <col min="14" max="14" width="10.140625" customWidth="1"/>
    <col min="15" max="15" width="10.28515625" customWidth="1"/>
  </cols>
  <sheetData>
    <row r="1" spans="1:15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</row>
    <row r="2" spans="1:15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</row>
    <row r="3" spans="1:15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2"/>
    </row>
    <row r="4" spans="1:15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713"/>
    </row>
    <row r="5" spans="1:15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  <c r="L5" s="710"/>
      <c r="M5" s="710"/>
      <c r="N5" s="710"/>
    </row>
    <row r="6" spans="1:15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15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15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15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15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15" ht="15.75">
      <c r="A11" s="365">
        <v>3</v>
      </c>
      <c r="B11" s="371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15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15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15" ht="15.75">
      <c r="A14" s="370">
        <v>6</v>
      </c>
      <c r="B14" s="371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15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15" ht="15.75">
      <c r="A16" s="370">
        <v>8</v>
      </c>
      <c r="B16" s="373" t="s">
        <v>97</v>
      </c>
      <c r="C16" s="441">
        <v>2010</v>
      </c>
      <c r="D16" s="690">
        <v>2011</v>
      </c>
      <c r="E16" s="690"/>
      <c r="F16" s="690"/>
      <c r="G16" s="690"/>
      <c r="H16" s="690"/>
      <c r="I16" s="690"/>
      <c r="J16" s="690"/>
      <c r="K16" s="690"/>
      <c r="L16" s="690"/>
      <c r="M16" s="690"/>
      <c r="N16" s="690"/>
      <c r="O16" s="690"/>
    </row>
    <row r="17" spans="1:15" ht="21" thickBot="1">
      <c r="A17" s="365">
        <v>9</v>
      </c>
      <c r="B17" s="374" t="s">
        <v>334</v>
      </c>
      <c r="C17" s="409" t="s">
        <v>101</v>
      </c>
      <c r="D17" s="409" t="s">
        <v>100</v>
      </c>
      <c r="E17" s="409" t="s">
        <v>76</v>
      </c>
      <c r="F17" s="409" t="s">
        <v>77</v>
      </c>
      <c r="G17" s="409" t="s">
        <v>78</v>
      </c>
      <c r="H17" s="409" t="s">
        <v>75</v>
      </c>
      <c r="I17" s="409" t="s">
        <v>79</v>
      </c>
      <c r="J17" s="409" t="s">
        <v>80</v>
      </c>
      <c r="K17" s="409" t="s">
        <v>81</v>
      </c>
      <c r="L17" s="409" t="s">
        <v>82</v>
      </c>
      <c r="M17" s="409" t="s">
        <v>83</v>
      </c>
      <c r="N17" s="409" t="s">
        <v>84</v>
      </c>
      <c r="O17" s="409" t="s">
        <v>101</v>
      </c>
    </row>
    <row r="18" spans="1:15" ht="29.25" thickTop="1">
      <c r="A18" s="370">
        <v>10</v>
      </c>
      <c r="B18" s="509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</row>
    <row r="19" spans="1:15">
      <c r="A19" s="378">
        <v>11</v>
      </c>
      <c r="B19" s="379" t="s">
        <v>146</v>
      </c>
      <c r="C19" s="380">
        <f>'Red Bluff CWIP Balance'!E15+'Def Tax'!F716</f>
        <v>250.28208062741496</v>
      </c>
      <c r="D19" s="381">
        <f>C20</f>
        <v>521.18495509270656</v>
      </c>
      <c r="E19" s="381">
        <f>D20</f>
        <v>644.69690207712563</v>
      </c>
      <c r="F19" s="381">
        <f t="shared" ref="F19:O19" si="0">E20</f>
        <v>809.17430866286611</v>
      </c>
      <c r="G19" s="381">
        <f t="shared" si="0"/>
        <v>1201.7382081931451</v>
      </c>
      <c r="H19" s="381">
        <f t="shared" si="0"/>
        <v>1641.6190388776354</v>
      </c>
      <c r="I19" s="381">
        <f t="shared" si="0"/>
        <v>2550.8516735996786</v>
      </c>
      <c r="J19" s="381">
        <f t="shared" si="0"/>
        <v>3155.1459800838993</v>
      </c>
      <c r="K19" s="381">
        <f t="shared" si="0"/>
        <v>4726.7503360295095</v>
      </c>
      <c r="L19" s="381">
        <f t="shared" si="0"/>
        <v>5652.9296590643853</v>
      </c>
      <c r="M19" s="381">
        <f t="shared" si="0"/>
        <v>6312.016714276725</v>
      </c>
      <c r="N19" s="381">
        <f t="shared" si="0"/>
        <v>7842.4214496138256</v>
      </c>
      <c r="O19" s="381">
        <f t="shared" si="0"/>
        <v>9114.1838296442347</v>
      </c>
    </row>
    <row r="20" spans="1:15">
      <c r="A20" s="382">
        <v>12</v>
      </c>
      <c r="B20" s="379" t="s">
        <v>147</v>
      </c>
      <c r="C20" s="383">
        <f>'Red Bluff CWIP Balance'!E16+'Def Tax'!F717</f>
        <v>521.18495509270656</v>
      </c>
      <c r="D20" s="383">
        <f>'Red Bluff CWIP Balance'!E17+'Def Tax'!F718</f>
        <v>644.69690207712563</v>
      </c>
      <c r="E20" s="383">
        <f>'Red Bluff CWIP Balance'!E18+'Def Tax'!F719</f>
        <v>809.17430866286611</v>
      </c>
      <c r="F20" s="383">
        <f>'Red Bluff CWIP Balance'!E19+'Def Tax'!F720</f>
        <v>1201.7382081931451</v>
      </c>
      <c r="G20" s="383">
        <f>'Red Bluff CWIP Balance'!E20+'Def Tax'!F721</f>
        <v>1641.6190388776354</v>
      </c>
      <c r="H20" s="383">
        <f>'Red Bluff CWIP Balance'!E21+'Def Tax'!F722</f>
        <v>2550.8516735996786</v>
      </c>
      <c r="I20" s="383">
        <f>'Red Bluff CWIP Balance'!E22+'Def Tax'!F723</f>
        <v>3155.1459800838993</v>
      </c>
      <c r="J20" s="383">
        <f>'Red Bluff CWIP Balance'!E23+'Def Tax'!F724</f>
        <v>4726.7503360295095</v>
      </c>
      <c r="K20" s="383">
        <f>'Red Bluff CWIP Balance'!E24+'Def Tax'!F725</f>
        <v>5652.9296590643853</v>
      </c>
      <c r="L20" s="383">
        <f>'Red Bluff CWIP Balance'!E25+'Def Tax'!F726</f>
        <v>6312.016714276725</v>
      </c>
      <c r="M20" s="383">
        <f>'Red Bluff CWIP Balance'!E26+'Def Tax'!F727</f>
        <v>7842.4214496138256</v>
      </c>
      <c r="N20" s="383">
        <f>'Red Bluff CWIP Balance'!E27+'Def Tax'!F728</f>
        <v>9114.1838296442347</v>
      </c>
      <c r="O20" s="519">
        <f>'Red Bluff CWIP Balance'!E28+'Def Tax'!F729</f>
        <v>14701.574699644236</v>
      </c>
    </row>
    <row r="21" spans="1:15">
      <c r="A21" s="378">
        <v>13</v>
      </c>
      <c r="B21" s="379" t="s">
        <v>12</v>
      </c>
      <c r="C21" s="489">
        <f>SUM(C19:C20)</f>
        <v>771.46703572012154</v>
      </c>
      <c r="D21" s="489">
        <f>SUM(D19:D20)</f>
        <v>1165.8818571698321</v>
      </c>
      <c r="E21" s="489">
        <f t="shared" ref="E21:N21" si="1">SUM(E19:E20)</f>
        <v>1453.8712107399917</v>
      </c>
      <c r="F21" s="489">
        <f t="shared" si="1"/>
        <v>2010.9125168560113</v>
      </c>
      <c r="G21" s="489">
        <f t="shared" si="1"/>
        <v>2843.3572470707804</v>
      </c>
      <c r="H21" s="489">
        <f t="shared" si="1"/>
        <v>4192.470712477314</v>
      </c>
      <c r="I21" s="489">
        <f t="shared" si="1"/>
        <v>5705.9976536835784</v>
      </c>
      <c r="J21" s="489">
        <f t="shared" si="1"/>
        <v>7881.8963161134088</v>
      </c>
      <c r="K21" s="489">
        <f t="shared" si="1"/>
        <v>10379.679995093895</v>
      </c>
      <c r="L21" s="489">
        <f t="shared" si="1"/>
        <v>11964.94637334111</v>
      </c>
      <c r="M21" s="489">
        <f t="shared" si="1"/>
        <v>14154.438163890551</v>
      </c>
      <c r="N21" s="489">
        <f t="shared" si="1"/>
        <v>16956.605279258059</v>
      </c>
      <c r="O21" s="489">
        <f t="shared" ref="O21" si="2">SUM(O19:O20)</f>
        <v>23815.758529288469</v>
      </c>
    </row>
    <row r="22" spans="1:15">
      <c r="A22" s="370">
        <v>14</v>
      </c>
      <c r="B22" s="503" t="s">
        <v>13</v>
      </c>
      <c r="C22" s="497">
        <f>C21/2</f>
        <v>385.73351786006077</v>
      </c>
      <c r="D22" s="497">
        <f>D21/2</f>
        <v>582.94092858491604</v>
      </c>
      <c r="E22" s="497">
        <f t="shared" ref="E22:N22" si="3">E21/2</f>
        <v>726.93560536999587</v>
      </c>
      <c r="F22" s="497">
        <f t="shared" si="3"/>
        <v>1005.4562584280056</v>
      </c>
      <c r="G22" s="497">
        <f t="shared" si="3"/>
        <v>1421.6786235353902</v>
      </c>
      <c r="H22" s="497">
        <f t="shared" si="3"/>
        <v>2096.235356238657</v>
      </c>
      <c r="I22" s="497">
        <f t="shared" si="3"/>
        <v>2852.9988268417892</v>
      </c>
      <c r="J22" s="497">
        <f t="shared" si="3"/>
        <v>3940.9481580567044</v>
      </c>
      <c r="K22" s="497">
        <f t="shared" si="3"/>
        <v>5189.8399975469474</v>
      </c>
      <c r="L22" s="497">
        <f t="shared" si="3"/>
        <v>5982.4731866705552</v>
      </c>
      <c r="M22" s="497">
        <f t="shared" si="3"/>
        <v>7077.2190819452753</v>
      </c>
      <c r="N22" s="497">
        <f t="shared" si="3"/>
        <v>8478.3026396290297</v>
      </c>
      <c r="O22" s="497">
        <f t="shared" ref="O22" si="4">O21/2</f>
        <v>11907.879264644234</v>
      </c>
    </row>
    <row r="23" spans="1:15">
      <c r="A23" s="365">
        <v>15</v>
      </c>
      <c r="B23" s="379"/>
      <c r="C23" s="585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490"/>
    </row>
    <row r="24" spans="1:15" ht="28.5">
      <c r="A24" s="370">
        <v>16</v>
      </c>
      <c r="B24" s="509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490"/>
    </row>
    <row r="25" spans="1:15">
      <c r="A25" s="378">
        <v>17</v>
      </c>
      <c r="B25" s="385" t="s">
        <v>47</v>
      </c>
      <c r="C25" s="386">
        <f>'Cost of Capital'!D107</f>
        <v>8.4279999999999994E-2</v>
      </c>
      <c r="D25" s="386">
        <f>'Cost of Capital'!$D$160</f>
        <v>8.3139999999999992E-2</v>
      </c>
      <c r="E25" s="386">
        <f>'Cost of Capital'!$D$160</f>
        <v>8.3139999999999992E-2</v>
      </c>
      <c r="F25" s="386">
        <f>'Cost of Capital'!$D$160</f>
        <v>8.3139999999999992E-2</v>
      </c>
      <c r="G25" s="386">
        <f>'Cost of Capital'!$D$160</f>
        <v>8.3139999999999992E-2</v>
      </c>
      <c r="H25" s="386">
        <f>'Cost of Capital'!$D$160</f>
        <v>8.3139999999999992E-2</v>
      </c>
      <c r="I25" s="386">
        <f>'Cost of Capital'!$D$160</f>
        <v>8.3139999999999992E-2</v>
      </c>
      <c r="J25" s="386">
        <f>'Cost of Capital'!$D$160</f>
        <v>8.3139999999999992E-2</v>
      </c>
      <c r="K25" s="386">
        <f>'Cost of Capital'!$D$160</f>
        <v>8.3139999999999992E-2</v>
      </c>
      <c r="L25" s="386">
        <f>'Cost of Capital'!$D$160</f>
        <v>8.3139999999999992E-2</v>
      </c>
      <c r="M25" s="386">
        <f>'Cost of Capital'!$D$160</f>
        <v>8.3139999999999992E-2</v>
      </c>
      <c r="N25" s="386">
        <f>'Cost of Capital'!$D$160</f>
        <v>8.3139999999999992E-2</v>
      </c>
      <c r="O25" s="386">
        <f>'Cost of Capital'!$D$160</f>
        <v>8.3139999999999992E-2</v>
      </c>
    </row>
    <row r="26" spans="1:15">
      <c r="A26" s="370">
        <v>18</v>
      </c>
      <c r="B26" s="503" t="s">
        <v>48</v>
      </c>
      <c r="C26" s="478">
        <f>'Cost of Capital'!D108</f>
        <v>7.0233333333333328E-3</v>
      </c>
      <c r="D26" s="478">
        <f>'Cost of Capital'!$D$161</f>
        <v>6.9283333333333324E-3</v>
      </c>
      <c r="E26" s="478">
        <f>'Cost of Capital'!$D$161</f>
        <v>6.9283333333333324E-3</v>
      </c>
      <c r="F26" s="478">
        <f>'Cost of Capital'!$D$161</f>
        <v>6.9283333333333324E-3</v>
      </c>
      <c r="G26" s="478">
        <f>'Cost of Capital'!$D$161</f>
        <v>6.9283333333333324E-3</v>
      </c>
      <c r="H26" s="478">
        <f>'Cost of Capital'!$D$161</f>
        <v>6.9283333333333324E-3</v>
      </c>
      <c r="I26" s="478">
        <f>'Cost of Capital'!$D$161</f>
        <v>6.9283333333333324E-3</v>
      </c>
      <c r="J26" s="478">
        <f>'Cost of Capital'!$D$161</f>
        <v>6.9283333333333324E-3</v>
      </c>
      <c r="K26" s="478">
        <f>'Cost of Capital'!$D$161</f>
        <v>6.9283333333333324E-3</v>
      </c>
      <c r="L26" s="478">
        <f>'Cost of Capital'!$D$161</f>
        <v>6.9283333333333324E-3</v>
      </c>
      <c r="M26" s="478">
        <f>'Cost of Capital'!$D$161</f>
        <v>6.9283333333333324E-3</v>
      </c>
      <c r="N26" s="478">
        <f>'Cost of Capital'!$D$161</f>
        <v>6.9283333333333324E-3</v>
      </c>
      <c r="O26" s="478">
        <f>'Cost of Capital'!$D$161</f>
        <v>6.9283333333333324E-3</v>
      </c>
    </row>
    <row r="27" spans="1:15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</row>
    <row r="28" spans="1:15" ht="15.75">
      <c r="A28" s="370">
        <v>20</v>
      </c>
      <c r="B28" s="510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</row>
    <row r="29" spans="1:15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490"/>
    </row>
    <row r="30" spans="1:15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</row>
    <row r="31" spans="1:15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</row>
    <row r="32" spans="1:15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490"/>
    </row>
    <row r="33" spans="1:15">
      <c r="A33" s="378">
        <v>25</v>
      </c>
      <c r="B33" s="379" t="s">
        <v>20</v>
      </c>
      <c r="C33" s="393">
        <f>'Cost of Capital'!D104</f>
        <v>2.6700000000000002E-2</v>
      </c>
      <c r="D33" s="393">
        <f>'Cost of Capital'!$D$157</f>
        <v>2.58E-2</v>
      </c>
      <c r="E33" s="393">
        <f>'Cost of Capital'!$D$157</f>
        <v>2.58E-2</v>
      </c>
      <c r="F33" s="393">
        <f>'Cost of Capital'!$D$157</f>
        <v>2.58E-2</v>
      </c>
      <c r="G33" s="393">
        <f>'Cost of Capital'!$D$157</f>
        <v>2.58E-2</v>
      </c>
      <c r="H33" s="393">
        <f>'Cost of Capital'!$D$157</f>
        <v>2.58E-2</v>
      </c>
      <c r="I33" s="393">
        <f>'Cost of Capital'!$D$157</f>
        <v>2.58E-2</v>
      </c>
      <c r="J33" s="393">
        <f>'Cost of Capital'!$D$157</f>
        <v>2.58E-2</v>
      </c>
      <c r="K33" s="393">
        <f>'Cost of Capital'!$D$157</f>
        <v>2.58E-2</v>
      </c>
      <c r="L33" s="393">
        <f>'Cost of Capital'!$D$157</f>
        <v>2.58E-2</v>
      </c>
      <c r="M33" s="393">
        <f>'Cost of Capital'!$D$157</f>
        <v>2.58E-2</v>
      </c>
      <c r="N33" s="393">
        <f>'Cost of Capital'!$D$157</f>
        <v>2.58E-2</v>
      </c>
      <c r="O33" s="393">
        <f>'Cost of Capital'!$D$157</f>
        <v>2.58E-2</v>
      </c>
    </row>
    <row r="34" spans="1:15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N34" si="5">E33/12</f>
        <v>2.15E-3</v>
      </c>
      <c r="F34" s="498">
        <f t="shared" si="5"/>
        <v>2.15E-3</v>
      </c>
      <c r="G34" s="498">
        <f t="shared" si="5"/>
        <v>2.15E-3</v>
      </c>
      <c r="H34" s="498">
        <f t="shared" si="5"/>
        <v>2.15E-3</v>
      </c>
      <c r="I34" s="498">
        <f t="shared" si="5"/>
        <v>2.15E-3</v>
      </c>
      <c r="J34" s="498">
        <f t="shared" si="5"/>
        <v>2.15E-3</v>
      </c>
      <c r="K34" s="498">
        <f t="shared" si="5"/>
        <v>2.15E-3</v>
      </c>
      <c r="L34" s="498">
        <f t="shared" si="5"/>
        <v>2.15E-3</v>
      </c>
      <c r="M34" s="498">
        <f t="shared" si="5"/>
        <v>2.15E-3</v>
      </c>
      <c r="N34" s="498">
        <f t="shared" si="5"/>
        <v>2.15E-3</v>
      </c>
      <c r="O34" s="498">
        <f t="shared" ref="O34" si="6">O33/12</f>
        <v>2.15E-3</v>
      </c>
    </row>
    <row r="35" spans="1:15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</row>
    <row r="36" spans="1:15">
      <c r="A36" s="370">
        <v>28</v>
      </c>
      <c r="B36" s="379" t="s">
        <v>18</v>
      </c>
      <c r="C36" s="499">
        <f>'Def Tax'!E692</f>
        <v>1.3028105729166666</v>
      </c>
      <c r="D36" s="499">
        <f>'Def Tax'!E695</f>
        <v>2.7177854717339405</v>
      </c>
      <c r="E36" s="499">
        <f>'Def Tax'!E696</f>
        <v>3.3699457606492218</v>
      </c>
      <c r="F36" s="499">
        <f>'Def Tax'!E697</f>
        <v>4.2381918844026032</v>
      </c>
      <c r="G36" s="499">
        <f>'Def Tax'!E698</f>
        <v>6.2981247588005331</v>
      </c>
      <c r="H36" s="499">
        <f>'Def Tax'!E699</f>
        <v>8.6130642627526193</v>
      </c>
      <c r="I36" s="499">
        <f>'Def Tax'!E700</f>
        <v>13.382849701621122</v>
      </c>
      <c r="J36" s="499">
        <f>'Def Tax'!E701</f>
        <v>16.585719856317066</v>
      </c>
      <c r="K36" s="499">
        <f>'Def Tax'!E702</f>
        <v>24.842879490985386</v>
      </c>
      <c r="L36" s="499">
        <f>'Def Tax'!E703</f>
        <v>29.778548967500932</v>
      </c>
      <c r="M36" s="499">
        <f>'Def Tax'!E704</f>
        <v>33.35059406629</v>
      </c>
      <c r="N36" s="499">
        <f>'Def Tax'!E705</f>
        <v>41.483358774968593</v>
      </c>
      <c r="O36" s="499">
        <f>'Def Tax'!E706</f>
        <v>48.315845122754894</v>
      </c>
    </row>
    <row r="37" spans="1:15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</row>
    <row r="38" spans="1:15">
      <c r="A38" s="382">
        <v>30</v>
      </c>
      <c r="B38" s="379" t="s">
        <v>16</v>
      </c>
      <c r="C38" s="396">
        <f>'Income Tax Rates'!H52</f>
        <v>8.795E-2</v>
      </c>
      <c r="D38" s="396">
        <f>'Income Tax Rates'!$H$72</f>
        <v>8.8330000000000006E-2</v>
      </c>
      <c r="E38" s="396">
        <f>'Income Tax Rates'!$H$72</f>
        <v>8.8330000000000006E-2</v>
      </c>
      <c r="F38" s="396">
        <f>'Income Tax Rates'!$H$72</f>
        <v>8.8330000000000006E-2</v>
      </c>
      <c r="G38" s="396">
        <f>'Income Tax Rates'!$H$72</f>
        <v>8.8330000000000006E-2</v>
      </c>
      <c r="H38" s="396">
        <f>'Income Tax Rates'!$H$72</f>
        <v>8.8330000000000006E-2</v>
      </c>
      <c r="I38" s="396">
        <f>'Income Tax Rates'!$H$72</f>
        <v>8.8330000000000006E-2</v>
      </c>
      <c r="J38" s="396">
        <f>'Income Tax Rates'!$H$72</f>
        <v>8.8330000000000006E-2</v>
      </c>
      <c r="K38" s="396">
        <f>'Income Tax Rates'!$H$72</f>
        <v>8.8330000000000006E-2</v>
      </c>
      <c r="L38" s="396">
        <f>'Income Tax Rates'!$H$72</f>
        <v>8.8330000000000006E-2</v>
      </c>
      <c r="M38" s="396">
        <f>'Income Tax Rates'!$H$72</f>
        <v>8.8330000000000006E-2</v>
      </c>
      <c r="N38" s="396">
        <f>'Income Tax Rates'!$H$72</f>
        <v>8.8330000000000006E-2</v>
      </c>
      <c r="O38" s="396">
        <f>'Income Tax Rates'!$H$72</f>
        <v>8.8330000000000006E-2</v>
      </c>
    </row>
    <row r="39" spans="1:15">
      <c r="A39" s="365">
        <v>31</v>
      </c>
      <c r="B39" s="379" t="s">
        <v>49</v>
      </c>
      <c r="C39" s="500">
        <f>((C22*(C26-C34))+C36)*C38</f>
        <v>0.27736690968299776</v>
      </c>
      <c r="D39" s="500">
        <f>((D22*(D26-D34))+D36)*D38</f>
        <v>0.48610397531859806</v>
      </c>
      <c r="E39" s="500">
        <f t="shared" ref="E39:N39" si="7">((E22*(E26-E34))+E36)*E38</f>
        <v>0.60448515326818753</v>
      </c>
      <c r="F39" s="500">
        <f t="shared" si="7"/>
        <v>0.79873259647763772</v>
      </c>
      <c r="G39" s="500">
        <f t="shared" si="7"/>
        <v>1.1563615172215143</v>
      </c>
      <c r="H39" s="500">
        <f t="shared" si="7"/>
        <v>1.6455504074464042</v>
      </c>
      <c r="I39" s="500">
        <f t="shared" si="7"/>
        <v>2.3862728520390926</v>
      </c>
      <c r="J39" s="500">
        <f t="shared" si="7"/>
        <v>3.1283733464866419</v>
      </c>
      <c r="K39" s="500">
        <f t="shared" si="7"/>
        <v>4.3848482646740452</v>
      </c>
      <c r="L39" s="500">
        <f t="shared" si="7"/>
        <v>5.155362784984149</v>
      </c>
      <c r="M39" s="500">
        <f t="shared" si="7"/>
        <v>5.9329411292822032</v>
      </c>
      <c r="N39" s="500">
        <f t="shared" si="7"/>
        <v>7.2426638300566841</v>
      </c>
      <c r="O39" s="500">
        <f t="shared" ref="O39" si="8">((O22*(O26-O34))+O36)*O38</f>
        <v>9.2936993840325304</v>
      </c>
    </row>
    <row r="40" spans="1:15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</row>
    <row r="41" spans="1:15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</row>
    <row r="42" spans="1:15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</row>
    <row r="43" spans="1:15">
      <c r="A43" s="378">
        <v>35</v>
      </c>
      <c r="B43" s="379" t="s">
        <v>51</v>
      </c>
      <c r="C43" s="398">
        <f>'Income Tax Rates'!H53</f>
        <v>0.35</v>
      </c>
      <c r="D43" s="398">
        <f>'Income Tax Rates'!$H$73</f>
        <v>0.35</v>
      </c>
      <c r="E43" s="398">
        <f>'Income Tax Rates'!$H$73</f>
        <v>0.35</v>
      </c>
      <c r="F43" s="398">
        <f>'Income Tax Rates'!$H$73</f>
        <v>0.35</v>
      </c>
      <c r="G43" s="398">
        <f>'Income Tax Rates'!$H$73</f>
        <v>0.35</v>
      </c>
      <c r="H43" s="398">
        <f>'Income Tax Rates'!$H$73</f>
        <v>0.35</v>
      </c>
      <c r="I43" s="398">
        <f>'Income Tax Rates'!$H$73</f>
        <v>0.35</v>
      </c>
      <c r="J43" s="398">
        <f>'Income Tax Rates'!$H$73</f>
        <v>0.35</v>
      </c>
      <c r="K43" s="398">
        <f>'Income Tax Rates'!$H$73</f>
        <v>0.35</v>
      </c>
      <c r="L43" s="398">
        <f>'Income Tax Rates'!$H$73</f>
        <v>0.35</v>
      </c>
      <c r="M43" s="398">
        <f>'Income Tax Rates'!$H$73</f>
        <v>0.35</v>
      </c>
      <c r="N43" s="398">
        <f>'Income Tax Rates'!$H$73</f>
        <v>0.35</v>
      </c>
      <c r="O43" s="398">
        <f>'Income Tax Rates'!$H$73</f>
        <v>0.35</v>
      </c>
    </row>
    <row r="44" spans="1:15">
      <c r="A44" s="370">
        <v>36</v>
      </c>
      <c r="B44" s="379" t="s">
        <v>52</v>
      </c>
      <c r="C44" s="500">
        <f>((C22*(C26-C34))-C39+C36)*C43</f>
        <v>1.0067125809179345</v>
      </c>
      <c r="D44" s="500">
        <f>((D22*(D26-D34))-D39+D36)*D43</f>
        <v>1.756008648392926</v>
      </c>
      <c r="E44" s="500">
        <f t="shared" ref="E44:N44" si="9">((E22*(E26-E34))-E39+E36)*E43</f>
        <v>2.1836504345975656</v>
      </c>
      <c r="F44" s="500">
        <f t="shared" si="9"/>
        <v>2.8853525549730414</v>
      </c>
      <c r="G44" s="500">
        <f t="shared" si="9"/>
        <v>4.1772561591969684</v>
      </c>
      <c r="H44" s="500">
        <f t="shared" si="9"/>
        <v>5.9444087963866412</v>
      </c>
      <c r="I44" s="500">
        <f t="shared" si="9"/>
        <v>8.6202046853443637</v>
      </c>
      <c r="J44" s="500">
        <f t="shared" si="9"/>
        <v>11.300978660443979</v>
      </c>
      <c r="K44" s="500">
        <f t="shared" si="9"/>
        <v>15.839885838439772</v>
      </c>
      <c r="L44" s="500">
        <f t="shared" si="9"/>
        <v>18.623303029155149</v>
      </c>
      <c r="M44" s="500">
        <f t="shared" si="9"/>
        <v>21.432237674249372</v>
      </c>
      <c r="N44" s="500">
        <f t="shared" si="9"/>
        <v>26.163497870278746</v>
      </c>
      <c r="O44" s="500">
        <f t="shared" ref="O44" si="10">((O22*(O26-O34))-O39+O36)*O43</f>
        <v>33.572686755398252</v>
      </c>
    </row>
    <row r="45" spans="1:15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</row>
    <row r="46" spans="1:15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</row>
    <row r="47" spans="1:15">
      <c r="A47" s="365">
        <v>39</v>
      </c>
      <c r="B47" s="379" t="s">
        <v>58</v>
      </c>
      <c r="C47" s="499">
        <f>-'Def Tax'!$F692</f>
        <v>-0.53050446529166662</v>
      </c>
      <c r="D47" s="499">
        <f>-'Def Tax'!$F695</f>
        <v>-1.1072258011844074</v>
      </c>
      <c r="E47" s="499">
        <f>-'Def Tax'!$F696</f>
        <v>-1.372915902888493</v>
      </c>
      <c r="F47" s="499">
        <f>-'Def Tax'!$F697</f>
        <v>-1.7266393737056205</v>
      </c>
      <c r="G47" s="499">
        <f>-'Def Tax'!$F698</f>
        <v>-2.5658560267353372</v>
      </c>
      <c r="H47" s="499">
        <f>-'Def Tax'!$F699</f>
        <v>-3.5089623806454169</v>
      </c>
      <c r="I47" s="499">
        <f>-'Def Tax'!$F700</f>
        <v>-5.4521729684404452</v>
      </c>
      <c r="J47" s="499">
        <f>-'Def Tax'!$F701</f>
        <v>-6.7570222694635724</v>
      </c>
      <c r="K47" s="499">
        <f>-'Def Tax'!$F702</f>
        <v>-10.120989104627446</v>
      </c>
      <c r="L47" s="499">
        <f>-'Def Tax'!$F703</f>
        <v>-12.131780849359879</v>
      </c>
      <c r="M47" s="499">
        <f>-'Def Tax'!$F704</f>
        <v>-13.587032022606545</v>
      </c>
      <c r="N47" s="499">
        <f>-'Def Tax'!$F705</f>
        <v>-16.900320364922205</v>
      </c>
      <c r="O47" s="499">
        <f>-'Def Tax'!$F706</f>
        <v>-19.683875303010343</v>
      </c>
    </row>
    <row r="48" spans="1:15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490"/>
    </row>
    <row r="49" spans="1:15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490"/>
    </row>
    <row r="50" spans="1:15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490"/>
    </row>
    <row r="51" spans="1:15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490"/>
    </row>
    <row r="52" spans="1:15">
      <c r="A52" s="382">
        <v>44</v>
      </c>
      <c r="B52" s="379" t="s">
        <v>57</v>
      </c>
      <c r="C52" s="400">
        <f>'Income Tax Rates'!H56</f>
        <v>0.40720000000000001</v>
      </c>
      <c r="D52" s="400">
        <f>'Income Tax Rates'!$H$76</f>
        <v>0.40739999999999998</v>
      </c>
      <c r="E52" s="400">
        <f>'Income Tax Rates'!$H$76</f>
        <v>0.40739999999999998</v>
      </c>
      <c r="F52" s="400">
        <f>'Income Tax Rates'!$H$76</f>
        <v>0.40739999999999998</v>
      </c>
      <c r="G52" s="400">
        <f>'Income Tax Rates'!$H$76</f>
        <v>0.40739999999999998</v>
      </c>
      <c r="H52" s="400">
        <f>'Income Tax Rates'!$H$76</f>
        <v>0.40739999999999998</v>
      </c>
      <c r="I52" s="400">
        <f>'Income Tax Rates'!$H$76</f>
        <v>0.40739999999999998</v>
      </c>
      <c r="J52" s="400">
        <f>'Income Tax Rates'!$H$76</f>
        <v>0.40739999999999998</v>
      </c>
      <c r="K52" s="400">
        <f>'Income Tax Rates'!$H$76</f>
        <v>0.40739999999999998</v>
      </c>
      <c r="L52" s="400">
        <f>'Income Tax Rates'!$H$76</f>
        <v>0.40739999999999998</v>
      </c>
      <c r="M52" s="400">
        <f>'Income Tax Rates'!$H$76</f>
        <v>0.40739999999999998</v>
      </c>
      <c r="N52" s="400">
        <f>'Income Tax Rates'!$H$76</f>
        <v>0.40739999999999998</v>
      </c>
      <c r="O52" s="400">
        <f>'Income Tax Rates'!$H$76</f>
        <v>0.40739999999999998</v>
      </c>
    </row>
    <row r="53" spans="1:15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N53" si="11">1/(1-E52)</f>
        <v>1.6874789065136686</v>
      </c>
      <c r="F53" s="501">
        <f t="shared" si="11"/>
        <v>1.6874789065136686</v>
      </c>
      <c r="G53" s="501">
        <f t="shared" si="11"/>
        <v>1.6874789065136686</v>
      </c>
      <c r="H53" s="501">
        <f t="shared" si="11"/>
        <v>1.6874789065136686</v>
      </c>
      <c r="I53" s="501">
        <f t="shared" si="11"/>
        <v>1.6874789065136686</v>
      </c>
      <c r="J53" s="501">
        <f t="shared" si="11"/>
        <v>1.6874789065136686</v>
      </c>
      <c r="K53" s="501">
        <f t="shared" si="11"/>
        <v>1.6874789065136686</v>
      </c>
      <c r="L53" s="501">
        <f t="shared" si="11"/>
        <v>1.6874789065136686</v>
      </c>
      <c r="M53" s="501">
        <f t="shared" si="11"/>
        <v>1.6874789065136686</v>
      </c>
      <c r="N53" s="501">
        <f t="shared" si="11"/>
        <v>1.6874789065136686</v>
      </c>
      <c r="O53" s="501">
        <f t="shared" ref="O53" si="12">1/(1-O52)</f>
        <v>1.6874789065136686</v>
      </c>
    </row>
    <row r="54" spans="1:15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</row>
    <row r="55" spans="1:15" ht="15.75">
      <c r="A55" s="365">
        <v>47</v>
      </c>
      <c r="B55" s="510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</row>
    <row r="56" spans="1:15">
      <c r="A56" s="370">
        <v>48</v>
      </c>
      <c r="B56" s="379" t="s">
        <v>49</v>
      </c>
      <c r="C56" s="491">
        <f>C39</f>
        <v>0.27736690968299776</v>
      </c>
      <c r="D56" s="491">
        <f>D39</f>
        <v>0.48610397531859806</v>
      </c>
      <c r="E56" s="491">
        <f t="shared" ref="E56:N56" si="13">E39</f>
        <v>0.60448515326818753</v>
      </c>
      <c r="F56" s="491">
        <f t="shared" si="13"/>
        <v>0.79873259647763772</v>
      </c>
      <c r="G56" s="491">
        <f t="shared" si="13"/>
        <v>1.1563615172215143</v>
      </c>
      <c r="H56" s="491">
        <f t="shared" si="13"/>
        <v>1.6455504074464042</v>
      </c>
      <c r="I56" s="491">
        <f t="shared" si="13"/>
        <v>2.3862728520390926</v>
      </c>
      <c r="J56" s="491">
        <f t="shared" si="13"/>
        <v>3.1283733464866419</v>
      </c>
      <c r="K56" s="491">
        <f t="shared" si="13"/>
        <v>4.3848482646740452</v>
      </c>
      <c r="L56" s="491">
        <f t="shared" si="13"/>
        <v>5.155362784984149</v>
      </c>
      <c r="M56" s="491">
        <f t="shared" si="13"/>
        <v>5.9329411292822032</v>
      </c>
      <c r="N56" s="491">
        <f t="shared" si="13"/>
        <v>7.2426638300566841</v>
      </c>
      <c r="O56" s="491">
        <f t="shared" ref="O56" si="14">O39</f>
        <v>9.2936993840325304</v>
      </c>
    </row>
    <row r="57" spans="1:15">
      <c r="A57" s="365">
        <v>49</v>
      </c>
      <c r="B57" s="379" t="s">
        <v>52</v>
      </c>
      <c r="C57" s="491">
        <f>C44</f>
        <v>1.0067125809179345</v>
      </c>
      <c r="D57" s="491">
        <f>D44</f>
        <v>1.756008648392926</v>
      </c>
      <c r="E57" s="491">
        <f t="shared" ref="E57:N57" si="15">E44</f>
        <v>2.1836504345975656</v>
      </c>
      <c r="F57" s="491">
        <f t="shared" si="15"/>
        <v>2.8853525549730414</v>
      </c>
      <c r="G57" s="491">
        <f t="shared" si="15"/>
        <v>4.1772561591969684</v>
      </c>
      <c r="H57" s="491">
        <f t="shared" si="15"/>
        <v>5.9444087963866412</v>
      </c>
      <c r="I57" s="491">
        <f t="shared" si="15"/>
        <v>8.6202046853443637</v>
      </c>
      <c r="J57" s="491">
        <f t="shared" si="15"/>
        <v>11.300978660443979</v>
      </c>
      <c r="K57" s="491">
        <f t="shared" si="15"/>
        <v>15.839885838439772</v>
      </c>
      <c r="L57" s="491">
        <f t="shared" si="15"/>
        <v>18.623303029155149</v>
      </c>
      <c r="M57" s="491">
        <f t="shared" si="15"/>
        <v>21.432237674249372</v>
      </c>
      <c r="N57" s="491">
        <f t="shared" si="15"/>
        <v>26.163497870278746</v>
      </c>
      <c r="O57" s="491">
        <f t="shared" ref="O57" si="16">O44</f>
        <v>33.572686755398252</v>
      </c>
    </row>
    <row r="58" spans="1:15">
      <c r="A58" s="370">
        <v>50</v>
      </c>
      <c r="B58" s="379" t="s">
        <v>58</v>
      </c>
      <c r="C58" s="492">
        <f>C47</f>
        <v>-0.53050446529166662</v>
      </c>
      <c r="D58" s="492">
        <f>D47</f>
        <v>-1.1072258011844074</v>
      </c>
      <c r="E58" s="492">
        <f t="shared" ref="E58:N58" si="17">E47</f>
        <v>-1.372915902888493</v>
      </c>
      <c r="F58" s="492">
        <f t="shared" si="17"/>
        <v>-1.7266393737056205</v>
      </c>
      <c r="G58" s="492">
        <f t="shared" si="17"/>
        <v>-2.5658560267353372</v>
      </c>
      <c r="H58" s="492">
        <f t="shared" si="17"/>
        <v>-3.5089623806454169</v>
      </c>
      <c r="I58" s="492">
        <f t="shared" si="17"/>
        <v>-5.4521729684404452</v>
      </c>
      <c r="J58" s="492">
        <f t="shared" si="17"/>
        <v>-6.7570222694635724</v>
      </c>
      <c r="K58" s="492">
        <f t="shared" si="17"/>
        <v>-10.120989104627446</v>
      </c>
      <c r="L58" s="492">
        <f t="shared" si="17"/>
        <v>-12.131780849359879</v>
      </c>
      <c r="M58" s="492">
        <f t="shared" si="17"/>
        <v>-13.587032022606545</v>
      </c>
      <c r="N58" s="492">
        <f t="shared" si="17"/>
        <v>-16.900320364922205</v>
      </c>
      <c r="O58" s="492">
        <f t="shared" ref="O58" si="18">O47</f>
        <v>-19.683875303010343</v>
      </c>
    </row>
    <row r="59" spans="1:15">
      <c r="A59" s="365">
        <v>51</v>
      </c>
      <c r="B59" s="379" t="s">
        <v>59</v>
      </c>
      <c r="C59" s="493">
        <f>C53</f>
        <v>1.6869095816464237</v>
      </c>
      <c r="D59" s="493">
        <f>D53</f>
        <v>1.6874789065136686</v>
      </c>
      <c r="E59" s="493">
        <f t="shared" ref="E59:N59" si="19">E53</f>
        <v>1.6874789065136686</v>
      </c>
      <c r="F59" s="493">
        <f t="shared" si="19"/>
        <v>1.6874789065136686</v>
      </c>
      <c r="G59" s="493">
        <f t="shared" si="19"/>
        <v>1.6874789065136686</v>
      </c>
      <c r="H59" s="493">
        <f t="shared" si="19"/>
        <v>1.6874789065136686</v>
      </c>
      <c r="I59" s="493">
        <f t="shared" si="19"/>
        <v>1.6874789065136686</v>
      </c>
      <c r="J59" s="493">
        <f t="shared" si="19"/>
        <v>1.6874789065136686</v>
      </c>
      <c r="K59" s="493">
        <f t="shared" si="19"/>
        <v>1.6874789065136686</v>
      </c>
      <c r="L59" s="493">
        <f t="shared" si="19"/>
        <v>1.6874789065136686</v>
      </c>
      <c r="M59" s="493">
        <f t="shared" si="19"/>
        <v>1.6874789065136686</v>
      </c>
      <c r="N59" s="493">
        <f t="shared" si="19"/>
        <v>1.6874789065136686</v>
      </c>
      <c r="O59" s="493">
        <f t="shared" ref="O59" si="20">O53</f>
        <v>1.6874789065136686</v>
      </c>
    </row>
    <row r="60" spans="1:15">
      <c r="A60" s="370">
        <v>52</v>
      </c>
      <c r="B60" s="503" t="s">
        <v>60</v>
      </c>
      <c r="C60" s="502">
        <f>(C56+C57+C58)*C59</f>
        <v>1.2712129306836466</v>
      </c>
      <c r="D60" s="502">
        <f>(D56+D57+D58)*D59</f>
        <v>1.9150975742948304</v>
      </c>
      <c r="E60" s="502">
        <f t="shared" ref="E60:N60" si="21">(E56+E57+E58)*E59</f>
        <v>2.3881533664820451</v>
      </c>
      <c r="F60" s="502">
        <f t="shared" si="21"/>
        <v>3.3031484605890293</v>
      </c>
      <c r="G60" s="502">
        <f t="shared" si="21"/>
        <v>4.6705394020977815</v>
      </c>
      <c r="H60" s="502">
        <f t="shared" si="21"/>
        <v>6.8865960566784139</v>
      </c>
      <c r="I60" s="502">
        <f t="shared" si="21"/>
        <v>9.372771800443827</v>
      </c>
      <c r="J60" s="502">
        <f t="shared" si="21"/>
        <v>12.946894595793198</v>
      </c>
      <c r="K60" s="502">
        <f t="shared" si="21"/>
        <v>17.049856561738732</v>
      </c>
      <c r="L60" s="502">
        <f t="shared" si="21"/>
        <v>19.653872704656461</v>
      </c>
      <c r="M60" s="502">
        <f t="shared" si="21"/>
        <v>23.250332063660192</v>
      </c>
      <c r="N60" s="502">
        <f t="shared" si="21"/>
        <v>27.853259087771221</v>
      </c>
      <c r="O60" s="502">
        <f t="shared" ref="O60" si="22">(O56+O57+O58)*O59</f>
        <v>39.119998036484034</v>
      </c>
    </row>
    <row r="61" spans="1:15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490"/>
    </row>
    <row r="62" spans="1:15">
      <c r="A62" s="370">
        <v>54</v>
      </c>
      <c r="B62" s="573" t="s">
        <v>291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490"/>
    </row>
    <row r="63" spans="1:15" ht="15.75">
      <c r="A63" s="365">
        <v>55</v>
      </c>
      <c r="B63" s="505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490"/>
    </row>
    <row r="64" spans="1:15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490"/>
    </row>
    <row r="65" spans="1:15">
      <c r="A65" s="378">
        <v>57</v>
      </c>
      <c r="B65" s="379" t="s">
        <v>13</v>
      </c>
      <c r="C65" s="494">
        <f>C22</f>
        <v>385.73351786006077</v>
      </c>
      <c r="D65" s="494">
        <f>D22</f>
        <v>582.94092858491604</v>
      </c>
      <c r="E65" s="494">
        <f t="shared" ref="E65:N65" si="23">E22</f>
        <v>726.93560536999587</v>
      </c>
      <c r="F65" s="494">
        <f t="shared" si="23"/>
        <v>1005.4562584280056</v>
      </c>
      <c r="G65" s="494">
        <f t="shared" si="23"/>
        <v>1421.6786235353902</v>
      </c>
      <c r="H65" s="494">
        <f t="shared" si="23"/>
        <v>2096.235356238657</v>
      </c>
      <c r="I65" s="494">
        <f t="shared" si="23"/>
        <v>2852.9988268417892</v>
      </c>
      <c r="J65" s="494">
        <f t="shared" si="23"/>
        <v>3940.9481580567044</v>
      </c>
      <c r="K65" s="494">
        <f t="shared" si="23"/>
        <v>5189.8399975469474</v>
      </c>
      <c r="L65" s="494">
        <f t="shared" si="23"/>
        <v>5982.4731866705552</v>
      </c>
      <c r="M65" s="494">
        <f t="shared" si="23"/>
        <v>7077.2190819452753</v>
      </c>
      <c r="N65" s="494">
        <f t="shared" si="23"/>
        <v>8478.3026396290297</v>
      </c>
      <c r="O65" s="494">
        <f t="shared" ref="O65" si="24">O22</f>
        <v>11907.879264644234</v>
      </c>
    </row>
    <row r="66" spans="1:15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N66" si="25">E26</f>
        <v>6.9283333333333324E-3</v>
      </c>
      <c r="F66" s="495">
        <f t="shared" si="25"/>
        <v>6.9283333333333324E-3</v>
      </c>
      <c r="G66" s="495">
        <f t="shared" si="25"/>
        <v>6.9283333333333324E-3</v>
      </c>
      <c r="H66" s="495">
        <f t="shared" si="25"/>
        <v>6.9283333333333324E-3</v>
      </c>
      <c r="I66" s="495">
        <f t="shared" si="25"/>
        <v>6.9283333333333324E-3</v>
      </c>
      <c r="J66" s="495">
        <f t="shared" si="25"/>
        <v>6.9283333333333324E-3</v>
      </c>
      <c r="K66" s="495">
        <f t="shared" si="25"/>
        <v>6.9283333333333324E-3</v>
      </c>
      <c r="L66" s="495">
        <f t="shared" si="25"/>
        <v>6.9283333333333324E-3</v>
      </c>
      <c r="M66" s="495">
        <f t="shared" si="25"/>
        <v>6.9283333333333324E-3</v>
      </c>
      <c r="N66" s="495">
        <f t="shared" si="25"/>
        <v>6.9283333333333324E-3</v>
      </c>
      <c r="O66" s="495">
        <f t="shared" ref="O66" si="26">O26</f>
        <v>6.9283333333333324E-3</v>
      </c>
    </row>
    <row r="67" spans="1:15">
      <c r="A67" s="378">
        <v>59</v>
      </c>
      <c r="B67" s="379" t="s">
        <v>152</v>
      </c>
      <c r="C67" s="492">
        <f>C65*C66</f>
        <v>2.7091350737704931</v>
      </c>
      <c r="D67" s="492">
        <f t="shared" ref="D67:N67" si="27">D65*D66</f>
        <v>4.0388090668791596</v>
      </c>
      <c r="E67" s="492">
        <f t="shared" si="27"/>
        <v>5.036452185871787</v>
      </c>
      <c r="F67" s="492">
        <f t="shared" si="27"/>
        <v>6.9661361104753645</v>
      </c>
      <c r="G67" s="492">
        <f t="shared" si="27"/>
        <v>9.8498633967276934</v>
      </c>
      <c r="H67" s="492">
        <f t="shared" si="27"/>
        <v>14.52341729314016</v>
      </c>
      <c r="I67" s="492">
        <f t="shared" si="27"/>
        <v>19.76652687196886</v>
      </c>
      <c r="J67" s="492">
        <f t="shared" si="27"/>
        <v>27.304202488402865</v>
      </c>
      <c r="K67" s="492">
        <f t="shared" si="27"/>
        <v>35.956941449671099</v>
      </c>
      <c r="L67" s="492">
        <f t="shared" si="27"/>
        <v>41.448568394982487</v>
      </c>
      <c r="M67" s="492">
        <f t="shared" si="27"/>
        <v>49.033332872744175</v>
      </c>
      <c r="N67" s="492">
        <f t="shared" si="27"/>
        <v>58.740506788229787</v>
      </c>
      <c r="O67" s="492">
        <f t="shared" ref="O67" si="28">O65*O66</f>
        <v>82.501756838543457</v>
      </c>
    </row>
    <row r="68" spans="1:15">
      <c r="A68" s="382">
        <v>60</v>
      </c>
      <c r="B68" s="379" t="s">
        <v>151</v>
      </c>
      <c r="C68" s="494">
        <f>C60</f>
        <v>1.2712129306836466</v>
      </c>
      <c r="D68" s="494">
        <f>D60</f>
        <v>1.9150975742948304</v>
      </c>
      <c r="E68" s="494">
        <f t="shared" ref="E68:N68" si="29">E60</f>
        <v>2.3881533664820451</v>
      </c>
      <c r="F68" s="494">
        <f t="shared" si="29"/>
        <v>3.3031484605890293</v>
      </c>
      <c r="G68" s="494">
        <f t="shared" si="29"/>
        <v>4.6705394020977815</v>
      </c>
      <c r="H68" s="494">
        <f t="shared" si="29"/>
        <v>6.8865960566784139</v>
      </c>
      <c r="I68" s="494">
        <f t="shared" si="29"/>
        <v>9.372771800443827</v>
      </c>
      <c r="J68" s="494">
        <f t="shared" si="29"/>
        <v>12.946894595793198</v>
      </c>
      <c r="K68" s="494">
        <f t="shared" si="29"/>
        <v>17.049856561738732</v>
      </c>
      <c r="L68" s="494">
        <f t="shared" si="29"/>
        <v>19.653872704656461</v>
      </c>
      <c r="M68" s="494">
        <f t="shared" si="29"/>
        <v>23.250332063660192</v>
      </c>
      <c r="N68" s="494">
        <f t="shared" si="29"/>
        <v>27.853259087771221</v>
      </c>
      <c r="O68" s="494">
        <f t="shared" ref="O68" si="30">O60</f>
        <v>39.119998036484034</v>
      </c>
    </row>
    <row r="69" spans="1:15">
      <c r="A69" s="365">
        <v>61</v>
      </c>
      <c r="B69" s="503" t="s">
        <v>112</v>
      </c>
      <c r="C69" s="502">
        <f>C67+C68</f>
        <v>3.9803480044541395</v>
      </c>
      <c r="D69" s="502">
        <f t="shared" ref="D69:N69" si="31">D67+D68</f>
        <v>5.9539066411739903</v>
      </c>
      <c r="E69" s="502">
        <f t="shared" si="31"/>
        <v>7.4246055523538317</v>
      </c>
      <c r="F69" s="502">
        <f t="shared" si="31"/>
        <v>10.269284571064393</v>
      </c>
      <c r="G69" s="502">
        <f t="shared" si="31"/>
        <v>14.520402798825476</v>
      </c>
      <c r="H69" s="502">
        <f t="shared" si="31"/>
        <v>21.410013349818573</v>
      </c>
      <c r="I69" s="502">
        <f t="shared" si="31"/>
        <v>29.139298672412686</v>
      </c>
      <c r="J69" s="502">
        <f t="shared" si="31"/>
        <v>40.251097084196061</v>
      </c>
      <c r="K69" s="502">
        <f t="shared" si="31"/>
        <v>53.006798011409828</v>
      </c>
      <c r="L69" s="502">
        <f t="shared" si="31"/>
        <v>61.102441099638952</v>
      </c>
      <c r="M69" s="502">
        <f t="shared" si="31"/>
        <v>72.283664936404364</v>
      </c>
      <c r="N69" s="502">
        <f t="shared" si="31"/>
        <v>86.593765876001015</v>
      </c>
      <c r="O69" s="502">
        <f t="shared" ref="O69" si="32">O67+O68</f>
        <v>121.62175487502749</v>
      </c>
    </row>
    <row r="70" spans="1:15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355"/>
    </row>
    <row r="71" spans="1:15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355"/>
    </row>
    <row r="72" spans="1:15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355"/>
    </row>
  </sheetData>
  <mergeCells count="6">
    <mergeCell ref="D16:O16"/>
    <mergeCell ref="A1:N1"/>
    <mergeCell ref="A2:N2"/>
    <mergeCell ref="A3:N3"/>
    <mergeCell ref="A4:N4"/>
    <mergeCell ref="A5:N5"/>
  </mergeCells>
  <pageMargins left="0.7" right="0.7" top="0.75" bottom="0.75" header="0.3" footer="0.3"/>
  <pageSetup scale="50" orientation="landscape" verticalDpi="0" r:id="rId1"/>
  <headerFooter>
    <oddHeader>&amp;RAttachment 4
WP-Schedule 3
CWIP Balancing Acct 12-31-11 Balance
&amp;P of &amp;N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3"/>
  <sheetViews>
    <sheetView view="pageBreakPreview" topLeftCell="A25" zoomScale="60" zoomScaleNormal="100" workbookViewId="0">
      <selection activeCell="C14" sqref="C14"/>
    </sheetView>
  </sheetViews>
  <sheetFormatPr defaultRowHeight="12.75"/>
  <cols>
    <col min="1" max="1" width="3.85546875" bestFit="1" customWidth="1"/>
    <col min="2" max="2" width="47.140625" customWidth="1"/>
    <col min="3" max="7" width="10.140625" bestFit="1" customWidth="1"/>
    <col min="8" max="8" width="10.85546875" bestFit="1" customWidth="1"/>
    <col min="9" max="9" width="9.140625" customWidth="1"/>
    <col min="10" max="10" width="9.28515625" bestFit="1" customWidth="1"/>
    <col min="11" max="11" width="9.140625" customWidth="1"/>
  </cols>
  <sheetData>
    <row r="1" spans="1:11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</row>
    <row r="2" spans="1:11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</row>
    <row r="3" spans="1:11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</row>
    <row r="4" spans="1:11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</row>
    <row r="5" spans="1:11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90">
        <v>2011</v>
      </c>
      <c r="D16" s="690"/>
      <c r="E16" s="690"/>
      <c r="F16" s="690"/>
      <c r="G16" s="690"/>
      <c r="H16" s="690"/>
      <c r="I16" s="690"/>
      <c r="J16" s="690"/>
      <c r="K16" s="690"/>
    </row>
    <row r="17" spans="1:14" ht="21" thickBot="1">
      <c r="A17" s="365">
        <v>9</v>
      </c>
      <c r="B17" s="374" t="s">
        <v>335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4" ht="29.25" thickTop="1">
      <c r="A18" s="370">
        <v>10</v>
      </c>
      <c r="B18" s="509" t="s">
        <v>339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4">
      <c r="A19" s="378">
        <v>11</v>
      </c>
      <c r="B19" s="379" t="s">
        <v>146</v>
      </c>
      <c r="C19" s="380">
        <f>'Whirlwind CWIP Balance'!E15+'Def Tax'!F767</f>
        <v>26.16413</v>
      </c>
      <c r="D19" s="381">
        <f t="shared" ref="D19:K19" si="0">C20</f>
        <v>40.885031342229162</v>
      </c>
      <c r="E19" s="381">
        <f t="shared" si="0"/>
        <v>119.89148007596589</v>
      </c>
      <c r="F19" s="381">
        <f t="shared" si="0"/>
        <v>218.12955539948905</v>
      </c>
      <c r="G19" s="381">
        <f t="shared" si="0"/>
        <v>236.66687912631181</v>
      </c>
      <c r="H19" s="381">
        <f t="shared" si="0"/>
        <v>371.84167887350679</v>
      </c>
      <c r="I19" s="381">
        <f t="shared" si="0"/>
        <v>630.36769384682179</v>
      </c>
      <c r="J19" s="381">
        <f t="shared" si="0"/>
        <v>1603.9510735493784</v>
      </c>
      <c r="K19" s="381">
        <f t="shared" si="0"/>
        <v>2618.6882952642441</v>
      </c>
      <c r="L19" s="381"/>
      <c r="M19" s="381"/>
      <c r="N19" s="381"/>
    </row>
    <row r="20" spans="1:14">
      <c r="A20" s="382">
        <v>12</v>
      </c>
      <c r="B20" s="379" t="s">
        <v>147</v>
      </c>
      <c r="C20" s="383">
        <f>'Whirlwind CWIP Balance'!$E$16+'Def Tax'!$F$768</f>
        <v>40.885031342229162</v>
      </c>
      <c r="D20" s="383">
        <f>'Whirlwind CWIP Balance'!$E$17+'Def Tax'!$F$769</f>
        <v>119.89148007596589</v>
      </c>
      <c r="E20" s="383">
        <f>'Whirlwind CWIP Balance'!$E$18+'Def Tax'!$F$770</f>
        <v>218.12955539948905</v>
      </c>
      <c r="F20" s="383">
        <f>'Whirlwind CWIP Balance'!$E$19+'Def Tax'!$F$771</f>
        <v>236.66687912631181</v>
      </c>
      <c r="G20" s="383">
        <f>'Whirlwind CWIP Balance'!$E$20+'Def Tax'!$F$772</f>
        <v>371.84167887350679</v>
      </c>
      <c r="H20" s="383">
        <f>'Whirlwind CWIP Balance'!$E$21+'Def Tax'!$F$773</f>
        <v>630.36769384682179</v>
      </c>
      <c r="I20" s="383">
        <f>'Whirlwind CWIP Balance'!$E$22+'Def Tax'!$F$774</f>
        <v>1603.9510735493784</v>
      </c>
      <c r="J20" s="383">
        <f>'Whirlwind CWIP Balance'!$E$23+'Def Tax'!$F$775</f>
        <v>2618.6882952642441</v>
      </c>
      <c r="K20" s="383">
        <f>'Whirlwind CWIP Balance'!$E$24+'Def Tax'!$F$776</f>
        <v>2894.4977152642441</v>
      </c>
    </row>
    <row r="21" spans="1:14">
      <c r="A21" s="378">
        <v>13</v>
      </c>
      <c r="B21" s="379" t="s">
        <v>12</v>
      </c>
      <c r="C21" s="489">
        <f>SUM(C19:C20)</f>
        <v>67.049161342229155</v>
      </c>
      <c r="D21" s="489">
        <f>SUM(D19:D20)</f>
        <v>160.77651141819504</v>
      </c>
      <c r="E21" s="489">
        <f t="shared" ref="E21:K21" si="1">SUM(E19:E20)</f>
        <v>338.02103547545494</v>
      </c>
      <c r="F21" s="489">
        <f t="shared" si="1"/>
        <v>454.79643452580086</v>
      </c>
      <c r="G21" s="489">
        <f t="shared" si="1"/>
        <v>608.50855799981855</v>
      </c>
      <c r="H21" s="489">
        <f t="shared" si="1"/>
        <v>1002.2093727203286</v>
      </c>
      <c r="I21" s="489">
        <f t="shared" si="1"/>
        <v>2234.3187673962002</v>
      </c>
      <c r="J21" s="489">
        <f t="shared" si="1"/>
        <v>4222.6393688136222</v>
      </c>
      <c r="K21" s="489">
        <f t="shared" si="1"/>
        <v>5513.1860105284886</v>
      </c>
    </row>
    <row r="22" spans="1:14">
      <c r="A22" s="370">
        <v>14</v>
      </c>
      <c r="B22" s="503" t="s">
        <v>13</v>
      </c>
      <c r="C22" s="497">
        <f>C21/2</f>
        <v>33.524580671114578</v>
      </c>
      <c r="D22" s="497">
        <f>D21/2</f>
        <v>80.388255709097521</v>
      </c>
      <c r="E22" s="497">
        <f t="shared" ref="E22:K22" si="2">E21/2</f>
        <v>169.01051773772747</v>
      </c>
      <c r="F22" s="497">
        <f t="shared" si="2"/>
        <v>227.39821726290043</v>
      </c>
      <c r="G22" s="497">
        <f t="shared" si="2"/>
        <v>304.25427899990927</v>
      </c>
      <c r="H22" s="497">
        <f t="shared" si="2"/>
        <v>501.10468636016429</v>
      </c>
      <c r="I22" s="497">
        <f t="shared" si="2"/>
        <v>1117.1593836981001</v>
      </c>
      <c r="J22" s="497">
        <f t="shared" si="2"/>
        <v>2111.3196844068111</v>
      </c>
      <c r="K22" s="497">
        <f t="shared" si="2"/>
        <v>2756.5930052642443</v>
      </c>
    </row>
    <row r="23" spans="1:14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4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4">
      <c r="A25" s="378">
        <v>17</v>
      </c>
      <c r="B25" s="385" t="s">
        <v>47</v>
      </c>
      <c r="C25" s="386">
        <f>'Cost of Capital'!$D$168</f>
        <v>8.3139999999999992E-2</v>
      </c>
      <c r="D25" s="386">
        <f>'Cost of Capital'!$D$168</f>
        <v>8.3139999999999992E-2</v>
      </c>
      <c r="E25" s="386">
        <f>'Cost of Capital'!$D$168</f>
        <v>8.3139999999999992E-2</v>
      </c>
      <c r="F25" s="386">
        <f>'Cost of Capital'!$D$168</f>
        <v>8.3139999999999992E-2</v>
      </c>
      <c r="G25" s="386">
        <f>'Cost of Capital'!$D$168</f>
        <v>8.3139999999999992E-2</v>
      </c>
      <c r="H25" s="386">
        <f>'Cost of Capital'!$D$168</f>
        <v>8.3139999999999992E-2</v>
      </c>
      <c r="I25" s="386">
        <f>'Cost of Capital'!$D$168</f>
        <v>8.3139999999999992E-2</v>
      </c>
      <c r="J25" s="386">
        <f>'Cost of Capital'!$D$168</f>
        <v>8.3139999999999992E-2</v>
      </c>
      <c r="K25" s="386">
        <f>'Cost of Capital'!$D$168</f>
        <v>8.3139999999999992E-2</v>
      </c>
    </row>
    <row r="26" spans="1:14">
      <c r="A26" s="370">
        <v>18</v>
      </c>
      <c r="B26" s="503" t="s">
        <v>48</v>
      </c>
      <c r="C26" s="478">
        <f>'Cost of Capital'!$D$169</f>
        <v>6.9283333333333324E-3</v>
      </c>
      <c r="D26" s="478">
        <f>'Cost of Capital'!$D$169</f>
        <v>6.9283333333333324E-3</v>
      </c>
      <c r="E26" s="478">
        <f>'Cost of Capital'!$D$169</f>
        <v>6.9283333333333324E-3</v>
      </c>
      <c r="F26" s="478">
        <f>'Cost of Capital'!$D$169</f>
        <v>6.9283333333333324E-3</v>
      </c>
      <c r="G26" s="478">
        <f>'Cost of Capital'!$D$169</f>
        <v>6.9283333333333324E-3</v>
      </c>
      <c r="H26" s="478">
        <f>'Cost of Capital'!$D$169</f>
        <v>6.9283333333333324E-3</v>
      </c>
      <c r="I26" s="478">
        <f>'Cost of Capital'!$D$169</f>
        <v>6.9283333333333324E-3</v>
      </c>
      <c r="J26" s="478">
        <f>'Cost of Capital'!$D$169</f>
        <v>6.9283333333333324E-3</v>
      </c>
      <c r="K26" s="478">
        <f>'Cost of Capital'!$D$169</f>
        <v>6.9283333333333324E-3</v>
      </c>
    </row>
    <row r="27" spans="1:14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4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4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4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4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4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Capital'!$D$165</f>
        <v>2.58E-2</v>
      </c>
      <c r="D33" s="393">
        <f>'Cost of Capital'!$D$165</f>
        <v>2.58E-2</v>
      </c>
      <c r="E33" s="393">
        <f>'Cost of Capital'!$D$165</f>
        <v>2.58E-2</v>
      </c>
      <c r="F33" s="393">
        <f>'Cost of Capital'!$D$165</f>
        <v>2.58E-2</v>
      </c>
      <c r="G33" s="393">
        <f>'Cost of Capital'!$D$165</f>
        <v>2.58E-2</v>
      </c>
      <c r="H33" s="393">
        <f>'Cost of Capital'!$D$165</f>
        <v>2.58E-2</v>
      </c>
      <c r="I33" s="393">
        <f>'Cost of Capital'!$D$165</f>
        <v>2.58E-2</v>
      </c>
      <c r="J33" s="393">
        <f>'Cost of Capital'!$D$165</f>
        <v>2.58E-2</v>
      </c>
      <c r="K33" s="393">
        <f>'Cost of Capital'!$D$165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Tax'!$E749</f>
        <v>0.13627151041666666</v>
      </c>
      <c r="D36" s="499">
        <f>'Def Tax'!$E750</f>
        <v>0.21345985161675346</v>
      </c>
      <c r="E36" s="499">
        <f>'Def Tax'!$E751</f>
        <v>0.62579933001059074</v>
      </c>
      <c r="F36" s="499">
        <f>'Def Tax'!$E752</f>
        <v>1.1400514098543959</v>
      </c>
      <c r="G36" s="499">
        <f>'Def Tax'!$E753</f>
        <v>1.2415298026140542</v>
      </c>
      <c r="H36" s="499">
        <f>'Def Tax'!$E754</f>
        <v>1.9511533953360023</v>
      </c>
      <c r="I36" s="499">
        <f>'Def Tax'!$E755</f>
        <v>3.306770288020044</v>
      </c>
      <c r="J36" s="499">
        <f>'Def Tax'!$E756</f>
        <v>8.3935703936868151</v>
      </c>
      <c r="K36" s="499">
        <f>'Def Tax'!$E757</f>
        <v>13.720892426987266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Rates'!$I$72</f>
        <v>8.8330000000000006E-2</v>
      </c>
      <c r="D38" s="396">
        <f>'Income Tax Rates'!$I$72</f>
        <v>8.8330000000000006E-2</v>
      </c>
      <c r="E38" s="396">
        <f>'Income Tax Rates'!$I$72</f>
        <v>8.8330000000000006E-2</v>
      </c>
      <c r="F38" s="396">
        <f>'Income Tax Rates'!$I$72</f>
        <v>8.8330000000000006E-2</v>
      </c>
      <c r="G38" s="396">
        <f>'Income Tax Rates'!$I$72</f>
        <v>8.8330000000000006E-2</v>
      </c>
      <c r="H38" s="396">
        <f>'Income Tax Rates'!$I$72</f>
        <v>8.8330000000000006E-2</v>
      </c>
      <c r="I38" s="396">
        <f>'Income Tax Rates'!$I$72</f>
        <v>8.8330000000000006E-2</v>
      </c>
      <c r="J38" s="396">
        <f>'Income Tax Rates'!$I$72</f>
        <v>8.8330000000000006E-2</v>
      </c>
      <c r="K38" s="396">
        <f>'Income Tax Rates'!$I$72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2.6186588425134615E-2</v>
      </c>
      <c r="D39" s="500">
        <f>((D22*(D26-D34))+D36)*D38</f>
        <v>5.2784394518293504E-2</v>
      </c>
      <c r="E39" s="500">
        <f t="shared" ref="E39:K39" si="4">((E22*(E26-E34))+E36)*E38</f>
        <v>0.12661115502665968</v>
      </c>
      <c r="F39" s="500">
        <f t="shared" si="4"/>
        <v>0.19667874828226434</v>
      </c>
      <c r="G39" s="500">
        <f t="shared" si="4"/>
        <v>0.23808098678234224</v>
      </c>
      <c r="H39" s="500">
        <f t="shared" si="4"/>
        <v>0.38384672625125615</v>
      </c>
      <c r="I39" s="500">
        <f t="shared" si="4"/>
        <v>0.76360668543082133</v>
      </c>
      <c r="J39" s="500">
        <f t="shared" si="4"/>
        <v>1.6325291591472149</v>
      </c>
      <c r="K39" s="500">
        <f t="shared" si="4"/>
        <v>2.375442143183049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38.2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Rates'!$I73</f>
        <v>0.35</v>
      </c>
      <c r="D43" s="398">
        <f>'Income Tax Rates'!$I73</f>
        <v>0.35</v>
      </c>
      <c r="E43" s="398">
        <f>'Income Tax Rates'!$I73</f>
        <v>0.35</v>
      </c>
      <c r="F43" s="398">
        <f>'Income Tax Rates'!$I73</f>
        <v>0.35</v>
      </c>
      <c r="G43" s="398">
        <f>'Income Tax Rates'!$I73</f>
        <v>0.35</v>
      </c>
      <c r="H43" s="398">
        <f>'Income Tax Rates'!$I73</f>
        <v>0.35</v>
      </c>
      <c r="I43" s="398">
        <f>'Income Tax Rates'!$I73</f>
        <v>0.35</v>
      </c>
      <c r="J43" s="398">
        <f>'Income Tax Rates'!$I73</f>
        <v>0.35</v>
      </c>
      <c r="K43" s="398">
        <f>'Income Tax Rates'!$I73</f>
        <v>0.35</v>
      </c>
    </row>
    <row r="44" spans="1:11">
      <c r="A44" s="370">
        <v>36</v>
      </c>
      <c r="B44" s="379" t="s">
        <v>52</v>
      </c>
      <c r="C44" s="500">
        <f>((C22*(C26-C34))-C39+C36)*C43</f>
        <v>9.4596790154419408E-2</v>
      </c>
      <c r="D44" s="500">
        <f>((D22*(D26-D34))-D39+D36)*D43</f>
        <v>0.19067906863661746</v>
      </c>
      <c r="E44" s="500">
        <f t="shared" ref="E44:K44" si="5">((E22*(E26-E34))-E39+E36)*E43</f>
        <v>0.45737186795091345</v>
      </c>
      <c r="F44" s="500">
        <f t="shared" si="5"/>
        <v>0.71048500007100834</v>
      </c>
      <c r="G44" s="500">
        <f t="shared" si="5"/>
        <v>0.86004701264519734</v>
      </c>
      <c r="H44" s="500">
        <f t="shared" si="5"/>
        <v>1.3866131633931724</v>
      </c>
      <c r="I44" s="500">
        <f t="shared" si="5"/>
        <v>2.7584632335259913</v>
      </c>
      <c r="J44" s="500">
        <f t="shared" si="5"/>
        <v>5.8973706609522161</v>
      </c>
      <c r="K44" s="500">
        <f t="shared" si="5"/>
        <v>8.5810796845521509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Tax'!$F749</f>
        <v>-5.5517013343749998E-2</v>
      </c>
      <c r="D47" s="499">
        <f>-'Def Tax'!$F750</f>
        <v>-8.6963543548665354E-2</v>
      </c>
      <c r="E47" s="499">
        <f>-'Def Tax'!$F751</f>
        <v>-0.25495064704631465</v>
      </c>
      <c r="F47" s="499">
        <f>-'Def Tax'!$F752</f>
        <v>-0.46445694437468088</v>
      </c>
      <c r="G47" s="499">
        <f>-'Def Tax'!$F753</f>
        <v>-0.5057992415849657</v>
      </c>
      <c r="H47" s="499">
        <f>-'Def Tax'!$F754</f>
        <v>-0.7948998932598873</v>
      </c>
      <c r="I47" s="499">
        <f>-'Def Tax'!$F749</f>
        <v>-5.5517013343749998E-2</v>
      </c>
      <c r="J47" s="499">
        <f>-'Def Tax'!$F749</f>
        <v>-5.5517013343749998E-2</v>
      </c>
      <c r="K47" s="499">
        <f>-'Def Tax'!$F749</f>
        <v>-5.5517013343749998E-2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Rates'!$I76</f>
        <v>0.40739999999999998</v>
      </c>
      <c r="D52" s="400">
        <f>'Income Tax Rates'!$I76</f>
        <v>0.40739999999999998</v>
      </c>
      <c r="E52" s="400">
        <f>'Income Tax Rates'!$I76</f>
        <v>0.40739999999999998</v>
      </c>
      <c r="F52" s="400">
        <f>'Income Tax Rates'!$I76</f>
        <v>0.40739999999999998</v>
      </c>
      <c r="G52" s="400">
        <f>'Income Tax Rates'!$I76</f>
        <v>0.40739999999999998</v>
      </c>
      <c r="H52" s="400">
        <f>'Income Tax Rates'!$I76</f>
        <v>0.40739999999999998</v>
      </c>
      <c r="I52" s="400">
        <f>'Income Tax Rates'!$I76</f>
        <v>0.40739999999999998</v>
      </c>
      <c r="J52" s="400">
        <f>'Income Tax Rates'!$I76</f>
        <v>0.40739999999999998</v>
      </c>
      <c r="K52" s="400">
        <f>'Income Tax Rates'!$I76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2.6186588425134615E-2</v>
      </c>
      <c r="D56" s="491">
        <f>D39</f>
        <v>5.2784394518293504E-2</v>
      </c>
      <c r="E56" s="491">
        <f>E39</f>
        <v>0.12661115502665968</v>
      </c>
      <c r="F56" s="491">
        <f t="shared" ref="F56:K56" si="7">F39</f>
        <v>0.19667874828226434</v>
      </c>
      <c r="G56" s="491">
        <f t="shared" si="7"/>
        <v>0.23808098678234224</v>
      </c>
      <c r="H56" s="491">
        <f t="shared" si="7"/>
        <v>0.38384672625125615</v>
      </c>
      <c r="I56" s="491">
        <f t="shared" si="7"/>
        <v>0.76360668543082133</v>
      </c>
      <c r="J56" s="491">
        <f t="shared" si="7"/>
        <v>1.6325291591472149</v>
      </c>
      <c r="K56" s="491">
        <f t="shared" si="7"/>
        <v>2.375442143183049</v>
      </c>
    </row>
    <row r="57" spans="1:11">
      <c r="A57" s="365">
        <v>49</v>
      </c>
      <c r="B57" s="379" t="s">
        <v>52</v>
      </c>
      <c r="C57" s="491">
        <f>C44</f>
        <v>9.4596790154419408E-2</v>
      </c>
      <c r="D57" s="491">
        <f>D44</f>
        <v>0.19067906863661746</v>
      </c>
      <c r="E57" s="491">
        <f t="shared" ref="E57:K57" si="8">E44</f>
        <v>0.45737186795091345</v>
      </c>
      <c r="F57" s="491">
        <f t="shared" si="8"/>
        <v>0.71048500007100834</v>
      </c>
      <c r="G57" s="491">
        <f t="shared" si="8"/>
        <v>0.86004701264519734</v>
      </c>
      <c r="H57" s="491">
        <f t="shared" si="8"/>
        <v>1.3866131633931724</v>
      </c>
      <c r="I57" s="491">
        <f t="shared" si="8"/>
        <v>2.7584632335259913</v>
      </c>
      <c r="J57" s="491">
        <f t="shared" si="8"/>
        <v>5.8973706609522161</v>
      </c>
      <c r="K57" s="491">
        <f t="shared" si="8"/>
        <v>8.5810796845521509</v>
      </c>
    </row>
    <row r="58" spans="1:11">
      <c r="A58" s="370">
        <v>50</v>
      </c>
      <c r="B58" s="379" t="s">
        <v>58</v>
      </c>
      <c r="C58" s="492">
        <f>C47</f>
        <v>-5.5517013343749998E-2</v>
      </c>
      <c r="D58" s="492">
        <f>D47</f>
        <v>-8.6963543548665354E-2</v>
      </c>
      <c r="E58" s="492">
        <f t="shared" ref="E58:K58" si="9">E47</f>
        <v>-0.25495064704631465</v>
      </c>
      <c r="F58" s="492">
        <f t="shared" si="9"/>
        <v>-0.46445694437468088</v>
      </c>
      <c r="G58" s="492">
        <f t="shared" si="9"/>
        <v>-0.5057992415849657</v>
      </c>
      <c r="H58" s="492">
        <f t="shared" si="9"/>
        <v>-0.7948998932598873</v>
      </c>
      <c r="I58" s="492">
        <f t="shared" si="9"/>
        <v>-5.5517013343749998E-2</v>
      </c>
      <c r="J58" s="492">
        <f t="shared" si="9"/>
        <v>-5.5517013343749998E-2</v>
      </c>
      <c r="K58" s="492">
        <f t="shared" si="9"/>
        <v>-5.5517013343749998E-2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>E53</f>
        <v>1.6874789065136686</v>
      </c>
      <c r="F59" s="493">
        <f t="shared" ref="F59:K59" si="10">F53</f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0.11013561464023632</v>
      </c>
      <c r="D60" s="502">
        <f>(D56+D57+D58)*D59</f>
        <v>0.26409031320662435</v>
      </c>
      <c r="E60" s="502">
        <f t="shared" ref="E60:K60" si="11">(E56+E57+E58)*E59</f>
        <v>0.55523519394407439</v>
      </c>
      <c r="F60" s="502">
        <f t="shared" si="11"/>
        <v>0.74705839348395509</v>
      </c>
      <c r="G60" s="502">
        <f t="shared" si="11"/>
        <v>0.99954228458078642</v>
      </c>
      <c r="H60" s="502">
        <f t="shared" si="11"/>
        <v>1.6462369159374641</v>
      </c>
      <c r="I60" s="502">
        <f t="shared" si="11"/>
        <v>5.8497349065357112</v>
      </c>
      <c r="J60" s="502">
        <f t="shared" si="11"/>
        <v>12.612863325608641</v>
      </c>
      <c r="K60" s="502">
        <f t="shared" si="11"/>
        <v>18.395215684089521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290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33.524580671114578</v>
      </c>
      <c r="D65" s="494">
        <f>D22</f>
        <v>80.388255709097521</v>
      </c>
      <c r="E65" s="494">
        <f t="shared" ref="E65:K65" si="12">E22</f>
        <v>169.01051773772747</v>
      </c>
      <c r="F65" s="494">
        <f t="shared" si="12"/>
        <v>227.39821726290043</v>
      </c>
      <c r="G65" s="494">
        <f t="shared" si="12"/>
        <v>304.25427899990927</v>
      </c>
      <c r="H65" s="494">
        <f t="shared" si="12"/>
        <v>501.10468636016429</v>
      </c>
      <c r="I65" s="494">
        <f t="shared" si="12"/>
        <v>1117.1593836981001</v>
      </c>
      <c r="J65" s="494">
        <f t="shared" si="12"/>
        <v>2111.3196844068111</v>
      </c>
      <c r="K65" s="494">
        <f t="shared" si="12"/>
        <v>2756.5930052642443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0.23226946974970547</v>
      </c>
      <c r="D67" s="492">
        <f t="shared" ref="D67:K67" si="14">D65*D66</f>
        <v>0.55695663163786391</v>
      </c>
      <c r="E67" s="492">
        <f t="shared" si="14"/>
        <v>1.1709612037262216</v>
      </c>
      <c r="F67" s="492">
        <f t="shared" si="14"/>
        <v>1.5754906486031282</v>
      </c>
      <c r="G67" s="492">
        <f t="shared" si="14"/>
        <v>2.1079750630043712</v>
      </c>
      <c r="H67" s="492">
        <f t="shared" si="14"/>
        <v>3.4718203019986711</v>
      </c>
      <c r="I67" s="492">
        <f t="shared" si="14"/>
        <v>7.7400525967216689</v>
      </c>
      <c r="J67" s="492">
        <f t="shared" si="14"/>
        <v>14.627926546798522</v>
      </c>
      <c r="K67" s="492">
        <f t="shared" si="14"/>
        <v>19.098595204805768</v>
      </c>
    </row>
    <row r="68" spans="1:11">
      <c r="A68" s="382">
        <v>60</v>
      </c>
      <c r="B68" s="379" t="s">
        <v>151</v>
      </c>
      <c r="C68" s="494">
        <f>C60</f>
        <v>0.11013561464023632</v>
      </c>
      <c r="D68" s="494">
        <f>D60</f>
        <v>0.26409031320662435</v>
      </c>
      <c r="E68" s="494">
        <f t="shared" ref="E68:K68" si="15">E60</f>
        <v>0.55523519394407439</v>
      </c>
      <c r="F68" s="494">
        <f t="shared" si="15"/>
        <v>0.74705839348395509</v>
      </c>
      <c r="G68" s="494">
        <f t="shared" si="15"/>
        <v>0.99954228458078642</v>
      </c>
      <c r="H68" s="494">
        <f t="shared" si="15"/>
        <v>1.6462369159374641</v>
      </c>
      <c r="I68" s="494">
        <f t="shared" si="15"/>
        <v>5.8497349065357112</v>
      </c>
      <c r="J68" s="494">
        <f t="shared" si="15"/>
        <v>12.612863325608641</v>
      </c>
      <c r="K68" s="494">
        <f t="shared" si="15"/>
        <v>18.395215684089521</v>
      </c>
    </row>
    <row r="69" spans="1:11">
      <c r="A69" s="365">
        <v>61</v>
      </c>
      <c r="B69" s="503" t="s">
        <v>112</v>
      </c>
      <c r="C69" s="502">
        <f>C67+C68</f>
        <v>0.34240508438994177</v>
      </c>
      <c r="D69" s="502">
        <f t="shared" ref="D69:K69" si="16">D67+D68</f>
        <v>0.82104694484448826</v>
      </c>
      <c r="E69" s="502">
        <f t="shared" si="16"/>
        <v>1.7261963976702961</v>
      </c>
      <c r="F69" s="502">
        <f t="shared" si="16"/>
        <v>2.3225490420870831</v>
      </c>
      <c r="G69" s="502">
        <f t="shared" si="16"/>
        <v>3.1075173475851576</v>
      </c>
      <c r="H69" s="502">
        <f t="shared" si="16"/>
        <v>5.1180572179361352</v>
      </c>
      <c r="I69" s="502">
        <f t="shared" si="16"/>
        <v>13.58978750325738</v>
      </c>
      <c r="J69" s="502">
        <f t="shared" si="16"/>
        <v>27.240789872407163</v>
      </c>
      <c r="K69" s="502">
        <f t="shared" si="16"/>
        <v>37.49381088889529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  <row r="73" spans="1:11" ht="15">
      <c r="A73" s="402"/>
      <c r="B73" s="518"/>
      <c r="C73" s="490"/>
      <c r="D73" s="490"/>
      <c r="E73" s="490"/>
      <c r="F73" s="490"/>
      <c r="G73" s="490"/>
      <c r="H73" s="490"/>
      <c r="I73" s="490"/>
      <c r="J73" s="490"/>
      <c r="K73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5"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2"/>
  <sheetViews>
    <sheetView view="pageBreakPreview" topLeftCell="A46" zoomScale="60" zoomScaleNormal="100" workbookViewId="0">
      <selection activeCell="B12" sqref="B12"/>
    </sheetView>
  </sheetViews>
  <sheetFormatPr defaultRowHeight="12.75"/>
  <cols>
    <col min="1" max="1" width="3.85546875" bestFit="1" customWidth="1"/>
    <col min="2" max="2" width="52.140625" customWidth="1"/>
    <col min="3" max="5" width="9.28515625" bestFit="1" customWidth="1"/>
    <col min="6" max="11" width="9.140625" customWidth="1"/>
  </cols>
  <sheetData>
    <row r="1" spans="1:11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</row>
    <row r="2" spans="1:11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</row>
    <row r="3" spans="1:11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</row>
    <row r="4" spans="1:11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</row>
    <row r="5" spans="1:11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90">
        <v>2011</v>
      </c>
      <c r="D16" s="690"/>
      <c r="E16" s="690"/>
      <c r="F16" s="690"/>
      <c r="G16" s="690"/>
      <c r="H16" s="690"/>
      <c r="I16" s="690"/>
      <c r="J16" s="690"/>
      <c r="K16" s="690"/>
    </row>
    <row r="17" spans="1:11" ht="21" thickBot="1">
      <c r="A17" s="365">
        <v>9</v>
      </c>
      <c r="B17" s="374" t="s">
        <v>336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1" ht="29.25" thickTop="1">
      <c r="A18" s="370">
        <v>10</v>
      </c>
      <c r="B18" s="509" t="s">
        <v>17</v>
      </c>
      <c r="C18" s="496"/>
      <c r="D18" s="490"/>
      <c r="E18" s="490"/>
      <c r="F18" s="490"/>
      <c r="G18" s="490"/>
      <c r="H18" s="490"/>
      <c r="I18" s="490"/>
      <c r="J18" s="490"/>
      <c r="K18" s="490"/>
    </row>
    <row r="19" spans="1:11">
      <c r="A19" s="378">
        <v>11</v>
      </c>
      <c r="B19" s="379" t="s">
        <v>146</v>
      </c>
      <c r="C19" s="380">
        <f>'CR CWIP Balance'!E15+'Def Tax'!F813</f>
        <v>307.04764</v>
      </c>
      <c r="D19" s="381">
        <f t="shared" ref="D19:K19" si="0">C20</f>
        <v>1479.0843644740835</v>
      </c>
      <c r="E19" s="381">
        <f t="shared" si="0"/>
        <v>1682.903208373395</v>
      </c>
      <c r="F19" s="381">
        <f t="shared" si="0"/>
        <v>1928.1600049356252</v>
      </c>
      <c r="G19" s="381">
        <f t="shared" si="0"/>
        <v>2018.4107221614479</v>
      </c>
      <c r="H19" s="381">
        <f t="shared" si="0"/>
        <v>2091.5001957439013</v>
      </c>
      <c r="I19" s="381">
        <f t="shared" si="0"/>
        <v>2251.7192229972425</v>
      </c>
      <c r="J19" s="381">
        <f t="shared" si="0"/>
        <v>5536.5100642768239</v>
      </c>
      <c r="K19" s="381">
        <f t="shared" si="0"/>
        <v>8960.8621448169706</v>
      </c>
    </row>
    <row r="20" spans="1:11">
      <c r="A20" s="382">
        <v>12</v>
      </c>
      <c r="B20" s="379" t="s">
        <v>147</v>
      </c>
      <c r="C20" s="383">
        <f>'CR CWIP Balance'!$E16+'Def Tax'!$F814</f>
        <v>1479.0843644740835</v>
      </c>
      <c r="D20" s="383">
        <f>'CR CWIP Balance'!$E17+'Def Tax'!$F815</f>
        <v>1682.903208373395</v>
      </c>
      <c r="E20" s="383">
        <f>'CR CWIP Balance'!$E18+'Def Tax'!$F816</f>
        <v>1928.1600049356252</v>
      </c>
      <c r="F20" s="383">
        <f>'CR CWIP Balance'!$E19+'Def Tax'!$F817</f>
        <v>2018.4107221614479</v>
      </c>
      <c r="G20" s="383">
        <f>'CR CWIP Balance'!$E20+'Def Tax'!$F818</f>
        <v>2091.5001957439013</v>
      </c>
      <c r="H20" s="383">
        <f>'CR CWIP Balance'!$E21+'Def Tax'!$F819</f>
        <v>2251.7192229972425</v>
      </c>
      <c r="I20" s="383">
        <f>'CR CWIP Balance'!$E22+'Def Tax'!$F820</f>
        <v>5536.5100642768239</v>
      </c>
      <c r="J20" s="383">
        <f>'CR CWIP Balance'!$E23+'Def Tax'!$F821</f>
        <v>8960.8621448169706</v>
      </c>
      <c r="K20" s="383">
        <f>'CR CWIP Balance'!$E24+'Def Tax'!$F822</f>
        <v>10970.119544816969</v>
      </c>
    </row>
    <row r="21" spans="1:11">
      <c r="A21" s="378">
        <v>13</v>
      </c>
      <c r="B21" s="379" t="s">
        <v>12</v>
      </c>
      <c r="C21" s="489">
        <f>SUM(C19:C20)</f>
        <v>1786.1320044740835</v>
      </c>
      <c r="D21" s="489">
        <f>SUM(D19:D20)</f>
        <v>3161.9875728474785</v>
      </c>
      <c r="E21" s="489">
        <f t="shared" ref="E21:K21" si="1">SUM(E19:E20)</f>
        <v>3611.0632133090203</v>
      </c>
      <c r="F21" s="489">
        <f t="shared" si="1"/>
        <v>3946.5707270970734</v>
      </c>
      <c r="G21" s="489">
        <f t="shared" si="1"/>
        <v>4109.9109179053494</v>
      </c>
      <c r="H21" s="489">
        <f t="shared" si="1"/>
        <v>4343.2194187411442</v>
      </c>
      <c r="I21" s="489">
        <f t="shared" si="1"/>
        <v>7788.2292872740663</v>
      </c>
      <c r="J21" s="489">
        <f t="shared" si="1"/>
        <v>14497.372209093795</v>
      </c>
      <c r="K21" s="489">
        <f t="shared" si="1"/>
        <v>19930.98168963394</v>
      </c>
    </row>
    <row r="22" spans="1:11">
      <c r="A22" s="370">
        <v>14</v>
      </c>
      <c r="B22" s="503" t="s">
        <v>13</v>
      </c>
      <c r="C22" s="497">
        <f>C21/2</f>
        <v>893.06600223704174</v>
      </c>
      <c r="D22" s="497">
        <f>D21/2</f>
        <v>1580.9937864237393</v>
      </c>
      <c r="E22" s="497">
        <f t="shared" ref="E22:K22" si="2">E21/2</f>
        <v>1805.5316066545101</v>
      </c>
      <c r="F22" s="497">
        <f t="shared" si="2"/>
        <v>1973.2853635485367</v>
      </c>
      <c r="G22" s="497">
        <f t="shared" si="2"/>
        <v>2054.9554589526747</v>
      </c>
      <c r="H22" s="497">
        <f t="shared" si="2"/>
        <v>2171.6097093705721</v>
      </c>
      <c r="I22" s="497">
        <f t="shared" si="2"/>
        <v>3894.1146436370332</v>
      </c>
      <c r="J22" s="497">
        <f t="shared" si="2"/>
        <v>7248.6861045468977</v>
      </c>
      <c r="K22" s="497">
        <f t="shared" si="2"/>
        <v>9965.4908448169699</v>
      </c>
    </row>
    <row r="23" spans="1:11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1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1">
      <c r="A25" s="378">
        <v>17</v>
      </c>
      <c r="B25" s="385" t="s">
        <v>47</v>
      </c>
      <c r="C25" s="386">
        <f>'Cost of Capital'!$D$176</f>
        <v>8.3139999999999992E-2</v>
      </c>
      <c r="D25" s="386">
        <f>'Cost of Capital'!$D$176</f>
        <v>8.3139999999999992E-2</v>
      </c>
      <c r="E25" s="386">
        <f>'Cost of Capital'!$D$176</f>
        <v>8.3139999999999992E-2</v>
      </c>
      <c r="F25" s="386">
        <f>'Cost of Capital'!$D$176</f>
        <v>8.3139999999999992E-2</v>
      </c>
      <c r="G25" s="386">
        <f>'Cost of Capital'!$D$176</f>
        <v>8.3139999999999992E-2</v>
      </c>
      <c r="H25" s="386">
        <f>'Cost of Capital'!$D$176</f>
        <v>8.3139999999999992E-2</v>
      </c>
      <c r="I25" s="386">
        <f>'Cost of Capital'!$D$176</f>
        <v>8.3139999999999992E-2</v>
      </c>
      <c r="J25" s="386">
        <f>'Cost of Capital'!$D$176</f>
        <v>8.3139999999999992E-2</v>
      </c>
      <c r="K25" s="386">
        <f>'Cost of Capital'!$D$176</f>
        <v>8.3139999999999992E-2</v>
      </c>
    </row>
    <row r="26" spans="1:11">
      <c r="A26" s="370">
        <v>18</v>
      </c>
      <c r="B26" s="503" t="s">
        <v>48</v>
      </c>
      <c r="C26" s="478">
        <f>'Cost of Capital'!$D$177</f>
        <v>6.9283333333333324E-3</v>
      </c>
      <c r="D26" s="478">
        <f>'Cost of Capital'!$D$177</f>
        <v>6.9283333333333324E-3</v>
      </c>
      <c r="E26" s="478">
        <f>'Cost of Capital'!$D$177</f>
        <v>6.9283333333333324E-3</v>
      </c>
      <c r="F26" s="478">
        <f>'Cost of Capital'!$D$177</f>
        <v>6.9283333333333324E-3</v>
      </c>
      <c r="G26" s="478">
        <f>'Cost of Capital'!$D$177</f>
        <v>6.9283333333333324E-3</v>
      </c>
      <c r="H26" s="478">
        <f>'Cost of Capital'!$D$177</f>
        <v>6.9283333333333324E-3</v>
      </c>
      <c r="I26" s="478">
        <f>'Cost of Capital'!$D$177</f>
        <v>6.9283333333333324E-3</v>
      </c>
      <c r="J26" s="478">
        <f>'Cost of Capital'!$D$177</f>
        <v>6.9283333333333324E-3</v>
      </c>
      <c r="K26" s="478">
        <f>'Cost of Capital'!$D$177</f>
        <v>6.9283333333333324E-3</v>
      </c>
    </row>
    <row r="27" spans="1:11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1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1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1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1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1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Capital'!$D173</f>
        <v>2.58E-2</v>
      </c>
      <c r="D33" s="393">
        <f>'Cost of Capital'!$D173</f>
        <v>2.58E-2</v>
      </c>
      <c r="E33" s="393">
        <f>'Cost of Capital'!$D173</f>
        <v>2.58E-2</v>
      </c>
      <c r="F33" s="393">
        <f>'Cost of Capital'!$D173</f>
        <v>2.58E-2</v>
      </c>
      <c r="G33" s="393">
        <f>'Cost of Capital'!$D173</f>
        <v>2.58E-2</v>
      </c>
      <c r="H33" s="393">
        <f>'Cost of Capital'!$D173</f>
        <v>2.58E-2</v>
      </c>
      <c r="I33" s="393">
        <f>'Cost of Capital'!$D173</f>
        <v>2.58E-2</v>
      </c>
      <c r="J33" s="393">
        <f>'Cost of Capital'!$D173</f>
        <v>2.58E-2</v>
      </c>
      <c r="K33" s="393">
        <f>'Cost of Capital'!$D173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Tax'!$E796</f>
        <v>1.5992064583333332</v>
      </c>
      <c r="D36" s="499">
        <f>'Def Tax'!$E797</f>
        <v>7.7096313878038192</v>
      </c>
      <c r="E36" s="499">
        <f>'Def Tax'!$E798</f>
        <v>8.8017995200319632</v>
      </c>
      <c r="F36" s="499">
        <f>'Def Tax'!$E799</f>
        <v>10.115683215448797</v>
      </c>
      <c r="G36" s="499">
        <f>'Def Tax'!$E800</f>
        <v>10.629481461362593</v>
      </c>
      <c r="H36" s="499">
        <f>'Def Tax'!$E801</f>
        <v>11.057999541890524</v>
      </c>
      <c r="I36" s="499">
        <f>'Def Tax'!$E802</f>
        <v>11.94420146658787</v>
      </c>
      <c r="J36" s="499">
        <f>'Def Tax'!$E803</f>
        <v>29.110472463809678</v>
      </c>
      <c r="K36" s="499">
        <f>'Def Tax'!$E804</f>
        <v>47.092109195392027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Rates'!$J72</f>
        <v>8.8330000000000006E-2</v>
      </c>
      <c r="D38" s="396">
        <f>'Income Tax Rates'!$J72</f>
        <v>8.8330000000000006E-2</v>
      </c>
      <c r="E38" s="396">
        <f>'Income Tax Rates'!$J72</f>
        <v>8.8330000000000006E-2</v>
      </c>
      <c r="F38" s="396">
        <f>'Income Tax Rates'!$J72</f>
        <v>8.8330000000000006E-2</v>
      </c>
      <c r="G38" s="396">
        <f>'Income Tax Rates'!$J72</f>
        <v>8.8330000000000006E-2</v>
      </c>
      <c r="H38" s="396">
        <f>'Income Tax Rates'!$J72</f>
        <v>8.8330000000000006E-2</v>
      </c>
      <c r="I38" s="396">
        <f>'Income Tax Rates'!$J72</f>
        <v>8.8330000000000006E-2</v>
      </c>
      <c r="J38" s="396">
        <f>'Income Tax Rates'!$J72</f>
        <v>8.8330000000000006E-2</v>
      </c>
      <c r="K38" s="396">
        <f>'Income Tax Rates'!$J72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0.51819443775753848</v>
      </c>
      <c r="D39" s="500">
        <f>((D22*(D26-D34))+D36)*D38</f>
        <v>1.3482820777694398</v>
      </c>
      <c r="E39" s="500">
        <f t="shared" ref="E39:K39" si="4">((E22*(E26-E34))+E36)*E38</f>
        <v>1.5395240078392205</v>
      </c>
      <c r="F39" s="500">
        <f t="shared" si="4"/>
        <v>1.7263832135825063</v>
      </c>
      <c r="G39" s="500">
        <f t="shared" si="4"/>
        <v>1.8062375247841473</v>
      </c>
      <c r="H39" s="500">
        <f t="shared" si="4"/>
        <v>1.8933248076976741</v>
      </c>
      <c r="I39" s="500">
        <f t="shared" si="4"/>
        <v>2.6986209971046069</v>
      </c>
      <c r="J39" s="500">
        <f t="shared" si="4"/>
        <v>5.6307823058002038</v>
      </c>
      <c r="K39" s="500">
        <f t="shared" si="4"/>
        <v>8.3657825531075307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Rates'!$J73</f>
        <v>0.35</v>
      </c>
      <c r="D43" s="398">
        <f>'Income Tax Rates'!$J73</f>
        <v>0.35</v>
      </c>
      <c r="E43" s="398">
        <f>'Income Tax Rates'!$J73</f>
        <v>0.35</v>
      </c>
      <c r="F43" s="398">
        <f>'Income Tax Rates'!$J73</f>
        <v>0.35</v>
      </c>
      <c r="G43" s="398">
        <f>'Income Tax Rates'!$J73</f>
        <v>0.35</v>
      </c>
      <c r="H43" s="398">
        <f>'Income Tax Rates'!$J73</f>
        <v>0.35</v>
      </c>
      <c r="I43" s="398">
        <f>'Income Tax Rates'!$J73</f>
        <v>0.35</v>
      </c>
      <c r="J43" s="398">
        <f>'Income Tax Rates'!$J73</f>
        <v>0.35</v>
      </c>
      <c r="K43" s="398">
        <f>'Income Tax Rates'!$J73</f>
        <v>0.35</v>
      </c>
    </row>
    <row r="44" spans="1:11">
      <c r="A44" s="370">
        <v>36</v>
      </c>
      <c r="B44" s="379" t="s">
        <v>52</v>
      </c>
      <c r="C44" s="500">
        <f>((C22*(C26-C34))-C39+C36)*C43</f>
        <v>1.8719326737761268</v>
      </c>
      <c r="D44" s="500">
        <f>((D22*(D26-D34))-D39+D36)*D43</f>
        <v>4.8705526168235336</v>
      </c>
      <c r="E44" s="500">
        <f t="shared" ref="E44:K44" si="5">((E22*(E26-E34))-E39+E36)*E43</f>
        <v>5.5613975804299063</v>
      </c>
      <c r="F44" s="500">
        <f t="shared" si="5"/>
        <v>6.2364103307411654</v>
      </c>
      <c r="G44" s="500">
        <f t="shared" si="5"/>
        <v>6.5248771366125569</v>
      </c>
      <c r="H44" s="500">
        <f t="shared" si="5"/>
        <v>6.8394724284139974</v>
      </c>
      <c r="I44" s="500">
        <f t="shared" si="5"/>
        <v>9.7485353962484425</v>
      </c>
      <c r="J44" s="500">
        <f t="shared" si="5"/>
        <v>20.34071500798262</v>
      </c>
      <c r="K44" s="500">
        <f t="shared" si="5"/>
        <v>30.220667305185547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Tax'!$F796</f>
        <v>-0.65151671112499987</v>
      </c>
      <c r="D47" s="499">
        <f>-'Def Tax'!$F797</f>
        <v>-3.1409038273912757</v>
      </c>
      <c r="E47" s="499">
        <f>-'Def Tax'!$F798</f>
        <v>-3.5858531244610217</v>
      </c>
      <c r="F47" s="499">
        <f>-'Def Tax'!$F799</f>
        <v>-4.1211293419738402</v>
      </c>
      <c r="G47" s="499">
        <f>-'Def Tax'!$F800</f>
        <v>-4.3304507473591203</v>
      </c>
      <c r="H47" s="499">
        <f>-'Def Tax'!$F801</f>
        <v>-4.5050290133661992</v>
      </c>
      <c r="I47" s="499">
        <f>-'Def Tax'!$F802</f>
        <v>-4.8660676774878979</v>
      </c>
      <c r="J47" s="499">
        <f>-'Def Tax'!$F803</f>
        <v>-11.859606481756062</v>
      </c>
      <c r="K47" s="499">
        <f>-'Def Tax'!$F804</f>
        <v>-19.185325286202712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Rates'!$J76</f>
        <v>0.40739999999999998</v>
      </c>
      <c r="D52" s="400">
        <f>'Income Tax Rates'!$J76</f>
        <v>0.40739999999999998</v>
      </c>
      <c r="E52" s="400">
        <f>'Income Tax Rates'!$J76</f>
        <v>0.40739999999999998</v>
      </c>
      <c r="F52" s="400">
        <f>'Income Tax Rates'!$J76</f>
        <v>0.40739999999999998</v>
      </c>
      <c r="G52" s="400">
        <f>'Income Tax Rates'!$J76</f>
        <v>0.40739999999999998</v>
      </c>
      <c r="H52" s="400">
        <f>'Income Tax Rates'!$J76</f>
        <v>0.40739999999999998</v>
      </c>
      <c r="I52" s="400">
        <f>'Income Tax Rates'!$J76</f>
        <v>0.40739999999999998</v>
      </c>
      <c r="J52" s="400">
        <f>'Income Tax Rates'!$J76</f>
        <v>0.40739999999999998</v>
      </c>
      <c r="K52" s="400">
        <f>'Income Tax Rates'!$J76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0.51819443775753848</v>
      </c>
      <c r="D56" s="491">
        <f>D39</f>
        <v>1.3482820777694398</v>
      </c>
      <c r="E56" s="491">
        <f t="shared" ref="E56:K56" si="7">E39</f>
        <v>1.5395240078392205</v>
      </c>
      <c r="F56" s="491">
        <f t="shared" si="7"/>
        <v>1.7263832135825063</v>
      </c>
      <c r="G56" s="491">
        <f t="shared" si="7"/>
        <v>1.8062375247841473</v>
      </c>
      <c r="H56" s="491">
        <f t="shared" si="7"/>
        <v>1.8933248076976741</v>
      </c>
      <c r="I56" s="491">
        <f t="shared" si="7"/>
        <v>2.6986209971046069</v>
      </c>
      <c r="J56" s="491">
        <f t="shared" si="7"/>
        <v>5.6307823058002038</v>
      </c>
      <c r="K56" s="491">
        <f t="shared" si="7"/>
        <v>8.3657825531075307</v>
      </c>
    </row>
    <row r="57" spans="1:11">
      <c r="A57" s="365">
        <v>49</v>
      </c>
      <c r="B57" s="379" t="s">
        <v>52</v>
      </c>
      <c r="C57" s="491">
        <f>C44</f>
        <v>1.8719326737761268</v>
      </c>
      <c r="D57" s="491">
        <f>D44</f>
        <v>4.8705526168235336</v>
      </c>
      <c r="E57" s="491">
        <f t="shared" ref="E57:K57" si="8">E44</f>
        <v>5.5613975804299063</v>
      </c>
      <c r="F57" s="491">
        <f t="shared" si="8"/>
        <v>6.2364103307411654</v>
      </c>
      <c r="G57" s="491">
        <f t="shared" si="8"/>
        <v>6.5248771366125569</v>
      </c>
      <c r="H57" s="491">
        <f t="shared" si="8"/>
        <v>6.8394724284139974</v>
      </c>
      <c r="I57" s="491">
        <f t="shared" si="8"/>
        <v>9.7485353962484425</v>
      </c>
      <c r="J57" s="491">
        <f t="shared" si="8"/>
        <v>20.34071500798262</v>
      </c>
      <c r="K57" s="491">
        <f t="shared" si="8"/>
        <v>30.220667305185547</v>
      </c>
    </row>
    <row r="58" spans="1:11">
      <c r="A58" s="370">
        <v>50</v>
      </c>
      <c r="B58" s="379" t="s">
        <v>58</v>
      </c>
      <c r="C58" s="492">
        <f>C47</f>
        <v>-0.65151671112499987</v>
      </c>
      <c r="D58" s="492">
        <f>D47</f>
        <v>-3.1409038273912757</v>
      </c>
      <c r="E58" s="492">
        <f t="shared" ref="E58:K58" si="9">E47</f>
        <v>-3.5858531244610217</v>
      </c>
      <c r="F58" s="492">
        <f t="shared" si="9"/>
        <v>-4.1211293419738402</v>
      </c>
      <c r="G58" s="492">
        <f t="shared" si="9"/>
        <v>-4.3304507473591203</v>
      </c>
      <c r="H58" s="492">
        <f t="shared" si="9"/>
        <v>-4.5050290133661992</v>
      </c>
      <c r="I58" s="492">
        <f t="shared" si="9"/>
        <v>-4.8660676774878979</v>
      </c>
      <c r="J58" s="492">
        <f t="shared" si="9"/>
        <v>-11.859606481756062</v>
      </c>
      <c r="K58" s="492">
        <f t="shared" si="9"/>
        <v>-19.185325286202712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2.9338683773349068</v>
      </c>
      <c r="D60" s="502">
        <f>(D56+D57+D58)*D59</f>
        <v>5.1939434141101888</v>
      </c>
      <c r="E60" s="502">
        <f t="shared" ref="E60:K60" si="11">(E56+E57+E58)*E59</f>
        <v>5.9316038876275829</v>
      </c>
      <c r="F60" s="502">
        <f t="shared" si="11"/>
        <v>6.4827273073739988</v>
      </c>
      <c r="G60" s="502">
        <f t="shared" si="11"/>
        <v>6.7510359669888356</v>
      </c>
      <c r="H60" s="502">
        <f t="shared" si="11"/>
        <v>7.1342696975117672</v>
      </c>
      <c r="I60" s="502">
        <f t="shared" si="11"/>
        <v>12.792927296431237</v>
      </c>
      <c r="J60" s="502">
        <f t="shared" si="11"/>
        <v>23.813518110068784</v>
      </c>
      <c r="K60" s="502">
        <f t="shared" si="11"/>
        <v>32.738988478046522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306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893.06600223704174</v>
      </c>
      <c r="D65" s="494">
        <f>D22</f>
        <v>1580.9937864237393</v>
      </c>
      <c r="E65" s="494">
        <f t="shared" ref="E65:K65" si="12">E22</f>
        <v>1805.5316066545101</v>
      </c>
      <c r="F65" s="494">
        <f t="shared" si="12"/>
        <v>1973.2853635485367</v>
      </c>
      <c r="G65" s="494">
        <f t="shared" si="12"/>
        <v>2054.9554589526747</v>
      </c>
      <c r="H65" s="494">
        <f t="shared" si="12"/>
        <v>2171.6097093705721</v>
      </c>
      <c r="I65" s="494">
        <f t="shared" si="12"/>
        <v>3894.1146436370332</v>
      </c>
      <c r="J65" s="494">
        <f t="shared" si="12"/>
        <v>7248.6861045468977</v>
      </c>
      <c r="K65" s="494">
        <f t="shared" si="12"/>
        <v>9965.4908448169699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6.1874589521656365</v>
      </c>
      <c r="D67" s="492">
        <f t="shared" ref="D67:K67" si="14">D65*D66</f>
        <v>10.953651950272471</v>
      </c>
      <c r="E67" s="492">
        <f t="shared" si="14"/>
        <v>12.509324814771329</v>
      </c>
      <c r="F67" s="492">
        <f t="shared" si="14"/>
        <v>13.67157876045211</v>
      </c>
      <c r="G67" s="492">
        <f t="shared" si="14"/>
        <v>14.237416404777113</v>
      </c>
      <c r="H67" s="492">
        <f t="shared" si="14"/>
        <v>15.045635936422444</v>
      </c>
      <c r="I67" s="492">
        <f t="shared" si="14"/>
        <v>26.979724289331909</v>
      </c>
      <c r="J67" s="492">
        <f t="shared" si="14"/>
        <v>50.221313561002418</v>
      </c>
      <c r="K67" s="492">
        <f t="shared" si="14"/>
        <v>69.04424240317357</v>
      </c>
    </row>
    <row r="68" spans="1:11">
      <c r="A68" s="382">
        <v>60</v>
      </c>
      <c r="B68" s="379" t="s">
        <v>151</v>
      </c>
      <c r="C68" s="494">
        <f>C60</f>
        <v>2.9338683773349068</v>
      </c>
      <c r="D68" s="494">
        <f>D60</f>
        <v>5.1939434141101888</v>
      </c>
      <c r="E68" s="494">
        <f t="shared" ref="E68:K68" si="15">E60</f>
        <v>5.9316038876275829</v>
      </c>
      <c r="F68" s="494">
        <f t="shared" si="15"/>
        <v>6.4827273073739988</v>
      </c>
      <c r="G68" s="494">
        <f t="shared" si="15"/>
        <v>6.7510359669888356</v>
      </c>
      <c r="H68" s="494">
        <f t="shared" si="15"/>
        <v>7.1342696975117672</v>
      </c>
      <c r="I68" s="494">
        <f t="shared" si="15"/>
        <v>12.792927296431237</v>
      </c>
      <c r="J68" s="494">
        <f t="shared" si="15"/>
        <v>23.813518110068784</v>
      </c>
      <c r="K68" s="494">
        <f t="shared" si="15"/>
        <v>32.738988478046522</v>
      </c>
    </row>
    <row r="69" spans="1:11">
      <c r="A69" s="365">
        <v>61</v>
      </c>
      <c r="B69" s="503" t="s">
        <v>112</v>
      </c>
      <c r="C69" s="502">
        <f>C67+C68</f>
        <v>9.1213273295005433</v>
      </c>
      <c r="D69" s="502">
        <f t="shared" ref="D69:K69" si="16">D67+D68</f>
        <v>16.14759536438266</v>
      </c>
      <c r="E69" s="502">
        <f t="shared" si="16"/>
        <v>18.440928702398914</v>
      </c>
      <c r="F69" s="502">
        <f t="shared" si="16"/>
        <v>20.154306067826109</v>
      </c>
      <c r="G69" s="502">
        <f t="shared" si="16"/>
        <v>20.988452371765948</v>
      </c>
      <c r="H69" s="502">
        <f t="shared" si="16"/>
        <v>22.179905633934212</v>
      </c>
      <c r="I69" s="502">
        <f t="shared" si="16"/>
        <v>39.772651585763143</v>
      </c>
      <c r="J69" s="502">
        <f t="shared" si="16"/>
        <v>74.034831671071203</v>
      </c>
      <c r="K69" s="502">
        <f t="shared" si="16"/>
        <v>101.78323088122009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6"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1"/>
  <sheetViews>
    <sheetView view="pageBreakPreview" topLeftCell="A43" zoomScale="60" zoomScaleNormal="100" workbookViewId="0">
      <selection activeCell="B17" sqref="B17"/>
    </sheetView>
  </sheetViews>
  <sheetFormatPr defaultRowHeight="12.75"/>
  <cols>
    <col min="1" max="1" width="3.85546875" bestFit="1" customWidth="1"/>
    <col min="2" max="2" width="47.7109375" customWidth="1"/>
    <col min="3" max="3" width="9.28515625" bestFit="1" customWidth="1"/>
    <col min="4" max="7" width="9.28515625" customWidth="1"/>
    <col min="8" max="8" width="10" customWidth="1"/>
    <col min="9" max="10" width="9.28515625" customWidth="1"/>
    <col min="11" max="11" width="9.42578125" customWidth="1"/>
  </cols>
  <sheetData>
    <row r="1" spans="1:11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</row>
    <row r="2" spans="1:11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</row>
    <row r="3" spans="1:11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</row>
    <row r="4" spans="1:11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</row>
    <row r="5" spans="1:11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90">
        <v>2011</v>
      </c>
      <c r="D16" s="690"/>
      <c r="E16" s="690"/>
      <c r="F16" s="690"/>
      <c r="G16" s="690"/>
      <c r="H16" s="690"/>
      <c r="I16" s="690"/>
      <c r="J16" s="690"/>
      <c r="K16" s="690"/>
    </row>
    <row r="17" spans="1:11" ht="21" thickBot="1">
      <c r="A17" s="365">
        <v>9</v>
      </c>
      <c r="B17" s="374" t="s">
        <v>337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1" ht="42" thickTop="1">
      <c r="A18" s="370">
        <v>10</v>
      </c>
      <c r="B18" s="509" t="s">
        <v>17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1">
      <c r="A19" s="378">
        <v>11</v>
      </c>
      <c r="B19" s="379" t="s">
        <v>146</v>
      </c>
      <c r="C19" s="380">
        <f>'S. of Kramer CWIP Balance'!E15+'Def Tax'!F857</f>
        <v>266.77069</v>
      </c>
      <c r="D19" s="381">
        <f>C20</f>
        <v>348.86262937189582</v>
      </c>
      <c r="E19" s="381">
        <f>D20</f>
        <v>443.87250041480945</v>
      </c>
      <c r="F19" s="381">
        <f t="shared" ref="F19:K19" si="0">E20</f>
        <v>581.8462689870363</v>
      </c>
      <c r="G19" s="381">
        <f t="shared" si="0"/>
        <v>719.76184713612395</v>
      </c>
      <c r="H19" s="381">
        <f t="shared" si="0"/>
        <v>956.13879876705698</v>
      </c>
      <c r="I19" s="381">
        <f t="shared" si="0"/>
        <v>1250.1762353282913</v>
      </c>
      <c r="J19" s="381">
        <f t="shared" si="0"/>
        <v>1537.2364898678168</v>
      </c>
      <c r="K19" s="381">
        <f t="shared" si="0"/>
        <v>1801.7489716581042</v>
      </c>
    </row>
    <row r="20" spans="1:11">
      <c r="A20" s="382">
        <v>12</v>
      </c>
      <c r="B20" s="379" t="s">
        <v>147</v>
      </c>
      <c r="C20" s="383">
        <f>'S. of Kramer CWIP Balance'!$E16+'Def Tax'!$F858</f>
        <v>348.86262937189582</v>
      </c>
      <c r="D20" s="383">
        <f>'S. of Kramer CWIP Balance'!$E17+'Def Tax'!$F859</f>
        <v>443.87250041480945</v>
      </c>
      <c r="E20" s="383">
        <f>'S. of Kramer CWIP Balance'!$E18+'Def Tax'!$F860</f>
        <v>581.8462689870363</v>
      </c>
      <c r="F20" s="383">
        <f>'S. of Kramer CWIP Balance'!$E19+'Def Tax'!$F861</f>
        <v>719.76184713612395</v>
      </c>
      <c r="G20" s="383">
        <f>'S. of Kramer CWIP Balance'!$E20+'Def Tax'!$F862</f>
        <v>956.13879876705698</v>
      </c>
      <c r="H20" s="383">
        <f>'S. of Kramer CWIP Balance'!$E21+'Def Tax'!$F863</f>
        <v>1250.1762353282913</v>
      </c>
      <c r="I20" s="383">
        <f>'S. of Kramer CWIP Balance'!$E22+'Def Tax'!$F864</f>
        <v>1537.2364898678168</v>
      </c>
      <c r="J20" s="383">
        <f>'S. of Kramer CWIP Balance'!$E23+'Def Tax'!$F865</f>
        <v>1801.7489716581042</v>
      </c>
      <c r="K20" s="383">
        <f>'S. of Kramer CWIP Balance'!$E24+'Def Tax'!$F866</f>
        <v>2147.9716516581043</v>
      </c>
    </row>
    <row r="21" spans="1:11">
      <c r="A21" s="378">
        <v>13</v>
      </c>
      <c r="B21" s="379" t="s">
        <v>12</v>
      </c>
      <c r="C21" s="489">
        <f>SUM(C19:C20)</f>
        <v>615.63331937189582</v>
      </c>
      <c r="D21" s="489">
        <f>SUM(D19:D20)</f>
        <v>792.73512978670533</v>
      </c>
      <c r="E21" s="489">
        <f t="shared" ref="E21:K21" si="1">SUM(E19:E20)</f>
        <v>1025.7187694018457</v>
      </c>
      <c r="F21" s="489">
        <f t="shared" si="1"/>
        <v>1301.6081161231602</v>
      </c>
      <c r="G21" s="489">
        <f t="shared" si="1"/>
        <v>1675.9006459031809</v>
      </c>
      <c r="H21" s="489">
        <f t="shared" si="1"/>
        <v>2206.3150340953484</v>
      </c>
      <c r="I21" s="489">
        <f t="shared" si="1"/>
        <v>2787.4127251961081</v>
      </c>
      <c r="J21" s="489">
        <f t="shared" si="1"/>
        <v>3338.985461525921</v>
      </c>
      <c r="K21" s="489">
        <f t="shared" si="1"/>
        <v>3949.7206233162087</v>
      </c>
    </row>
    <row r="22" spans="1:11">
      <c r="A22" s="370">
        <v>14</v>
      </c>
      <c r="B22" s="503" t="s">
        <v>13</v>
      </c>
      <c r="C22" s="497">
        <f>C21/2</f>
        <v>307.81665968594791</v>
      </c>
      <c r="D22" s="497">
        <f>D21/2</f>
        <v>396.36756489335266</v>
      </c>
      <c r="E22" s="497">
        <f t="shared" ref="E22:K22" si="2">E21/2</f>
        <v>512.85938470092287</v>
      </c>
      <c r="F22" s="497">
        <f t="shared" si="2"/>
        <v>650.80405806158012</v>
      </c>
      <c r="G22" s="497">
        <f t="shared" si="2"/>
        <v>837.95032295159046</v>
      </c>
      <c r="H22" s="497">
        <f t="shared" si="2"/>
        <v>1103.1575170476742</v>
      </c>
      <c r="I22" s="497">
        <f t="shared" si="2"/>
        <v>1393.7063625980541</v>
      </c>
      <c r="J22" s="497">
        <f t="shared" si="2"/>
        <v>1669.4927307629605</v>
      </c>
      <c r="K22" s="497">
        <f t="shared" si="2"/>
        <v>1974.8603116581044</v>
      </c>
    </row>
    <row r="23" spans="1:11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1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1">
      <c r="A25" s="378">
        <v>17</v>
      </c>
      <c r="B25" s="385" t="s">
        <v>47</v>
      </c>
      <c r="C25" s="386">
        <f>'Cost of Capital'!$D$184</f>
        <v>8.3139999999999992E-2</v>
      </c>
      <c r="D25" s="386">
        <f>'Cost of Capital'!$D$184</f>
        <v>8.3139999999999992E-2</v>
      </c>
      <c r="E25" s="386">
        <f>'Cost of Capital'!$D$184</f>
        <v>8.3139999999999992E-2</v>
      </c>
      <c r="F25" s="386">
        <f>'Cost of Capital'!$D$184</f>
        <v>8.3139999999999992E-2</v>
      </c>
      <c r="G25" s="386">
        <f>'Cost of Capital'!$D$184</f>
        <v>8.3139999999999992E-2</v>
      </c>
      <c r="H25" s="386">
        <f>'Cost of Capital'!$D$184</f>
        <v>8.3139999999999992E-2</v>
      </c>
      <c r="I25" s="386">
        <f>'Cost of Capital'!$D$184</f>
        <v>8.3139999999999992E-2</v>
      </c>
      <c r="J25" s="386">
        <f>'Cost of Capital'!$D$184</f>
        <v>8.3139999999999992E-2</v>
      </c>
      <c r="K25" s="386">
        <f>'Cost of Capital'!$D$184</f>
        <v>8.3139999999999992E-2</v>
      </c>
    </row>
    <row r="26" spans="1:11">
      <c r="A26" s="370">
        <v>18</v>
      </c>
      <c r="B26" s="503" t="s">
        <v>48</v>
      </c>
      <c r="C26" s="478">
        <f>'Cost of Capital'!$D$185</f>
        <v>6.9283333333333324E-3</v>
      </c>
      <c r="D26" s="478">
        <f>'Cost of Capital'!$D$185</f>
        <v>6.9283333333333324E-3</v>
      </c>
      <c r="E26" s="478">
        <f>'Cost of Capital'!$D$185</f>
        <v>6.9283333333333324E-3</v>
      </c>
      <c r="F26" s="478">
        <f>'Cost of Capital'!$D$185</f>
        <v>6.9283333333333324E-3</v>
      </c>
      <c r="G26" s="478">
        <f>'Cost of Capital'!$D$185</f>
        <v>6.9283333333333324E-3</v>
      </c>
      <c r="H26" s="478">
        <f>'Cost of Capital'!$D$185</f>
        <v>6.9283333333333324E-3</v>
      </c>
      <c r="I26" s="478">
        <f>'Cost of Capital'!$D$185</f>
        <v>6.9283333333333324E-3</v>
      </c>
      <c r="J26" s="478">
        <f>'Cost of Capital'!$D$185</f>
        <v>6.9283333333333324E-3</v>
      </c>
      <c r="K26" s="478">
        <f>'Cost of Capital'!$D$185</f>
        <v>6.9283333333333324E-3</v>
      </c>
    </row>
    <row r="27" spans="1:11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1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1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1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1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1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Capital'!$D181</f>
        <v>2.58E-2</v>
      </c>
      <c r="D33" s="393">
        <f>'Cost of Capital'!$D181</f>
        <v>2.58E-2</v>
      </c>
      <c r="E33" s="393">
        <f>'Cost of Capital'!$D181</f>
        <v>2.58E-2</v>
      </c>
      <c r="F33" s="393">
        <f>'Cost of Capital'!$D181</f>
        <v>2.58E-2</v>
      </c>
      <c r="G33" s="393">
        <f>'Cost of Capital'!$D181</f>
        <v>2.58E-2</v>
      </c>
      <c r="H33" s="393">
        <f>'Cost of Capital'!$D181</f>
        <v>2.58E-2</v>
      </c>
      <c r="I33" s="393">
        <f>'Cost of Capital'!$D181</f>
        <v>2.58E-2</v>
      </c>
      <c r="J33" s="393">
        <f>'Cost of Capital'!$D181</f>
        <v>2.58E-2</v>
      </c>
      <c r="K33" s="393">
        <f>'Cost of Capital'!$D181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Tax'!$E841</f>
        <v>1.3894306770833333</v>
      </c>
      <c r="D36" s="499">
        <f>'Def Tax'!$E842</f>
        <v>1.8222640139431423</v>
      </c>
      <c r="E36" s="499">
        <f>'Def Tax'!$E843</f>
        <v>2.3243425244324296</v>
      </c>
      <c r="F36" s="499">
        <f>'Def Tax'!$E844</f>
        <v>3.0525958709138483</v>
      </c>
      <c r="G36" s="499">
        <f>'Def Tax'!$E845</f>
        <v>3.7841062660748581</v>
      </c>
      <c r="H36" s="499">
        <f>'Def Tax'!$E846</f>
        <v>5.0322686424606644</v>
      </c>
      <c r="I36" s="499">
        <f>'Def Tax'!$E847</f>
        <v>6.5872538958068141</v>
      </c>
      <c r="J36" s="499">
        <f>'Def Tax'!$E848</f>
        <v>8.1143384473474747</v>
      </c>
      <c r="K36" s="499">
        <f>'Def Tax'!$E849</f>
        <v>9.5328350017607413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Rates'!$K72</f>
        <v>8.8330000000000006E-2</v>
      </c>
      <c r="D38" s="396">
        <f>'Income Tax Rates'!$K72</f>
        <v>8.8330000000000006E-2</v>
      </c>
      <c r="E38" s="396">
        <f>'Income Tax Rates'!$K72</f>
        <v>8.8330000000000006E-2</v>
      </c>
      <c r="F38" s="396">
        <f>'Income Tax Rates'!$K72</f>
        <v>8.8330000000000006E-2</v>
      </c>
      <c r="G38" s="396">
        <f>'Income Tax Rates'!$K72</f>
        <v>8.8330000000000006E-2</v>
      </c>
      <c r="H38" s="396">
        <f>'Income Tax Rates'!$K72</f>
        <v>8.8330000000000006E-2</v>
      </c>
      <c r="I38" s="396">
        <f>'Income Tax Rates'!$K72</f>
        <v>8.8330000000000006E-2</v>
      </c>
      <c r="J38" s="396">
        <f>'Income Tax Rates'!$K72</f>
        <v>8.8330000000000006E-2</v>
      </c>
      <c r="K38" s="396">
        <f>'Income Tax Rates'!$K72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0.25264864569347312</v>
      </c>
      <c r="D39" s="500">
        <f>((D22*(D26-D34))+D36)*D38</f>
        <v>0.32825551113352197</v>
      </c>
      <c r="E39" s="500">
        <f t="shared" ref="E39:K39" si="4">((E22*(E26-E34))+E36)*E38</f>
        <v>0.42177182970805555</v>
      </c>
      <c r="F39" s="500">
        <f t="shared" si="4"/>
        <v>0.54432078137794859</v>
      </c>
      <c r="G39" s="500">
        <f t="shared" si="4"/>
        <v>0.68792395291479591</v>
      </c>
      <c r="H39" s="500">
        <f t="shared" si="4"/>
        <v>0.91011018465440707</v>
      </c>
      <c r="I39" s="500">
        <f t="shared" si="4"/>
        <v>1.1700940365912096</v>
      </c>
      <c r="J39" s="500">
        <f t="shared" si="4"/>
        <v>1.4213826180009925</v>
      </c>
      <c r="K39" s="500">
        <f t="shared" si="4"/>
        <v>1.6755649695047861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25.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Rates'!$K73</f>
        <v>0.35</v>
      </c>
      <c r="D43" s="398">
        <f>'Income Tax Rates'!$K73</f>
        <v>0.35</v>
      </c>
      <c r="E43" s="398">
        <f>'Income Tax Rates'!$K73</f>
        <v>0.35</v>
      </c>
      <c r="F43" s="398">
        <f>'Income Tax Rates'!$K73</f>
        <v>0.35</v>
      </c>
      <c r="G43" s="398">
        <f>'Income Tax Rates'!$K73</f>
        <v>0.35</v>
      </c>
      <c r="H43" s="398">
        <f>'Income Tax Rates'!$K73</f>
        <v>0.35</v>
      </c>
      <c r="I43" s="398">
        <f>'Income Tax Rates'!$K73</f>
        <v>0.35</v>
      </c>
      <c r="J43" s="398">
        <f>'Income Tax Rates'!$K73</f>
        <v>0.35</v>
      </c>
      <c r="K43" s="398">
        <f>'Income Tax Rates'!$K73</f>
        <v>0.35</v>
      </c>
    </row>
    <row r="44" spans="1:11">
      <c r="A44" s="370">
        <v>36</v>
      </c>
      <c r="B44" s="379" t="s">
        <v>52</v>
      </c>
      <c r="C44" s="500">
        <f>((C22*(C26-C34))-C39+C36)*C43</f>
        <v>0.91267142292289161</v>
      </c>
      <c r="D44" s="500">
        <f>((D22*(D26-D34))-D39+D36)*D43</f>
        <v>1.1857946976370914</v>
      </c>
      <c r="E44" s="500">
        <f t="shared" ref="E44:K44" si="5">((E22*(E26-E34))-E39+E36)*E43</f>
        <v>1.5236143257837658</v>
      </c>
      <c r="F44" s="500">
        <f t="shared" si="5"/>
        <v>1.9663118347740522</v>
      </c>
      <c r="G44" s="500">
        <f t="shared" si="5"/>
        <v>2.4850658955489768</v>
      </c>
      <c r="H44" s="500">
        <f t="shared" si="5"/>
        <v>3.2876944777013373</v>
      </c>
      <c r="I44" s="500">
        <f t="shared" si="5"/>
        <v>4.2268636999738227</v>
      </c>
      <c r="J44" s="500">
        <f t="shared" si="5"/>
        <v>5.1346220080780887</v>
      </c>
      <c r="K44" s="500">
        <f t="shared" si="5"/>
        <v>6.0528338108451241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Tax'!$F841</f>
        <v>-0.56605405784374996</v>
      </c>
      <c r="D47" s="499">
        <f>-'Def Tax'!$F842</f>
        <v>-0.74239035928043617</v>
      </c>
      <c r="E47" s="499">
        <f>-'Def Tax'!$F843</f>
        <v>-0.94693714445377175</v>
      </c>
      <c r="F47" s="499">
        <f>-'Def Tax'!$F844</f>
        <v>-1.2436275578103018</v>
      </c>
      <c r="G47" s="499">
        <f>-'Def Tax'!$F845</f>
        <v>-1.541644892798897</v>
      </c>
      <c r="H47" s="499">
        <f>-'Def Tax'!$F846</f>
        <v>-2.0501462449384746</v>
      </c>
      <c r="I47" s="499">
        <f>-'Def Tax'!$F847</f>
        <v>-2.6836472371516962</v>
      </c>
      <c r="J47" s="499">
        <f>-'Def Tax'!$F848</f>
        <v>-3.3057814834493611</v>
      </c>
      <c r="K47" s="499">
        <f>-'Def Tax'!$F849</f>
        <v>-3.8836769797173258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Rates'!$K76</f>
        <v>0.40739999999999998</v>
      </c>
      <c r="D52" s="400">
        <f>'Income Tax Rates'!$K76</f>
        <v>0.40739999999999998</v>
      </c>
      <c r="E52" s="400">
        <f>'Income Tax Rates'!$K76</f>
        <v>0.40739999999999998</v>
      </c>
      <c r="F52" s="400">
        <f>'Income Tax Rates'!$K76</f>
        <v>0.40739999999999998</v>
      </c>
      <c r="G52" s="400">
        <f>'Income Tax Rates'!$K76</f>
        <v>0.40739999999999998</v>
      </c>
      <c r="H52" s="400">
        <f>'Income Tax Rates'!$K76</f>
        <v>0.40739999999999998</v>
      </c>
      <c r="I52" s="400">
        <f>'Income Tax Rates'!$K76</f>
        <v>0.40739999999999998</v>
      </c>
      <c r="J52" s="400">
        <f>'Income Tax Rates'!$K76</f>
        <v>0.40739999999999998</v>
      </c>
      <c r="K52" s="400">
        <f>'Income Tax Rates'!$K76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0.25264864569347312</v>
      </c>
      <c r="D56" s="491">
        <f>D39</f>
        <v>0.32825551113352197</v>
      </c>
      <c r="E56" s="491">
        <f t="shared" ref="E56:K56" si="7">E39</f>
        <v>0.42177182970805555</v>
      </c>
      <c r="F56" s="491">
        <f t="shared" si="7"/>
        <v>0.54432078137794859</v>
      </c>
      <c r="G56" s="491">
        <f t="shared" si="7"/>
        <v>0.68792395291479591</v>
      </c>
      <c r="H56" s="491">
        <f t="shared" si="7"/>
        <v>0.91011018465440707</v>
      </c>
      <c r="I56" s="491">
        <f t="shared" si="7"/>
        <v>1.1700940365912096</v>
      </c>
      <c r="J56" s="491">
        <f t="shared" si="7"/>
        <v>1.4213826180009925</v>
      </c>
      <c r="K56" s="491">
        <f t="shared" si="7"/>
        <v>1.6755649695047861</v>
      </c>
    </row>
    <row r="57" spans="1:11">
      <c r="A57" s="365">
        <v>49</v>
      </c>
      <c r="B57" s="379" t="s">
        <v>52</v>
      </c>
      <c r="C57" s="491">
        <f>C44</f>
        <v>0.91267142292289161</v>
      </c>
      <c r="D57" s="491">
        <f>D44</f>
        <v>1.1857946976370914</v>
      </c>
      <c r="E57" s="491">
        <f t="shared" ref="E57:K57" si="8">E44</f>
        <v>1.5236143257837658</v>
      </c>
      <c r="F57" s="491">
        <f t="shared" si="8"/>
        <v>1.9663118347740522</v>
      </c>
      <c r="G57" s="491">
        <f t="shared" si="8"/>
        <v>2.4850658955489768</v>
      </c>
      <c r="H57" s="491">
        <f t="shared" si="8"/>
        <v>3.2876944777013373</v>
      </c>
      <c r="I57" s="491">
        <f t="shared" si="8"/>
        <v>4.2268636999738227</v>
      </c>
      <c r="J57" s="491">
        <f t="shared" si="8"/>
        <v>5.1346220080780887</v>
      </c>
      <c r="K57" s="491">
        <f t="shared" si="8"/>
        <v>6.0528338108451241</v>
      </c>
    </row>
    <row r="58" spans="1:11">
      <c r="A58" s="370">
        <v>50</v>
      </c>
      <c r="B58" s="379" t="s">
        <v>58</v>
      </c>
      <c r="C58" s="492">
        <f>C47</f>
        <v>-0.56605405784374996</v>
      </c>
      <c r="D58" s="492">
        <f>D47</f>
        <v>-0.74239035928043617</v>
      </c>
      <c r="E58" s="492">
        <f t="shared" ref="E58:K58" si="9">E47</f>
        <v>-0.94693714445377175</v>
      </c>
      <c r="F58" s="492">
        <f t="shared" si="9"/>
        <v>-1.2436275578103018</v>
      </c>
      <c r="G58" s="492">
        <f t="shared" si="9"/>
        <v>-1.541644892798897</v>
      </c>
      <c r="H58" s="492">
        <f t="shared" si="9"/>
        <v>-2.0501462449384746</v>
      </c>
      <c r="I58" s="492">
        <f t="shared" si="9"/>
        <v>-2.6836472371516962</v>
      </c>
      <c r="J58" s="492">
        <f t="shared" si="9"/>
        <v>-3.3057814834493611</v>
      </c>
      <c r="K58" s="492">
        <f t="shared" si="9"/>
        <v>-3.8836769797173258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1.0112487525693803</v>
      </c>
      <c r="D60" s="502">
        <f>(D56+D57+D58)*D59</f>
        <v>1.3021597190181864</v>
      </c>
      <c r="E60" s="502">
        <f t="shared" ref="E60:K60" si="11">(E56+E57+E58)*E59</f>
        <v>1.6848616453561416</v>
      </c>
      <c r="F60" s="502">
        <f t="shared" si="11"/>
        <v>2.1380443103977371</v>
      </c>
      <c r="G60" s="502">
        <f t="shared" si="11"/>
        <v>2.7528602019319539</v>
      </c>
      <c r="H60" s="502">
        <f t="shared" si="11"/>
        <v>3.62412827778817</v>
      </c>
      <c r="I60" s="502">
        <f t="shared" si="11"/>
        <v>4.5786542345820731</v>
      </c>
      <c r="J60" s="502">
        <f t="shared" si="11"/>
        <v>5.4846829946502202</v>
      </c>
      <c r="K60" s="502">
        <f t="shared" si="11"/>
        <v>6.4878869399807364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305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307.81665968594791</v>
      </c>
      <c r="D65" s="494">
        <f>D22</f>
        <v>396.36756489335266</v>
      </c>
      <c r="E65" s="494">
        <f t="shared" ref="E65:K65" si="12">E22</f>
        <v>512.85938470092287</v>
      </c>
      <c r="F65" s="494">
        <f t="shared" si="12"/>
        <v>650.80405806158012</v>
      </c>
      <c r="G65" s="494">
        <f t="shared" si="12"/>
        <v>837.95032295159046</v>
      </c>
      <c r="H65" s="494">
        <f t="shared" si="12"/>
        <v>1103.1575170476742</v>
      </c>
      <c r="I65" s="494">
        <f t="shared" si="12"/>
        <v>1393.7063625980541</v>
      </c>
      <c r="J65" s="494">
        <f t="shared" si="12"/>
        <v>1669.4927307629605</v>
      </c>
      <c r="K65" s="494">
        <f t="shared" si="12"/>
        <v>1974.8603116581044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2.1326564238574757</v>
      </c>
      <c r="D67" s="492">
        <f t="shared" ref="D67:K67" si="14">D65*D66</f>
        <v>2.7461666121027779</v>
      </c>
      <c r="E67" s="492">
        <f t="shared" si="14"/>
        <v>3.5532607703362267</v>
      </c>
      <c r="F67" s="492">
        <f t="shared" si="14"/>
        <v>4.5089874489366473</v>
      </c>
      <c r="G67" s="492">
        <f t="shared" si="14"/>
        <v>5.8055991541829348</v>
      </c>
      <c r="H67" s="492">
        <f t="shared" si="14"/>
        <v>7.6430429972786351</v>
      </c>
      <c r="I67" s="492">
        <f t="shared" si="14"/>
        <v>9.6560622488668493</v>
      </c>
      <c r="J67" s="492">
        <f t="shared" si="14"/>
        <v>11.56680213630271</v>
      </c>
      <c r="K67" s="492">
        <f t="shared" si="14"/>
        <v>13.682490525937897</v>
      </c>
    </row>
    <row r="68" spans="1:11">
      <c r="A68" s="382">
        <v>60</v>
      </c>
      <c r="B68" s="379" t="s">
        <v>151</v>
      </c>
      <c r="C68" s="494">
        <f>C60</f>
        <v>1.0112487525693803</v>
      </c>
      <c r="D68" s="494">
        <f>D60</f>
        <v>1.3021597190181864</v>
      </c>
      <c r="E68" s="494">
        <f t="shared" ref="E68:K68" si="15">E60</f>
        <v>1.6848616453561416</v>
      </c>
      <c r="F68" s="494">
        <f t="shared" si="15"/>
        <v>2.1380443103977371</v>
      </c>
      <c r="G68" s="494">
        <f t="shared" si="15"/>
        <v>2.7528602019319539</v>
      </c>
      <c r="H68" s="494">
        <f t="shared" si="15"/>
        <v>3.62412827778817</v>
      </c>
      <c r="I68" s="494">
        <f t="shared" si="15"/>
        <v>4.5786542345820731</v>
      </c>
      <c r="J68" s="494">
        <f t="shared" si="15"/>
        <v>5.4846829946502202</v>
      </c>
      <c r="K68" s="494">
        <f t="shared" si="15"/>
        <v>6.4878869399807364</v>
      </c>
    </row>
    <row r="69" spans="1:11">
      <c r="A69" s="365">
        <v>61</v>
      </c>
      <c r="B69" s="503" t="s">
        <v>112</v>
      </c>
      <c r="C69" s="502">
        <f>C67+C68</f>
        <v>3.143905176426856</v>
      </c>
      <c r="D69" s="502">
        <f t="shared" ref="D69:K69" si="16">D67+D68</f>
        <v>4.0483263311209647</v>
      </c>
      <c r="E69" s="502">
        <f t="shared" si="16"/>
        <v>5.2381224156923683</v>
      </c>
      <c r="F69" s="502">
        <f t="shared" si="16"/>
        <v>6.6470317593343839</v>
      </c>
      <c r="G69" s="502">
        <f t="shared" si="16"/>
        <v>8.5584593561148878</v>
      </c>
      <c r="H69" s="502">
        <f t="shared" si="16"/>
        <v>11.267171275066804</v>
      </c>
      <c r="I69" s="502">
        <f t="shared" si="16"/>
        <v>14.234716483448922</v>
      </c>
      <c r="J69" s="502">
        <f t="shared" si="16"/>
        <v>17.05148513095293</v>
      </c>
      <c r="K69" s="502">
        <f t="shared" si="16"/>
        <v>20.170377465918634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7"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2"/>
  <sheetViews>
    <sheetView view="pageBreakPreview" topLeftCell="A25" zoomScale="60" zoomScaleNormal="100" workbookViewId="0">
      <selection activeCell="S17" sqref="S17"/>
    </sheetView>
  </sheetViews>
  <sheetFormatPr defaultRowHeight="12.75"/>
  <cols>
    <col min="1" max="1" width="3.85546875" bestFit="1" customWidth="1"/>
    <col min="2" max="2" width="47" customWidth="1"/>
    <col min="3" max="5" width="9.28515625" bestFit="1" customWidth="1"/>
    <col min="6" max="11" width="9.140625" customWidth="1"/>
  </cols>
  <sheetData>
    <row r="1" spans="1:11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</row>
    <row r="2" spans="1:11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</row>
    <row r="3" spans="1:11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</row>
    <row r="4" spans="1:11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</row>
    <row r="5" spans="1:11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</row>
    <row r="6" spans="1:11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</row>
    <row r="7" spans="1:11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</row>
    <row r="8" spans="1:11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</row>
    <row r="9" spans="1:11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</row>
    <row r="10" spans="1:11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</row>
    <row r="11" spans="1:11" ht="15.75">
      <c r="A11" s="365">
        <v>3</v>
      </c>
      <c r="B11" s="371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</row>
    <row r="12" spans="1:11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</row>
    <row r="13" spans="1:11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</row>
    <row r="14" spans="1:11" ht="15.75">
      <c r="A14" s="370">
        <v>6</v>
      </c>
      <c r="B14" s="371" t="s">
        <v>66</v>
      </c>
      <c r="C14" s="366"/>
      <c r="D14" s="366"/>
      <c r="E14" s="366"/>
      <c r="F14" s="366"/>
      <c r="G14" s="366"/>
      <c r="H14" s="366"/>
      <c r="I14" s="366"/>
      <c r="J14" s="366"/>
      <c r="K14" s="366"/>
    </row>
    <row r="15" spans="1:11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</row>
    <row r="16" spans="1:11" ht="15.75">
      <c r="A16" s="370">
        <v>8</v>
      </c>
      <c r="B16" s="373" t="s">
        <v>97</v>
      </c>
      <c r="C16" s="690">
        <v>2011</v>
      </c>
      <c r="D16" s="690"/>
      <c r="E16" s="690"/>
      <c r="F16" s="690"/>
      <c r="G16" s="690"/>
      <c r="H16" s="690"/>
      <c r="I16" s="690"/>
      <c r="J16" s="690"/>
      <c r="K16" s="690"/>
    </row>
    <row r="17" spans="1:14" ht="21" thickBot="1">
      <c r="A17" s="365">
        <v>9</v>
      </c>
      <c r="B17" s="374" t="s">
        <v>338</v>
      </c>
      <c r="C17" s="574" t="s">
        <v>78</v>
      </c>
      <c r="D17" s="574" t="s">
        <v>75</v>
      </c>
      <c r="E17" s="574" t="s">
        <v>79</v>
      </c>
      <c r="F17" s="574" t="s">
        <v>80</v>
      </c>
      <c r="G17" s="574" t="s">
        <v>81</v>
      </c>
      <c r="H17" s="574" t="s">
        <v>82</v>
      </c>
      <c r="I17" s="574" t="s">
        <v>83</v>
      </c>
      <c r="J17" s="574" t="s">
        <v>84</v>
      </c>
      <c r="K17" s="574" t="s">
        <v>101</v>
      </c>
    </row>
    <row r="18" spans="1:14" ht="29.25" thickTop="1">
      <c r="A18" s="370">
        <v>10</v>
      </c>
      <c r="B18" s="509" t="s">
        <v>339</v>
      </c>
      <c r="C18" s="377"/>
      <c r="D18" s="366"/>
      <c r="E18" s="366"/>
      <c r="F18" s="366"/>
      <c r="G18" s="366"/>
      <c r="H18" s="366"/>
      <c r="I18" s="366"/>
      <c r="J18" s="366"/>
      <c r="K18" s="366"/>
    </row>
    <row r="19" spans="1:14">
      <c r="A19" s="378">
        <v>11</v>
      </c>
      <c r="B19" s="379" t="s">
        <v>146</v>
      </c>
      <c r="C19" s="380">
        <f>'W. of Devers CWIP Balance'!E15+'Def Tax'!F903</f>
        <v>1932.15182</v>
      </c>
      <c r="D19" s="381">
        <f>C20</f>
        <v>2034.5470397620418</v>
      </c>
      <c r="E19" s="381">
        <f>D20</f>
        <v>2144.5736544625329</v>
      </c>
      <c r="F19" s="381">
        <f t="shared" ref="F19:K19" si="0">E20</f>
        <v>2301.8514913211657</v>
      </c>
      <c r="G19" s="381">
        <f t="shared" si="0"/>
        <v>2532.2106006035274</v>
      </c>
      <c r="H19" s="381">
        <f t="shared" si="0"/>
        <v>2845.9800018980518</v>
      </c>
      <c r="I19" s="381">
        <f t="shared" si="0"/>
        <v>3219.8829310611736</v>
      </c>
      <c r="J19" s="381">
        <f t="shared" si="0"/>
        <v>3566.1481739528385</v>
      </c>
      <c r="K19" s="381">
        <f t="shared" si="0"/>
        <v>3949.9021131477925</v>
      </c>
      <c r="L19" s="381"/>
      <c r="M19" s="381"/>
      <c r="N19" s="381"/>
    </row>
    <row r="20" spans="1:14">
      <c r="A20" s="382">
        <v>12</v>
      </c>
      <c r="B20" s="379" t="s">
        <v>147</v>
      </c>
      <c r="C20" s="383">
        <f>'W. of Devers CWIP Balance'!$E16+'Def Tax'!$F904</f>
        <v>2034.5470397620418</v>
      </c>
      <c r="D20" s="383">
        <f>'W. of Devers CWIP Balance'!$E17+'Def Tax'!$F905</f>
        <v>2144.5736544625329</v>
      </c>
      <c r="E20" s="383">
        <f>'W. of Devers CWIP Balance'!$E18+'Def Tax'!$F906</f>
        <v>2301.8514913211657</v>
      </c>
      <c r="F20" s="383">
        <f>'W. of Devers CWIP Balance'!$E19+'Def Tax'!$F907</f>
        <v>2532.2106006035274</v>
      </c>
      <c r="G20" s="383">
        <f>'W. of Devers CWIP Balance'!$E20+'Def Tax'!$F908</f>
        <v>2845.9800018980518</v>
      </c>
      <c r="H20" s="383">
        <f>'W. of Devers CWIP Balance'!$E21+'Def Tax'!$F909</f>
        <v>3219.8829310611736</v>
      </c>
      <c r="I20" s="383">
        <f>'W. of Devers CWIP Balance'!$E22+'Def Tax'!$F910</f>
        <v>3566.1481739528385</v>
      </c>
      <c r="J20" s="383">
        <f>'W. of Devers CWIP Balance'!$E23+'Def Tax'!$F911</f>
        <v>3949.9021131477925</v>
      </c>
      <c r="K20" s="383">
        <f>'W. of Devers CWIP Balance'!$E24+'Def Tax'!$F912</f>
        <v>4839.2200731477924</v>
      </c>
    </row>
    <row r="21" spans="1:14">
      <c r="A21" s="378">
        <v>13</v>
      </c>
      <c r="B21" s="379" t="s">
        <v>12</v>
      </c>
      <c r="C21" s="489">
        <f>SUM(C19:C20)</f>
        <v>3966.698859762042</v>
      </c>
      <c r="D21" s="489">
        <f>SUM(D19:D20)</f>
        <v>4179.1206942245744</v>
      </c>
      <c r="E21" s="489">
        <f t="shared" ref="E21:K21" si="1">SUM(E19:E20)</f>
        <v>4446.4251457836981</v>
      </c>
      <c r="F21" s="489">
        <f t="shared" si="1"/>
        <v>4834.062091924693</v>
      </c>
      <c r="G21" s="489">
        <f t="shared" si="1"/>
        <v>5378.1906025015796</v>
      </c>
      <c r="H21" s="489">
        <f t="shared" si="1"/>
        <v>6065.8629329592259</v>
      </c>
      <c r="I21" s="489">
        <f t="shared" si="1"/>
        <v>6786.0311050140117</v>
      </c>
      <c r="J21" s="489">
        <f t="shared" si="1"/>
        <v>7516.0502871006311</v>
      </c>
      <c r="K21" s="489">
        <f t="shared" si="1"/>
        <v>8789.1221862955845</v>
      </c>
    </row>
    <row r="22" spans="1:14">
      <c r="A22" s="370">
        <v>14</v>
      </c>
      <c r="B22" s="503" t="s">
        <v>13</v>
      </c>
      <c r="C22" s="497">
        <f>C21/2</f>
        <v>1983.349429881021</v>
      </c>
      <c r="D22" s="497">
        <f>D21/2</f>
        <v>2089.5603471122872</v>
      </c>
      <c r="E22" s="497">
        <f t="shared" ref="E22:K22" si="2">E21/2</f>
        <v>2223.212572891849</v>
      </c>
      <c r="F22" s="497">
        <f t="shared" si="2"/>
        <v>2417.0310459623465</v>
      </c>
      <c r="G22" s="497">
        <f t="shared" si="2"/>
        <v>2689.0953012507898</v>
      </c>
      <c r="H22" s="497">
        <f t="shared" si="2"/>
        <v>3032.9314664796129</v>
      </c>
      <c r="I22" s="497">
        <f t="shared" si="2"/>
        <v>3393.0155525070059</v>
      </c>
      <c r="J22" s="497">
        <f t="shared" si="2"/>
        <v>3758.0251435503155</v>
      </c>
      <c r="K22" s="497">
        <f t="shared" si="2"/>
        <v>4394.5610931477922</v>
      </c>
    </row>
    <row r="23" spans="1:14">
      <c r="A23" s="365">
        <v>15</v>
      </c>
      <c r="B23" s="379"/>
      <c r="C23" s="490"/>
      <c r="D23" s="490"/>
      <c r="E23" s="490"/>
      <c r="F23" s="490"/>
      <c r="G23" s="490"/>
      <c r="H23" s="490"/>
      <c r="I23" s="490"/>
      <c r="J23" s="490"/>
      <c r="K23" s="490"/>
    </row>
    <row r="24" spans="1:14" ht="28.5">
      <c r="A24" s="370">
        <v>16</v>
      </c>
      <c r="B24" s="509" t="s">
        <v>14</v>
      </c>
      <c r="C24" s="490"/>
      <c r="D24" s="490"/>
      <c r="E24" s="490"/>
      <c r="F24" s="490"/>
      <c r="G24" s="490"/>
      <c r="H24" s="490"/>
      <c r="I24" s="490"/>
      <c r="J24" s="490"/>
      <c r="K24" s="490"/>
    </row>
    <row r="25" spans="1:14">
      <c r="A25" s="378">
        <v>17</v>
      </c>
      <c r="B25" s="385" t="s">
        <v>47</v>
      </c>
      <c r="C25" s="386">
        <f>'Cost of Capital'!$D$192</f>
        <v>8.3139999999999992E-2</v>
      </c>
      <c r="D25" s="386">
        <f>'Cost of Capital'!$D$192</f>
        <v>8.3139999999999992E-2</v>
      </c>
      <c r="E25" s="386">
        <f>'Cost of Capital'!$D$192</f>
        <v>8.3139999999999992E-2</v>
      </c>
      <c r="F25" s="386">
        <f>'Cost of Capital'!$D$192</f>
        <v>8.3139999999999992E-2</v>
      </c>
      <c r="G25" s="386">
        <f>'Cost of Capital'!$D$192</f>
        <v>8.3139999999999992E-2</v>
      </c>
      <c r="H25" s="386">
        <f>'Cost of Capital'!$D$192</f>
        <v>8.3139999999999992E-2</v>
      </c>
      <c r="I25" s="386">
        <f>'Cost of Capital'!$D$192</f>
        <v>8.3139999999999992E-2</v>
      </c>
      <c r="J25" s="386">
        <f>'Cost of Capital'!$D$192</f>
        <v>8.3139999999999992E-2</v>
      </c>
      <c r="K25" s="386">
        <f>'Cost of Capital'!$D$192</f>
        <v>8.3139999999999992E-2</v>
      </c>
    </row>
    <row r="26" spans="1:14">
      <c r="A26" s="370">
        <v>18</v>
      </c>
      <c r="B26" s="503" t="s">
        <v>48</v>
      </c>
      <c r="C26" s="478">
        <f>'Cost of Capital'!$D$193</f>
        <v>6.9283333333333324E-3</v>
      </c>
      <c r="D26" s="478">
        <f>'Cost of Capital'!$D$193</f>
        <v>6.9283333333333324E-3</v>
      </c>
      <c r="E26" s="478">
        <f>'Cost of Capital'!$D$193</f>
        <v>6.9283333333333324E-3</v>
      </c>
      <c r="F26" s="478">
        <f>'Cost of Capital'!$D$193</f>
        <v>6.9283333333333324E-3</v>
      </c>
      <c r="G26" s="478">
        <f>'Cost of Capital'!$D$193</f>
        <v>6.9283333333333324E-3</v>
      </c>
      <c r="H26" s="478">
        <f>'Cost of Capital'!$D$193</f>
        <v>6.9283333333333324E-3</v>
      </c>
      <c r="I26" s="478">
        <f>'Cost of Capital'!$D$193</f>
        <v>6.9283333333333324E-3</v>
      </c>
      <c r="J26" s="478">
        <f>'Cost of Capital'!$D$193</f>
        <v>6.9283333333333324E-3</v>
      </c>
      <c r="K26" s="478">
        <f>'Cost of Capital'!$D$193</f>
        <v>6.9283333333333324E-3</v>
      </c>
    </row>
    <row r="27" spans="1:14">
      <c r="A27" s="365">
        <v>19</v>
      </c>
      <c r="B27" s="379"/>
      <c r="C27" s="490"/>
      <c r="D27" s="490"/>
      <c r="E27" s="490"/>
      <c r="F27" s="490"/>
      <c r="G27" s="490"/>
      <c r="H27" s="490"/>
      <c r="I27" s="490"/>
      <c r="J27" s="490"/>
      <c r="K27" s="490"/>
    </row>
    <row r="28" spans="1:14" ht="15.75">
      <c r="A28" s="370">
        <v>20</v>
      </c>
      <c r="B28" s="510" t="s">
        <v>65</v>
      </c>
      <c r="C28" s="490"/>
      <c r="D28" s="490"/>
      <c r="E28" s="490"/>
      <c r="F28" s="490"/>
      <c r="G28" s="490"/>
      <c r="H28" s="490"/>
      <c r="I28" s="490"/>
      <c r="J28" s="490"/>
      <c r="K28" s="490"/>
    </row>
    <row r="29" spans="1:14">
      <c r="A29" s="365">
        <v>21</v>
      </c>
      <c r="B29" s="511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</row>
    <row r="30" spans="1:14">
      <c r="A30" s="370">
        <v>22</v>
      </c>
      <c r="B30" s="512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</row>
    <row r="31" spans="1:14" ht="25.5">
      <c r="A31" s="365">
        <v>23</v>
      </c>
      <c r="B31" s="513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</row>
    <row r="32" spans="1:14" ht="25.5">
      <c r="A32" s="370">
        <v>24</v>
      </c>
      <c r="B32" s="514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</row>
    <row r="33" spans="1:11">
      <c r="A33" s="378">
        <v>25</v>
      </c>
      <c r="B33" s="379" t="s">
        <v>20</v>
      </c>
      <c r="C33" s="393">
        <f>'Cost of Capital'!$D189</f>
        <v>2.58E-2</v>
      </c>
      <c r="D33" s="393">
        <f>'Cost of Capital'!$D189</f>
        <v>2.58E-2</v>
      </c>
      <c r="E33" s="393">
        <f>'Cost of Capital'!$D189</f>
        <v>2.58E-2</v>
      </c>
      <c r="F33" s="393">
        <f>'Cost of Capital'!$D189</f>
        <v>2.58E-2</v>
      </c>
      <c r="G33" s="393">
        <f>'Cost of Capital'!$D189</f>
        <v>2.58E-2</v>
      </c>
      <c r="H33" s="393">
        <f>'Cost of Capital'!$D189</f>
        <v>2.58E-2</v>
      </c>
      <c r="I33" s="393">
        <f>'Cost of Capital'!$D189</f>
        <v>2.58E-2</v>
      </c>
      <c r="J33" s="393">
        <f>'Cost of Capital'!$D189</f>
        <v>2.58E-2</v>
      </c>
      <c r="K33" s="393">
        <f>'Cost of Capital'!$D189</f>
        <v>2.58E-2</v>
      </c>
    </row>
    <row r="34" spans="1:11">
      <c r="A34" s="370">
        <v>26</v>
      </c>
      <c r="B34" s="379" t="s">
        <v>21</v>
      </c>
      <c r="C34" s="498">
        <f>C33/12</f>
        <v>2.15E-3</v>
      </c>
      <c r="D34" s="498">
        <f>D33/12</f>
        <v>2.15E-3</v>
      </c>
      <c r="E34" s="498">
        <f t="shared" ref="E34:K34" si="3">E33/12</f>
        <v>2.15E-3</v>
      </c>
      <c r="F34" s="498">
        <f t="shared" si="3"/>
        <v>2.15E-3</v>
      </c>
      <c r="G34" s="498">
        <f t="shared" si="3"/>
        <v>2.15E-3</v>
      </c>
      <c r="H34" s="498">
        <f t="shared" si="3"/>
        <v>2.15E-3</v>
      </c>
      <c r="I34" s="498">
        <f t="shared" si="3"/>
        <v>2.15E-3</v>
      </c>
      <c r="J34" s="498">
        <f t="shared" si="3"/>
        <v>2.15E-3</v>
      </c>
      <c r="K34" s="498">
        <f t="shared" si="3"/>
        <v>2.15E-3</v>
      </c>
    </row>
    <row r="35" spans="1:11" ht="25.5">
      <c r="A35" s="365">
        <v>27</v>
      </c>
      <c r="B35" s="514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</row>
    <row r="36" spans="1:11">
      <c r="A36" s="370">
        <v>28</v>
      </c>
      <c r="B36" s="379" t="s">
        <v>18</v>
      </c>
      <c r="C36" s="499">
        <f>'Def Tax'!$E885</f>
        <v>10.063290729166667</v>
      </c>
      <c r="D36" s="499">
        <f>'Def Tax'!$E886</f>
        <v>10.634776774631076</v>
      </c>
      <c r="E36" s="499">
        <f>'Def Tax'!$E887</f>
        <v>11.250058216165613</v>
      </c>
      <c r="F36" s="499">
        <f>'Def Tax'!$E888</f>
        <v>12.115872061041474</v>
      </c>
      <c r="G36" s="499">
        <f>'Def Tax'!$E889</f>
        <v>13.368050769692731</v>
      </c>
      <c r="H36" s="499">
        <f>'Def Tax'!$E890</f>
        <v>15.062436554951548</v>
      </c>
      <c r="I36" s="499">
        <f>'Def Tax'!$E891</f>
        <v>17.080307682841919</v>
      </c>
      <c r="J36" s="499">
        <f>'Def Tax'!$E892</f>
        <v>18.966692045773389</v>
      </c>
      <c r="K36" s="499">
        <f>'Def Tax'!$E893</f>
        <v>21.06084158767846</v>
      </c>
    </row>
    <row r="37" spans="1:11">
      <c r="A37" s="365">
        <v>29</v>
      </c>
      <c r="B37" s="51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</row>
    <row r="38" spans="1:11">
      <c r="A38" s="382">
        <v>30</v>
      </c>
      <c r="B38" s="379" t="s">
        <v>16</v>
      </c>
      <c r="C38" s="396">
        <f>'Income Tax Rates'!$L72</f>
        <v>8.8330000000000006E-2</v>
      </c>
      <c r="D38" s="396">
        <f>'Income Tax Rates'!$L72</f>
        <v>8.8330000000000006E-2</v>
      </c>
      <c r="E38" s="396">
        <f>'Income Tax Rates'!$L72</f>
        <v>8.8330000000000006E-2</v>
      </c>
      <c r="F38" s="396">
        <f>'Income Tax Rates'!$L72</f>
        <v>8.8330000000000006E-2</v>
      </c>
      <c r="G38" s="396">
        <f>'Income Tax Rates'!$L72</f>
        <v>8.8330000000000006E-2</v>
      </c>
      <c r="H38" s="396">
        <f>'Income Tax Rates'!$L72</f>
        <v>8.8330000000000006E-2</v>
      </c>
      <c r="I38" s="396">
        <f>'Income Tax Rates'!$L72</f>
        <v>8.8330000000000006E-2</v>
      </c>
      <c r="J38" s="396">
        <f>'Income Tax Rates'!$L72</f>
        <v>8.8330000000000006E-2</v>
      </c>
      <c r="K38" s="396">
        <f>'Income Tax Rates'!$L72</f>
        <v>8.8330000000000006E-2</v>
      </c>
    </row>
    <row r="39" spans="1:11">
      <c r="A39" s="365">
        <v>31</v>
      </c>
      <c r="B39" s="379" t="s">
        <v>49</v>
      </c>
      <c r="C39" s="500">
        <f>((C22*(C26-C34))+C36)*C38</f>
        <v>1.7260031275912364</v>
      </c>
      <c r="D39" s="500">
        <f>((D22*(D26-D34))+D36)*D38</f>
        <v>1.8213109512949097</v>
      </c>
      <c r="E39" s="500">
        <f t="shared" ref="E39:K39" si="4">((E22*(E26-E34))+E36)*E38</f>
        <v>1.9320693804633431</v>
      </c>
      <c r="F39" s="500">
        <f t="shared" si="4"/>
        <v>2.0903517158434792</v>
      </c>
      <c r="G39" s="500">
        <f t="shared" si="4"/>
        <v>2.3157868712866851</v>
      </c>
      <c r="H39" s="500">
        <f t="shared" si="4"/>
        <v>2.6105749609933557</v>
      </c>
      <c r="I39" s="500">
        <f t="shared" si="4"/>
        <v>2.9407942739249098</v>
      </c>
      <c r="J39" s="500">
        <f t="shared" si="4"/>
        <v>3.2614782697127218</v>
      </c>
      <c r="K39" s="500">
        <f t="shared" si="4"/>
        <v>3.715117343694061</v>
      </c>
    </row>
    <row r="40" spans="1:11">
      <c r="A40" s="370">
        <v>32</v>
      </c>
      <c r="B40" s="379"/>
      <c r="C40" s="490"/>
      <c r="D40" s="490"/>
      <c r="E40" s="490"/>
      <c r="F40" s="490"/>
      <c r="G40" s="490"/>
      <c r="H40" s="490"/>
      <c r="I40" s="490"/>
      <c r="J40" s="490"/>
      <c r="K40" s="490"/>
    </row>
    <row r="41" spans="1:11">
      <c r="A41" s="365">
        <v>33</v>
      </c>
      <c r="B41" s="512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</row>
    <row r="42" spans="1:11" ht="38.25">
      <c r="A42" s="370">
        <v>34</v>
      </c>
      <c r="B42" s="516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</row>
    <row r="43" spans="1:11">
      <c r="A43" s="378">
        <v>35</v>
      </c>
      <c r="B43" s="379" t="s">
        <v>51</v>
      </c>
      <c r="C43" s="398">
        <f>'Income Tax Rates'!$L73</f>
        <v>0.35</v>
      </c>
      <c r="D43" s="398">
        <f>'Income Tax Rates'!$L73</f>
        <v>0.35</v>
      </c>
      <c r="E43" s="398">
        <f>'Income Tax Rates'!$L73</f>
        <v>0.35</v>
      </c>
      <c r="F43" s="398">
        <f>'Income Tax Rates'!$L73</f>
        <v>0.35</v>
      </c>
      <c r="G43" s="398">
        <f>'Income Tax Rates'!$L73</f>
        <v>0.35</v>
      </c>
      <c r="H43" s="398">
        <f>'Income Tax Rates'!$L73</f>
        <v>0.35</v>
      </c>
      <c r="I43" s="398">
        <f>'Income Tax Rates'!$L73</f>
        <v>0.35</v>
      </c>
      <c r="J43" s="398">
        <f>'Income Tax Rates'!$L73</f>
        <v>0.35</v>
      </c>
      <c r="K43" s="398">
        <f>'Income Tax Rates'!$L73</f>
        <v>0.35</v>
      </c>
    </row>
    <row r="44" spans="1:11">
      <c r="A44" s="370">
        <v>36</v>
      </c>
      <c r="B44" s="379" t="s">
        <v>52</v>
      </c>
      <c r="C44" s="500">
        <f>((C22*(C26-C34))-C39+C36)*C43</f>
        <v>6.2350373029082506</v>
      </c>
      <c r="D44" s="500">
        <f>((D22*(D26-D34))-D39+D36)*D43</f>
        <v>6.5793285886840325</v>
      </c>
      <c r="E44" s="500">
        <f t="shared" ref="E44:K44" si="5">((E22*(E26-E34))-E39+E36)*E43</f>
        <v>6.9794338529430027</v>
      </c>
      <c r="F44" s="500">
        <f t="shared" si="5"/>
        <v>7.5512151259374916</v>
      </c>
      <c r="G44" s="500">
        <f t="shared" si="5"/>
        <v>8.3655801645089571</v>
      </c>
      <c r="H44" s="500">
        <f t="shared" si="5"/>
        <v>9.430476691283646</v>
      </c>
      <c r="I44" s="500">
        <f t="shared" si="5"/>
        <v>10.623365453392877</v>
      </c>
      <c r="J44" s="500">
        <f t="shared" si="5"/>
        <v>11.781808705447173</v>
      </c>
      <c r="K44" s="500">
        <f t="shared" si="5"/>
        <v>13.420540700259792</v>
      </c>
    </row>
    <row r="45" spans="1:11">
      <c r="A45" s="365">
        <v>37</v>
      </c>
      <c r="B45" s="379"/>
      <c r="C45" s="490"/>
      <c r="D45" s="490"/>
      <c r="E45" s="490"/>
      <c r="F45" s="490"/>
      <c r="G45" s="490"/>
      <c r="H45" s="490"/>
      <c r="I45" s="490"/>
      <c r="J45" s="490"/>
      <c r="K45" s="490"/>
    </row>
    <row r="46" spans="1:11" ht="25.5">
      <c r="A46" s="370">
        <v>38</v>
      </c>
      <c r="B46" s="514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</row>
    <row r="47" spans="1:11">
      <c r="A47" s="365">
        <v>39</v>
      </c>
      <c r="B47" s="379" t="s">
        <v>58</v>
      </c>
      <c r="C47" s="499">
        <f>-'Def Tax'!$F885</f>
        <v>-4.0997846430624998</v>
      </c>
      <c r="D47" s="499">
        <f>-'Def Tax'!$F886</f>
        <v>-4.3326080579847002</v>
      </c>
      <c r="E47" s="499">
        <f>-'Def Tax'!$F887</f>
        <v>-4.5832737172658709</v>
      </c>
      <c r="F47" s="499">
        <f>-'Def Tax'!$F888</f>
        <v>-4.9360062776682962</v>
      </c>
      <c r="G47" s="499">
        <f>-'Def Tax'!$F889</f>
        <v>-5.4461438835728186</v>
      </c>
      <c r="H47" s="499">
        <f>-'Def Tax'!$F890</f>
        <v>-6.1364366524872604</v>
      </c>
      <c r="I47" s="499">
        <f>-'Def Tax'!$F891</f>
        <v>-6.9585173499897977</v>
      </c>
      <c r="J47" s="499">
        <f>-'Def Tax'!$F892</f>
        <v>-7.7270303394480786</v>
      </c>
      <c r="K47" s="499">
        <f>-'Def Tax'!$F893</f>
        <v>-8.580186862820204</v>
      </c>
    </row>
    <row r="48" spans="1:11">
      <c r="A48" s="370">
        <v>40</v>
      </c>
      <c r="B48" s="379"/>
      <c r="C48" s="490"/>
      <c r="D48" s="490"/>
      <c r="E48" s="490"/>
      <c r="F48" s="490"/>
      <c r="G48" s="490"/>
      <c r="H48" s="490"/>
      <c r="I48" s="490"/>
      <c r="J48" s="490"/>
      <c r="K48" s="490"/>
    </row>
    <row r="49" spans="1:11">
      <c r="A49" s="365">
        <v>41</v>
      </c>
      <c r="B49" s="512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</row>
    <row r="50" spans="1:11">
      <c r="A50" s="370">
        <v>42</v>
      </c>
      <c r="B50" s="512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</row>
    <row r="51" spans="1:11" ht="25.5">
      <c r="A51" s="365">
        <v>43</v>
      </c>
      <c r="B51" s="514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</row>
    <row r="52" spans="1:11">
      <c r="A52" s="382">
        <v>44</v>
      </c>
      <c r="B52" s="379" t="s">
        <v>57</v>
      </c>
      <c r="C52" s="400">
        <f>'Income Tax Rates'!$L76</f>
        <v>0.40739999999999998</v>
      </c>
      <c r="D52" s="400">
        <f>'Income Tax Rates'!$L76</f>
        <v>0.40739999999999998</v>
      </c>
      <c r="E52" s="400">
        <f>'Income Tax Rates'!$L76</f>
        <v>0.40739999999999998</v>
      </c>
      <c r="F52" s="400">
        <f>'Income Tax Rates'!$L76</f>
        <v>0.40739999999999998</v>
      </c>
      <c r="G52" s="400">
        <f>'Income Tax Rates'!$L76</f>
        <v>0.40739999999999998</v>
      </c>
      <c r="H52" s="400">
        <f>'Income Tax Rates'!$L76</f>
        <v>0.40739999999999998</v>
      </c>
      <c r="I52" s="400">
        <f>'Income Tax Rates'!$L76</f>
        <v>0.40739999999999998</v>
      </c>
      <c r="J52" s="400">
        <f>'Income Tax Rates'!$L76</f>
        <v>0.40739999999999998</v>
      </c>
      <c r="K52" s="400">
        <f>'Income Tax Rates'!$L76</f>
        <v>0.40739999999999998</v>
      </c>
    </row>
    <row r="53" spans="1:11">
      <c r="A53" s="365">
        <v>45</v>
      </c>
      <c r="B53" s="379" t="s">
        <v>59</v>
      </c>
      <c r="C53" s="501">
        <f>1/(1-C52)</f>
        <v>1.6874789065136686</v>
      </c>
      <c r="D53" s="501">
        <f>1/(1-D52)</f>
        <v>1.6874789065136686</v>
      </c>
      <c r="E53" s="501">
        <f t="shared" ref="E53:K53" si="6">1/(1-E52)</f>
        <v>1.6874789065136686</v>
      </c>
      <c r="F53" s="501">
        <f t="shared" si="6"/>
        <v>1.6874789065136686</v>
      </c>
      <c r="G53" s="501">
        <f t="shared" si="6"/>
        <v>1.6874789065136686</v>
      </c>
      <c r="H53" s="501">
        <f t="shared" si="6"/>
        <v>1.6874789065136686</v>
      </c>
      <c r="I53" s="501">
        <f t="shared" si="6"/>
        <v>1.6874789065136686</v>
      </c>
      <c r="J53" s="501">
        <f t="shared" si="6"/>
        <v>1.6874789065136686</v>
      </c>
      <c r="K53" s="501">
        <f t="shared" si="6"/>
        <v>1.6874789065136686</v>
      </c>
    </row>
    <row r="54" spans="1:11">
      <c r="A54" s="370">
        <v>46</v>
      </c>
      <c r="B54" s="379"/>
      <c r="C54" s="400"/>
      <c r="D54" s="400"/>
      <c r="E54" s="400"/>
      <c r="F54" s="400"/>
      <c r="G54" s="400"/>
      <c r="H54" s="400"/>
      <c r="I54" s="400"/>
      <c r="J54" s="400"/>
      <c r="K54" s="400"/>
    </row>
    <row r="55" spans="1:11" ht="15.75">
      <c r="A55" s="365">
        <v>47</v>
      </c>
      <c r="B55" s="510" t="s">
        <v>93</v>
      </c>
      <c r="C55" s="400"/>
      <c r="D55" s="400"/>
      <c r="E55" s="400"/>
      <c r="F55" s="400"/>
      <c r="G55" s="400"/>
      <c r="H55" s="400"/>
      <c r="I55" s="400"/>
      <c r="J55" s="400"/>
      <c r="K55" s="400"/>
    </row>
    <row r="56" spans="1:11">
      <c r="A56" s="370">
        <v>48</v>
      </c>
      <c r="B56" s="379" t="s">
        <v>49</v>
      </c>
      <c r="C56" s="491">
        <f>C39</f>
        <v>1.7260031275912364</v>
      </c>
      <c r="D56" s="491">
        <f>D39</f>
        <v>1.8213109512949097</v>
      </c>
      <c r="E56" s="491">
        <f t="shared" ref="E56:K56" si="7">E39</f>
        <v>1.9320693804633431</v>
      </c>
      <c r="F56" s="491">
        <f t="shared" si="7"/>
        <v>2.0903517158434792</v>
      </c>
      <c r="G56" s="491">
        <f t="shared" si="7"/>
        <v>2.3157868712866851</v>
      </c>
      <c r="H56" s="491">
        <f t="shared" si="7"/>
        <v>2.6105749609933557</v>
      </c>
      <c r="I56" s="491">
        <f t="shared" si="7"/>
        <v>2.9407942739249098</v>
      </c>
      <c r="J56" s="491">
        <f t="shared" si="7"/>
        <v>3.2614782697127218</v>
      </c>
      <c r="K56" s="491">
        <f t="shared" si="7"/>
        <v>3.715117343694061</v>
      </c>
    </row>
    <row r="57" spans="1:11">
      <c r="A57" s="365">
        <v>49</v>
      </c>
      <c r="B57" s="379" t="s">
        <v>52</v>
      </c>
      <c r="C57" s="491">
        <f>C44</f>
        <v>6.2350373029082506</v>
      </c>
      <c r="D57" s="491">
        <f>D44</f>
        <v>6.5793285886840325</v>
      </c>
      <c r="E57" s="491">
        <f t="shared" ref="E57:K57" si="8">E44</f>
        <v>6.9794338529430027</v>
      </c>
      <c r="F57" s="491">
        <f t="shared" si="8"/>
        <v>7.5512151259374916</v>
      </c>
      <c r="G57" s="491">
        <f t="shared" si="8"/>
        <v>8.3655801645089571</v>
      </c>
      <c r="H57" s="491">
        <f t="shared" si="8"/>
        <v>9.430476691283646</v>
      </c>
      <c r="I57" s="491">
        <f t="shared" si="8"/>
        <v>10.623365453392877</v>
      </c>
      <c r="J57" s="491">
        <f t="shared" si="8"/>
        <v>11.781808705447173</v>
      </c>
      <c r="K57" s="491">
        <f t="shared" si="8"/>
        <v>13.420540700259792</v>
      </c>
    </row>
    <row r="58" spans="1:11">
      <c r="A58" s="370">
        <v>50</v>
      </c>
      <c r="B58" s="379" t="s">
        <v>58</v>
      </c>
      <c r="C58" s="492">
        <f>C47</f>
        <v>-4.0997846430624998</v>
      </c>
      <c r="D58" s="492">
        <f>D47</f>
        <v>-4.3326080579847002</v>
      </c>
      <c r="E58" s="492">
        <f t="shared" ref="E58:K58" si="9">E47</f>
        <v>-4.5832737172658709</v>
      </c>
      <c r="F58" s="492">
        <f t="shared" si="9"/>
        <v>-4.9360062776682962</v>
      </c>
      <c r="G58" s="492">
        <f t="shared" si="9"/>
        <v>-5.4461438835728186</v>
      </c>
      <c r="H58" s="492">
        <f t="shared" si="9"/>
        <v>-6.1364366524872604</v>
      </c>
      <c r="I58" s="492">
        <f t="shared" si="9"/>
        <v>-6.9585173499897977</v>
      </c>
      <c r="J58" s="492">
        <f t="shared" si="9"/>
        <v>-7.7270303394480786</v>
      </c>
      <c r="K58" s="492">
        <f t="shared" si="9"/>
        <v>-8.580186862820204</v>
      </c>
    </row>
    <row r="59" spans="1:11">
      <c r="A59" s="365">
        <v>51</v>
      </c>
      <c r="B59" s="379" t="s">
        <v>59</v>
      </c>
      <c r="C59" s="493">
        <f>C53</f>
        <v>1.6874789065136686</v>
      </c>
      <c r="D59" s="493">
        <f>D53</f>
        <v>1.6874789065136686</v>
      </c>
      <c r="E59" s="493">
        <f t="shared" ref="E59:K59" si="10">E53</f>
        <v>1.6874789065136686</v>
      </c>
      <c r="F59" s="493">
        <f t="shared" si="10"/>
        <v>1.6874789065136686</v>
      </c>
      <c r="G59" s="493">
        <f t="shared" si="10"/>
        <v>1.6874789065136686</v>
      </c>
      <c r="H59" s="493">
        <f t="shared" si="10"/>
        <v>1.6874789065136686</v>
      </c>
      <c r="I59" s="493">
        <f t="shared" si="10"/>
        <v>1.6874789065136686</v>
      </c>
      <c r="J59" s="493">
        <f t="shared" si="10"/>
        <v>1.6874789065136686</v>
      </c>
      <c r="K59" s="493">
        <f t="shared" si="10"/>
        <v>1.6874789065136686</v>
      </c>
    </row>
    <row r="60" spans="1:11">
      <c r="A60" s="370">
        <v>52</v>
      </c>
      <c r="B60" s="503" t="s">
        <v>60</v>
      </c>
      <c r="C60" s="502">
        <f>(C56+C57+C58)*C59</f>
        <v>6.515787693953742</v>
      </c>
      <c r="D60" s="502">
        <f>(D56+D57+D58)*D59</f>
        <v>6.8647173168988216</v>
      </c>
      <c r="E60" s="502">
        <f t="shared" ref="E60:K60" si="11">(E56+E57+E58)*E59</f>
        <v>7.3037960110369147</v>
      </c>
      <c r="F60" s="502">
        <f t="shared" si="11"/>
        <v>7.940534195262698</v>
      </c>
      <c r="G60" s="502">
        <f t="shared" si="11"/>
        <v>8.8343286402680103</v>
      </c>
      <c r="H60" s="502">
        <f t="shared" si="11"/>
        <v>9.963913263229399</v>
      </c>
      <c r="I60" s="502">
        <f t="shared" si="11"/>
        <v>11.146882175713785</v>
      </c>
      <c r="J60" s="502">
        <f t="shared" si="11"/>
        <v>12.346028747404347</v>
      </c>
      <c r="K60" s="502">
        <f t="shared" si="11"/>
        <v>14.437177153448616</v>
      </c>
    </row>
    <row r="61" spans="1:11">
      <c r="A61" s="365">
        <v>53</v>
      </c>
      <c r="B61" s="490"/>
      <c r="C61" s="490"/>
      <c r="D61" s="490"/>
      <c r="E61" s="490"/>
      <c r="F61" s="490"/>
      <c r="G61" s="490"/>
      <c r="H61" s="490"/>
      <c r="I61" s="490"/>
      <c r="J61" s="490"/>
      <c r="K61" s="490"/>
    </row>
    <row r="62" spans="1:11">
      <c r="A62" s="370">
        <v>54</v>
      </c>
      <c r="B62" s="573" t="s">
        <v>307</v>
      </c>
      <c r="C62" s="490"/>
      <c r="D62" s="490"/>
      <c r="E62" s="490"/>
      <c r="F62" s="490"/>
      <c r="G62" s="490"/>
      <c r="H62" s="490"/>
      <c r="I62" s="490"/>
      <c r="J62" s="490"/>
      <c r="K62" s="490"/>
    </row>
    <row r="63" spans="1:11" ht="15.75">
      <c r="A63" s="365">
        <v>55</v>
      </c>
      <c r="B63" s="505" t="s">
        <v>9</v>
      </c>
      <c r="C63" s="490"/>
      <c r="D63" s="490"/>
      <c r="E63" s="490"/>
      <c r="F63" s="490"/>
      <c r="G63" s="490"/>
      <c r="H63" s="490"/>
      <c r="I63" s="490"/>
      <c r="J63" s="490"/>
      <c r="K63" s="490"/>
    </row>
    <row r="64" spans="1:11" ht="15">
      <c r="A64" s="370">
        <v>56</v>
      </c>
      <c r="B64" s="517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</row>
    <row r="65" spans="1:11">
      <c r="A65" s="378">
        <v>57</v>
      </c>
      <c r="B65" s="379" t="s">
        <v>13</v>
      </c>
      <c r="C65" s="494">
        <f>C22</f>
        <v>1983.349429881021</v>
      </c>
      <c r="D65" s="494">
        <f>D22</f>
        <v>2089.5603471122872</v>
      </c>
      <c r="E65" s="494">
        <f t="shared" ref="E65:K65" si="12">E22</f>
        <v>2223.212572891849</v>
      </c>
      <c r="F65" s="494">
        <f t="shared" si="12"/>
        <v>2417.0310459623465</v>
      </c>
      <c r="G65" s="494">
        <f t="shared" si="12"/>
        <v>2689.0953012507898</v>
      </c>
      <c r="H65" s="494">
        <f t="shared" si="12"/>
        <v>3032.9314664796129</v>
      </c>
      <c r="I65" s="494">
        <f t="shared" si="12"/>
        <v>3393.0155525070059</v>
      </c>
      <c r="J65" s="494">
        <f t="shared" si="12"/>
        <v>3758.0251435503155</v>
      </c>
      <c r="K65" s="494">
        <f t="shared" si="12"/>
        <v>4394.5610931477922</v>
      </c>
    </row>
    <row r="66" spans="1:11">
      <c r="A66" s="382">
        <v>58</v>
      </c>
      <c r="B66" s="379" t="s">
        <v>48</v>
      </c>
      <c r="C66" s="495">
        <f>C26</f>
        <v>6.9283333333333324E-3</v>
      </c>
      <c r="D66" s="495">
        <f>D26</f>
        <v>6.9283333333333324E-3</v>
      </c>
      <c r="E66" s="495">
        <f t="shared" ref="E66:K66" si="13">E26</f>
        <v>6.9283333333333324E-3</v>
      </c>
      <c r="F66" s="495">
        <f t="shared" si="13"/>
        <v>6.9283333333333324E-3</v>
      </c>
      <c r="G66" s="495">
        <f t="shared" si="13"/>
        <v>6.9283333333333324E-3</v>
      </c>
      <c r="H66" s="495">
        <f t="shared" si="13"/>
        <v>6.9283333333333324E-3</v>
      </c>
      <c r="I66" s="495">
        <f t="shared" si="13"/>
        <v>6.9283333333333324E-3</v>
      </c>
      <c r="J66" s="495">
        <f t="shared" si="13"/>
        <v>6.9283333333333324E-3</v>
      </c>
      <c r="K66" s="495">
        <f t="shared" si="13"/>
        <v>6.9283333333333324E-3</v>
      </c>
    </row>
    <row r="67" spans="1:11">
      <c r="A67" s="378">
        <v>59</v>
      </c>
      <c r="B67" s="379" t="s">
        <v>152</v>
      </c>
      <c r="C67" s="492">
        <f>C65*C66</f>
        <v>13.741305966692339</v>
      </c>
      <c r="D67" s="492">
        <f t="shared" ref="D67:K67" si="14">D65*D66</f>
        <v>14.477170604909627</v>
      </c>
      <c r="E67" s="492">
        <f t="shared" si="14"/>
        <v>15.403157775852359</v>
      </c>
      <c r="F67" s="492">
        <f t="shared" si="14"/>
        <v>16.745996763442456</v>
      </c>
      <c r="G67" s="492">
        <f t="shared" si="14"/>
        <v>18.630948612165888</v>
      </c>
      <c r="H67" s="492">
        <f t="shared" si="14"/>
        <v>21.013160176926249</v>
      </c>
      <c r="I67" s="492">
        <f t="shared" si="14"/>
        <v>23.507942752952701</v>
      </c>
      <c r="J67" s="492">
        <f t="shared" si="14"/>
        <v>26.036850869564432</v>
      </c>
      <c r="K67" s="492">
        <f t="shared" si="14"/>
        <v>30.446984107025617</v>
      </c>
    </row>
    <row r="68" spans="1:11">
      <c r="A68" s="382">
        <v>60</v>
      </c>
      <c r="B68" s="379" t="s">
        <v>151</v>
      </c>
      <c r="C68" s="494">
        <f>C60</f>
        <v>6.515787693953742</v>
      </c>
      <c r="D68" s="494">
        <f>D60</f>
        <v>6.8647173168988216</v>
      </c>
      <c r="E68" s="494">
        <f t="shared" ref="E68:K68" si="15">E60</f>
        <v>7.3037960110369147</v>
      </c>
      <c r="F68" s="494">
        <f t="shared" si="15"/>
        <v>7.940534195262698</v>
      </c>
      <c r="G68" s="494">
        <f t="shared" si="15"/>
        <v>8.8343286402680103</v>
      </c>
      <c r="H68" s="494">
        <f t="shared" si="15"/>
        <v>9.963913263229399</v>
      </c>
      <c r="I68" s="494">
        <f t="shared" si="15"/>
        <v>11.146882175713785</v>
      </c>
      <c r="J68" s="494">
        <f t="shared" si="15"/>
        <v>12.346028747404347</v>
      </c>
      <c r="K68" s="494">
        <f t="shared" si="15"/>
        <v>14.437177153448616</v>
      </c>
    </row>
    <row r="69" spans="1:11">
      <c r="A69" s="365">
        <v>61</v>
      </c>
      <c r="B69" s="503" t="s">
        <v>112</v>
      </c>
      <c r="C69" s="502">
        <f>C67+C68</f>
        <v>20.257093660646081</v>
      </c>
      <c r="D69" s="502">
        <f t="shared" ref="D69:K69" si="16">D67+D68</f>
        <v>21.34188792180845</v>
      </c>
      <c r="E69" s="502">
        <f t="shared" si="16"/>
        <v>22.706953786889272</v>
      </c>
      <c r="F69" s="502">
        <f t="shared" si="16"/>
        <v>24.686530958705156</v>
      </c>
      <c r="G69" s="502">
        <f t="shared" si="16"/>
        <v>27.4652772524339</v>
      </c>
      <c r="H69" s="502">
        <f t="shared" si="16"/>
        <v>30.97707344015565</v>
      </c>
      <c r="I69" s="502">
        <f t="shared" si="16"/>
        <v>34.654824928666486</v>
      </c>
      <c r="J69" s="502">
        <f t="shared" si="16"/>
        <v>38.382879616968779</v>
      </c>
      <c r="K69" s="502">
        <f t="shared" si="16"/>
        <v>44.884161260474229</v>
      </c>
    </row>
    <row r="70" spans="1:11">
      <c r="A70" s="402"/>
      <c r="B70" s="490"/>
      <c r="C70" s="490"/>
      <c r="D70" s="490"/>
      <c r="E70" s="490"/>
      <c r="F70" s="490"/>
      <c r="G70" s="490"/>
      <c r="H70" s="490"/>
      <c r="I70" s="490"/>
      <c r="J70" s="490"/>
      <c r="K70" s="490"/>
    </row>
    <row r="71" spans="1:11">
      <c r="A71" s="402"/>
      <c r="B71" s="490"/>
      <c r="C71" s="490"/>
      <c r="D71" s="490"/>
      <c r="E71" s="490"/>
      <c r="F71" s="490"/>
      <c r="G71" s="490"/>
      <c r="H71" s="490"/>
      <c r="I71" s="490"/>
      <c r="J71" s="490"/>
      <c r="K71" s="490"/>
    </row>
    <row r="72" spans="1:11">
      <c r="A72" s="402"/>
      <c r="B72" s="490"/>
      <c r="C72" s="490"/>
      <c r="D72" s="490"/>
      <c r="E72" s="490"/>
      <c r="F72" s="490"/>
      <c r="G72" s="490"/>
      <c r="H72" s="490"/>
      <c r="I72" s="490"/>
      <c r="J72" s="490"/>
      <c r="K72" s="490"/>
    </row>
  </sheetData>
  <mergeCells count="6">
    <mergeCell ref="C16:K16"/>
    <mergeCell ref="A1:K1"/>
    <mergeCell ref="A2:K2"/>
    <mergeCell ref="A3:K3"/>
    <mergeCell ref="A4:K4"/>
    <mergeCell ref="A5:K5"/>
  </mergeCells>
  <pageMargins left="0.7" right="0.7" top="0.75" bottom="0.75" header="0.3" footer="0.3"/>
  <pageSetup scale="67"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>
    <tabColor indexed="42"/>
    <pageSetUpPr fitToPage="1"/>
  </sheetPr>
  <dimension ref="A1:I68"/>
  <sheetViews>
    <sheetView view="pageBreakPreview" zoomScaleNormal="100" zoomScaleSheetLayoutView="100" workbookViewId="0">
      <selection activeCell="F56" sqref="F56"/>
    </sheetView>
  </sheetViews>
  <sheetFormatPr defaultColWidth="11.42578125" defaultRowHeight="15" outlineLevelRow="3"/>
  <cols>
    <col min="1" max="1" width="10.5703125" style="123" bestFit="1" customWidth="1"/>
    <col min="2" max="2" width="14" style="123" bestFit="1" customWidth="1"/>
    <col min="3" max="3" width="16.28515625" style="123" bestFit="1" customWidth="1"/>
    <col min="4" max="4" width="12.28515625" style="123" bestFit="1" customWidth="1"/>
    <col min="5" max="5" width="14.85546875" style="123" bestFit="1" customWidth="1"/>
    <col min="6" max="7" width="11.42578125" style="123" customWidth="1"/>
    <col min="8" max="8" width="12.28515625" style="123" customWidth="1"/>
    <col min="9" max="16384" width="11.42578125" style="123"/>
  </cols>
  <sheetData>
    <row r="1" spans="1:9" ht="15.75">
      <c r="A1" s="714" t="s">
        <v>0</v>
      </c>
      <c r="B1" s="714"/>
      <c r="C1" s="714"/>
      <c r="D1" s="714"/>
      <c r="E1" s="714"/>
      <c r="I1" s="273"/>
    </row>
    <row r="2" spans="1:9" ht="15.75">
      <c r="A2" s="715" t="s">
        <v>148</v>
      </c>
      <c r="B2" s="716"/>
      <c r="C2" s="716"/>
      <c r="D2" s="716"/>
      <c r="E2" s="716"/>
    </row>
    <row r="3" spans="1:9">
      <c r="A3" s="717" t="s">
        <v>275</v>
      </c>
      <c r="B3" s="718"/>
      <c r="C3" s="718"/>
      <c r="D3" s="718"/>
      <c r="E3" s="718"/>
    </row>
    <row r="4" spans="1:9">
      <c r="A4" s="719" t="s">
        <v>1</v>
      </c>
      <c r="B4" s="719"/>
      <c r="C4" s="719"/>
      <c r="D4" s="719"/>
      <c r="E4" s="719"/>
    </row>
    <row r="5" spans="1:9">
      <c r="A5" s="124"/>
      <c r="B5" s="124"/>
      <c r="C5" s="124"/>
      <c r="D5" s="124"/>
      <c r="E5" s="125"/>
    </row>
    <row r="6" spans="1:9">
      <c r="A6" s="124"/>
      <c r="B6" s="124"/>
      <c r="C6" s="124"/>
      <c r="D6" s="124"/>
      <c r="E6" s="124"/>
    </row>
    <row r="7" spans="1:9">
      <c r="A7" s="124"/>
      <c r="B7" s="124"/>
      <c r="C7" s="175"/>
      <c r="D7" s="176"/>
      <c r="E7" s="176"/>
    </row>
    <row r="8" spans="1:9" ht="15" customHeight="1">
      <c r="A8" s="123" t="s">
        <v>113</v>
      </c>
      <c r="B8" s="126"/>
      <c r="C8" s="177"/>
      <c r="D8" s="178"/>
      <c r="E8" s="179"/>
    </row>
    <row r="9" spans="1:9">
      <c r="B9" s="126"/>
      <c r="C9" s="177"/>
      <c r="D9" s="178"/>
      <c r="E9" s="180"/>
    </row>
    <row r="10" spans="1:9">
      <c r="B10" s="126"/>
      <c r="C10" s="177"/>
      <c r="D10" s="181"/>
      <c r="E10" s="180"/>
    </row>
    <row r="11" spans="1:9">
      <c r="B11" s="126"/>
      <c r="C11" s="127"/>
      <c r="D11" s="128"/>
      <c r="E11" s="129"/>
    </row>
    <row r="12" spans="1:9">
      <c r="A12" s="124"/>
      <c r="B12" s="124"/>
      <c r="C12" s="124"/>
      <c r="D12" s="124"/>
      <c r="E12" s="124"/>
    </row>
    <row r="13" spans="1:9" ht="45.7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  <c r="F13" s="238"/>
    </row>
    <row r="14" spans="1:9" ht="15" customHeight="1">
      <c r="A14" s="724"/>
      <c r="B14" s="726"/>
      <c r="C14" s="722"/>
      <c r="D14" s="722"/>
      <c r="E14" s="724"/>
      <c r="F14" s="238"/>
    </row>
    <row r="15" spans="1:9" hidden="1" outlineLevel="3">
      <c r="A15" s="130" t="s">
        <v>117</v>
      </c>
      <c r="B15" s="131"/>
      <c r="C15" s="132"/>
      <c r="D15" s="131"/>
      <c r="E15" s="161">
        <v>0</v>
      </c>
      <c r="F15" s="238"/>
    </row>
    <row r="16" spans="1:9" hidden="1" outlineLevel="3">
      <c r="A16" s="130" t="s">
        <v>118</v>
      </c>
      <c r="B16" s="132"/>
      <c r="C16" s="132"/>
      <c r="D16" s="131"/>
      <c r="E16" s="161">
        <v>0</v>
      </c>
      <c r="F16" s="238"/>
    </row>
    <row r="17" spans="1:5" hidden="1" outlineLevel="1">
      <c r="A17" s="274" t="s">
        <v>119</v>
      </c>
      <c r="B17" s="132"/>
      <c r="C17" s="132"/>
      <c r="D17" s="131"/>
      <c r="E17" s="221">
        <v>21720.008730000001</v>
      </c>
    </row>
    <row r="18" spans="1:5" hidden="1" outlineLevel="1">
      <c r="A18" s="274" t="s">
        <v>120</v>
      </c>
      <c r="B18" s="185">
        <f>D18-C18</f>
        <v>69.177219999998215</v>
      </c>
      <c r="C18" s="221">
        <f>(826.4297+2013.33321)-(826.27257+2013.08021)</f>
        <v>0.41012999999975364</v>
      </c>
      <c r="D18" s="185">
        <f>IF(E18=0,0,E18-E17)</f>
        <v>69.587349999997969</v>
      </c>
      <c r="E18" s="221">
        <v>21789.596079999999</v>
      </c>
    </row>
    <row r="19" spans="1:5" hidden="1" outlineLevel="2">
      <c r="A19" s="274" t="s">
        <v>121</v>
      </c>
      <c r="B19" s="185">
        <f>D19-C19</f>
        <v>439.76513999999906</v>
      </c>
      <c r="C19" s="221">
        <f>(828.29909+2029.64846)-(826.4297+2013.33321)</f>
        <v>18.184639999999945</v>
      </c>
      <c r="D19" s="185">
        <f>IF(E19=0,0,E19-E18)</f>
        <v>457.94977999999901</v>
      </c>
      <c r="E19" s="221">
        <v>22247.545859999998</v>
      </c>
    </row>
    <row r="20" spans="1:5" hidden="1" outlineLevel="2">
      <c r="A20" s="274" t="s">
        <v>75</v>
      </c>
      <c r="B20" s="171">
        <f t="shared" ref="B20:B39" si="0">D20-C20</f>
        <v>321.24172000000181</v>
      </c>
      <c r="C20" s="221">
        <f>(828.29909+2029.64846)-(828.29909+2029.64846)</f>
        <v>0</v>
      </c>
      <c r="D20" s="185">
        <f t="shared" ref="D20:D39" si="1">IF(E20=0,0,E20-E19)</f>
        <v>321.24172000000181</v>
      </c>
      <c r="E20" s="221">
        <v>22568.78758</v>
      </c>
    </row>
    <row r="21" spans="1:5" hidden="1" outlineLevel="2">
      <c r="A21" s="274" t="s">
        <v>122</v>
      </c>
      <c r="B21" s="275">
        <f t="shared" si="0"/>
        <v>518.08917999999903</v>
      </c>
      <c r="C21" s="221">
        <f>(828.29909+2029.64846)-(828.29909+2029.64846)</f>
        <v>0</v>
      </c>
      <c r="D21" s="276">
        <f t="shared" si="1"/>
        <v>518.08917999999903</v>
      </c>
      <c r="E21" s="221">
        <v>23086.876759999999</v>
      </c>
    </row>
    <row r="22" spans="1:5" hidden="1" outlineLevel="2">
      <c r="A22" s="274" t="s">
        <v>123</v>
      </c>
      <c r="B22" s="275">
        <f t="shared" si="0"/>
        <v>208.59259000000065</v>
      </c>
      <c r="C22" s="221">
        <f>(828.29909+2029.77833)-(828.29909+2029.64846)</f>
        <v>0.12987000000020998</v>
      </c>
      <c r="D22" s="276">
        <f t="shared" si="1"/>
        <v>208.72246000000086</v>
      </c>
      <c r="E22" s="221">
        <v>23295.59922</v>
      </c>
    </row>
    <row r="23" spans="1:5" hidden="1" outlineLevel="2">
      <c r="A23" s="274" t="s">
        <v>124</v>
      </c>
      <c r="B23" s="275">
        <f t="shared" si="0"/>
        <v>361.81945000000132</v>
      </c>
      <c r="C23" s="221">
        <f>(828.29909+2029.79755)-(828.29909+2029.77833)</f>
        <v>1.9219999999677384E-2</v>
      </c>
      <c r="D23" s="276">
        <f t="shared" si="1"/>
        <v>361.838670000001</v>
      </c>
      <c r="E23" s="221">
        <v>23657.437890000001</v>
      </c>
    </row>
    <row r="24" spans="1:5" hidden="1" outlineLevel="2">
      <c r="A24" s="274" t="s">
        <v>125</v>
      </c>
      <c r="B24" s="275">
        <f t="shared" si="0"/>
        <v>687.66363999999885</v>
      </c>
      <c r="C24" s="221">
        <f>(828.29909+2029.79755)-(828.29909+2029.79755)</f>
        <v>0</v>
      </c>
      <c r="D24" s="276">
        <f t="shared" si="1"/>
        <v>687.66363999999885</v>
      </c>
      <c r="E24" s="221">
        <v>24345.10153</v>
      </c>
    </row>
    <row r="25" spans="1:5" hidden="1" outlineLevel="2">
      <c r="A25" s="274" t="s">
        <v>126</v>
      </c>
      <c r="B25" s="275">
        <f t="shared" si="0"/>
        <v>329.24722000000111</v>
      </c>
      <c r="C25" s="221">
        <f>(828.29909+2029.79755)-(828.29909+2029.79755)</f>
        <v>0</v>
      </c>
      <c r="D25" s="276">
        <f t="shared" si="1"/>
        <v>329.24722000000111</v>
      </c>
      <c r="E25" s="221">
        <v>24674.348750000001</v>
      </c>
    </row>
    <row r="26" spans="1:5" hidden="1" outlineLevel="2">
      <c r="A26" s="274" t="s">
        <v>127</v>
      </c>
      <c r="B26" s="275">
        <f t="shared" si="0"/>
        <v>151.50504999999976</v>
      </c>
      <c r="C26" s="221">
        <f>(828.29909+2029.79755)-(828.29909+2029.79755)</f>
        <v>0</v>
      </c>
      <c r="D26" s="276">
        <f>IF(E26=0,0,E26-E25)</f>
        <v>151.50504999999976</v>
      </c>
      <c r="E26" s="221">
        <v>24825.853800000001</v>
      </c>
    </row>
    <row r="27" spans="1:5" hidden="1" outlineLevel="2">
      <c r="A27" s="277" t="s">
        <v>128</v>
      </c>
      <c r="B27" s="278">
        <f t="shared" si="0"/>
        <v>1096.35844</v>
      </c>
      <c r="C27" s="221">
        <f>(830.81237+2036.09589)-(828.29909+2029.79755)</f>
        <v>8.8116200000004028</v>
      </c>
      <c r="D27" s="276">
        <f>IF(E27=0,0,E27-E26)</f>
        <v>1105.1700600000004</v>
      </c>
      <c r="E27" s="279">
        <v>25931.023860000001</v>
      </c>
    </row>
    <row r="28" spans="1:5" hidden="1" outlineLevel="2">
      <c r="A28" s="274" t="s">
        <v>189</v>
      </c>
      <c r="B28" s="275">
        <f t="shared" si="0"/>
        <v>378.52183999999988</v>
      </c>
      <c r="C28" s="221">
        <f>(830.81237+2036.14103)-(830.81237+2036.09589)</f>
        <v>4.5139999999719294E-2</v>
      </c>
      <c r="D28" s="276">
        <f t="shared" si="1"/>
        <v>378.5669799999996</v>
      </c>
      <c r="E28" s="279">
        <v>26309.590840000001</v>
      </c>
    </row>
    <row r="29" spans="1:5" hidden="1" outlineLevel="2">
      <c r="A29" s="274" t="s">
        <v>119</v>
      </c>
      <c r="B29" s="278">
        <f t="shared" si="0"/>
        <v>397.04151999999976</v>
      </c>
      <c r="C29" s="221">
        <f>(830.81237+2036.24784)-(830.81237+2036.14103)</f>
        <v>0.10681000000022323</v>
      </c>
      <c r="D29" s="276">
        <f t="shared" si="1"/>
        <v>397.14832999999999</v>
      </c>
      <c r="E29" s="279">
        <v>26706.739170000001</v>
      </c>
    </row>
    <row r="30" spans="1:5" hidden="1" outlineLevel="2">
      <c r="A30" s="274" t="s">
        <v>120</v>
      </c>
      <c r="B30" s="275">
        <f t="shared" si="0"/>
        <v>1022.9455300000009</v>
      </c>
      <c r="C30" s="221">
        <f>(830.81237+2036.24784)-(830.81237+2036.24784)</f>
        <v>0</v>
      </c>
      <c r="D30" s="276">
        <f t="shared" si="1"/>
        <v>1022.9455300000009</v>
      </c>
      <c r="E30" s="279">
        <v>27729.684700000002</v>
      </c>
    </row>
    <row r="31" spans="1:5" hidden="1" outlineLevel="2">
      <c r="A31" s="274" t="s">
        <v>121</v>
      </c>
      <c r="B31" s="278">
        <f t="shared" si="0"/>
        <v>1151.9205199999997</v>
      </c>
      <c r="C31" s="221">
        <f>(830.81237+2036.24784)-(830.81237+2036.24784)</f>
        <v>0</v>
      </c>
      <c r="D31" s="276">
        <f t="shared" si="1"/>
        <v>1151.9205199999997</v>
      </c>
      <c r="E31" s="279">
        <v>28881.605220000001</v>
      </c>
    </row>
    <row r="32" spans="1:5" hidden="1" outlineLevel="2">
      <c r="A32" s="274" t="s">
        <v>75</v>
      </c>
      <c r="B32" s="278">
        <f t="shared" si="0"/>
        <v>2355.6386999999995</v>
      </c>
      <c r="C32" s="221">
        <f>(830.81237+2036.24784)-(830.81237+2036.24784)</f>
        <v>0</v>
      </c>
      <c r="D32" s="276">
        <f t="shared" si="1"/>
        <v>2355.6386999999995</v>
      </c>
      <c r="E32" s="279">
        <v>31237.243920000001</v>
      </c>
    </row>
    <row r="33" spans="1:5" hidden="1" outlineLevel="2">
      <c r="A33" s="274" t="s">
        <v>122</v>
      </c>
      <c r="B33" s="278">
        <f t="shared" si="0"/>
        <v>-430.03729000000021</v>
      </c>
      <c r="C33" s="221">
        <f>(830.81237+2036.24784)-(830.81237+2036.24784)</f>
        <v>0</v>
      </c>
      <c r="D33" s="276">
        <f t="shared" si="1"/>
        <v>-430.03729000000021</v>
      </c>
      <c r="E33" s="279">
        <v>30807.206630000001</v>
      </c>
    </row>
    <row r="34" spans="1:5" hidden="1" outlineLevel="2">
      <c r="A34" s="274" t="s">
        <v>123</v>
      </c>
      <c r="B34" s="240">
        <f t="shared" si="0"/>
        <v>3066.5683799999979</v>
      </c>
      <c r="C34" s="221">
        <f>(831.17639+2036.24784)-(830.81237+2036.24784)</f>
        <v>0.36401999999998225</v>
      </c>
      <c r="D34" s="185">
        <f t="shared" si="1"/>
        <v>3066.9323999999979</v>
      </c>
      <c r="E34" s="279">
        <v>33874.139029999998</v>
      </c>
    </row>
    <row r="35" spans="1:5" hidden="1" outlineLevel="2">
      <c r="A35" s="274" t="s">
        <v>124</v>
      </c>
      <c r="B35" s="240">
        <f t="shared" si="0"/>
        <v>2736.8386099999989</v>
      </c>
      <c r="C35" s="221">
        <f>(831.17639+2036.24784)-(831.17639+2036.24784)</f>
        <v>0</v>
      </c>
      <c r="D35" s="242">
        <f t="shared" si="1"/>
        <v>2736.8386099999989</v>
      </c>
      <c r="E35" s="279">
        <v>36610.977639999997</v>
      </c>
    </row>
    <row r="36" spans="1:5" hidden="1" outlineLevel="2">
      <c r="A36" s="274" t="s">
        <v>125</v>
      </c>
      <c r="B36" s="240">
        <f t="shared" si="0"/>
        <v>2969.7546000000034</v>
      </c>
      <c r="C36" s="221">
        <f>(831.32585+2036.43999)-(831.17639+2036.24784)</f>
        <v>0.34160999999994601</v>
      </c>
      <c r="D36" s="242">
        <f t="shared" si="1"/>
        <v>2970.0962100000033</v>
      </c>
      <c r="E36" s="279">
        <v>39581.073850000001</v>
      </c>
    </row>
    <row r="37" spans="1:5" hidden="1" outlineLevel="2">
      <c r="A37" s="274" t="s">
        <v>126</v>
      </c>
      <c r="B37" s="240">
        <f t="shared" si="0"/>
        <v>-1865.2621199999994</v>
      </c>
      <c r="C37" s="221">
        <f>(831.41341+2036.52755)-(831.32585+2036.43999)</f>
        <v>0.17511999999987893</v>
      </c>
      <c r="D37" s="242">
        <f t="shared" si="1"/>
        <v>-1865.0869999999995</v>
      </c>
      <c r="E37" s="279">
        <v>37715.986850000001</v>
      </c>
    </row>
    <row r="38" spans="1:5" hidden="1" outlineLevel="2">
      <c r="A38" s="274" t="s">
        <v>127</v>
      </c>
      <c r="B38" s="171">
        <f t="shared" si="0"/>
        <v>-2133.4178999999986</v>
      </c>
      <c r="C38" s="221">
        <f>(831.47627+2036.61136)-(831.41341+2036.52755)</f>
        <v>0.14667000000008557</v>
      </c>
      <c r="D38" s="242">
        <f t="shared" si="1"/>
        <v>-2133.2712299999985</v>
      </c>
      <c r="E38" s="279">
        <v>35582.715620000003</v>
      </c>
    </row>
    <row r="39" spans="1:5" hidden="1" outlineLevel="1">
      <c r="A39" s="277" t="s">
        <v>190</v>
      </c>
      <c r="B39" s="240">
        <f t="shared" si="0"/>
        <v>3038.3564099999967</v>
      </c>
      <c r="C39" s="279">
        <f>(831.52587+2036.74566)-(831.47627+2036.61136)</f>
        <v>0.18389999999999418</v>
      </c>
      <c r="D39" s="242">
        <f t="shared" si="1"/>
        <v>3038.5403099999967</v>
      </c>
      <c r="E39" s="279">
        <v>38621.255929999999</v>
      </c>
    </row>
    <row r="40" spans="1:5" hidden="1" outlineLevel="1" collapsed="1">
      <c r="A40" s="274" t="s">
        <v>226</v>
      </c>
      <c r="B40" s="275">
        <f t="shared" ref="B40:B51" si="2">D40-C40</f>
        <v>-184.12387999999874</v>
      </c>
      <c r="C40" s="595">
        <f>(831.52587+2036.76234)-(831.52587+2036.74566)</f>
        <v>1.6680000000178552E-2</v>
      </c>
      <c r="D40" s="221">
        <f t="shared" ref="D40:D51" si="3">IF(E40=0,0,E40-E39)</f>
        <v>-184.10719999999856</v>
      </c>
      <c r="E40" s="279">
        <v>38437.148730000001</v>
      </c>
    </row>
    <row r="41" spans="1:5" hidden="1" outlineLevel="1">
      <c r="A41" s="274" t="s">
        <v>119</v>
      </c>
      <c r="B41" s="278">
        <f t="shared" si="2"/>
        <v>115.25110000000132</v>
      </c>
      <c r="C41" s="596">
        <f>(831.52587+2036.76234)-(831.52587+2036.76234)</f>
        <v>0</v>
      </c>
      <c r="D41" s="276">
        <f t="shared" si="3"/>
        <v>115.25110000000132</v>
      </c>
      <c r="E41" s="279">
        <v>38552.399830000002</v>
      </c>
    </row>
    <row r="42" spans="1:5" hidden="1" outlineLevel="1">
      <c r="A42" s="274" t="s">
        <v>120</v>
      </c>
      <c r="B42" s="275">
        <f t="shared" si="2"/>
        <v>1222.9946399999972</v>
      </c>
      <c r="C42" s="279">
        <f>(831.52587+2036.76234)-(831.52587+2036.76234)</f>
        <v>0</v>
      </c>
      <c r="D42" s="276">
        <f t="shared" si="3"/>
        <v>1222.9946399999972</v>
      </c>
      <c r="E42" s="279">
        <v>39775.394469999999</v>
      </c>
    </row>
    <row r="43" spans="1:5" hidden="1" outlineLevel="1">
      <c r="A43" s="274" t="s">
        <v>121</v>
      </c>
      <c r="B43" s="278">
        <f t="shared" si="2"/>
        <v>821.68279000000121</v>
      </c>
      <c r="C43" s="279">
        <f>(831.52587+2036.76254)-(831.52587+2036.76234)</f>
        <v>1.9999999994979589E-4</v>
      </c>
      <c r="D43" s="276">
        <f t="shared" si="3"/>
        <v>821.68299000000115</v>
      </c>
      <c r="E43" s="279">
        <v>40597.07746</v>
      </c>
    </row>
    <row r="44" spans="1:5" s="187" customFormat="1" hidden="1" outlineLevel="1">
      <c r="A44" s="274" t="s">
        <v>75</v>
      </c>
      <c r="B44" s="278">
        <f t="shared" si="2"/>
        <v>1341.8641399999983</v>
      </c>
      <c r="C44" s="279">
        <f>(833.87695+2036.76254)-(831.52587+2036.76254)</f>
        <v>2.3510799999999108</v>
      </c>
      <c r="D44" s="276">
        <f t="shared" si="3"/>
        <v>1344.2152199999982</v>
      </c>
      <c r="E44" s="279">
        <v>41941.292679999999</v>
      </c>
    </row>
    <row r="45" spans="1:5" hidden="1" outlineLevel="1">
      <c r="A45" s="274" t="s">
        <v>122</v>
      </c>
      <c r="B45" s="278">
        <f t="shared" si="2"/>
        <v>-6857.0599599999969</v>
      </c>
      <c r="C45" s="279">
        <f>(609.31323+2036.76254)-(833.87695+2036.76254)</f>
        <v>-224.5637200000001</v>
      </c>
      <c r="D45" s="276">
        <f t="shared" si="3"/>
        <v>-7081.623679999997</v>
      </c>
      <c r="E45" s="279">
        <v>34859.669000000002</v>
      </c>
    </row>
    <row r="46" spans="1:5" hidden="1" outlineLevel="1">
      <c r="A46" s="274" t="s">
        <v>123</v>
      </c>
      <c r="B46" s="240">
        <f t="shared" si="2"/>
        <v>935.61656999999832</v>
      </c>
      <c r="C46" s="279">
        <f>(609.31323+2036.76254)-(609.31323+2036.76254)</f>
        <v>0</v>
      </c>
      <c r="D46" s="276">
        <f t="shared" si="3"/>
        <v>935.61656999999832</v>
      </c>
      <c r="E46" s="279">
        <v>35795.28557</v>
      </c>
    </row>
    <row r="47" spans="1:5" hidden="1" outlineLevel="1">
      <c r="A47" s="274" t="s">
        <v>124</v>
      </c>
      <c r="B47" s="240">
        <f t="shared" si="2"/>
        <v>1200.017199999998</v>
      </c>
      <c r="C47" s="279">
        <f>(610.34305+2036.76254)-(609.31323+2036.76254)</f>
        <v>1.0298200000001998</v>
      </c>
      <c r="D47" s="282">
        <f t="shared" si="3"/>
        <v>1201.0470199999982</v>
      </c>
      <c r="E47" s="279">
        <v>36996.332589999998</v>
      </c>
    </row>
    <row r="48" spans="1:5" hidden="1" outlineLevel="1">
      <c r="A48" s="274" t="s">
        <v>125</v>
      </c>
      <c r="B48" s="240">
        <f t="shared" si="2"/>
        <v>1895.536360000001</v>
      </c>
      <c r="C48" s="279">
        <f>(617.03924+2036.76254)-(610.34305+2036.76254)</f>
        <v>6.6961899999996604</v>
      </c>
      <c r="D48" s="282">
        <f t="shared" si="3"/>
        <v>1902.2325500000006</v>
      </c>
      <c r="E48" s="279">
        <v>38898.565139999999</v>
      </c>
    </row>
    <row r="49" spans="1:5" collapsed="1">
      <c r="A49" s="274" t="s">
        <v>126</v>
      </c>
      <c r="B49" s="240">
        <f t="shared" si="2"/>
        <v>3663.8718200000008</v>
      </c>
      <c r="C49" s="279">
        <f>(617.03924+2036.80673)-(617.03924+2036.76254)</f>
        <v>4.419000000007145E-2</v>
      </c>
      <c r="D49" s="282">
        <f t="shared" si="3"/>
        <v>3663.9160100000008</v>
      </c>
      <c r="E49" s="279">
        <v>42562.48115</v>
      </c>
    </row>
    <row r="50" spans="1:5">
      <c r="A50" s="274" t="s">
        <v>127</v>
      </c>
      <c r="B50" s="171">
        <f t="shared" si="2"/>
        <v>717.49001999999791</v>
      </c>
      <c r="C50" s="279">
        <f>(622.20411+2036.80673)-(617.03924+2036.80673)</f>
        <v>5.1648700000000645</v>
      </c>
      <c r="D50" s="282">
        <f t="shared" si="3"/>
        <v>722.65488999999798</v>
      </c>
      <c r="E50" s="279">
        <v>43285.136039999998</v>
      </c>
    </row>
    <row r="51" spans="1:5">
      <c r="A51" s="277" t="s">
        <v>227</v>
      </c>
      <c r="B51" s="240">
        <f t="shared" si="2"/>
        <v>2805.555950000004</v>
      </c>
      <c r="C51" s="279">
        <f>(639.69787+2072.38618)-(622.20411+2036.80673)</f>
        <v>53.073210000000017</v>
      </c>
      <c r="D51" s="282">
        <f t="shared" si="3"/>
        <v>2858.629160000004</v>
      </c>
      <c r="E51" s="279">
        <v>46143.765200000002</v>
      </c>
    </row>
    <row r="52" spans="1:5">
      <c r="A52" s="444" t="s">
        <v>262</v>
      </c>
      <c r="B52" s="275">
        <f t="shared" ref="B52:B63" si="4">D52-C52</f>
        <v>1321.3227399999992</v>
      </c>
      <c r="C52" s="597">
        <f>(647.58197+2072.38618)-(639.69787+2072.38618)</f>
        <v>7.8840999999997621</v>
      </c>
      <c r="D52" s="221">
        <f t="shared" ref="D52:D63" si="5">IF(E52=0,0,E52-E51)</f>
        <v>1329.2068399999989</v>
      </c>
      <c r="E52" s="279">
        <v>47472.972040000001</v>
      </c>
    </row>
    <row r="53" spans="1:5">
      <c r="A53" s="274" t="s">
        <v>119</v>
      </c>
      <c r="B53" s="278">
        <f t="shared" si="4"/>
        <v>1732.463180000002</v>
      </c>
      <c r="C53" s="279">
        <f>(648.83304+2205.88469)-(647.58197+2072.38618)</f>
        <v>134.74958000000015</v>
      </c>
      <c r="D53" s="276">
        <f t="shared" si="5"/>
        <v>1867.2127600000022</v>
      </c>
      <c r="E53" s="279">
        <v>49340.184800000003</v>
      </c>
    </row>
    <row r="54" spans="1:5">
      <c r="A54" s="274" t="s">
        <v>120</v>
      </c>
      <c r="B54" s="275">
        <f t="shared" si="4"/>
        <v>3027.1485799999996</v>
      </c>
      <c r="C54" s="279">
        <f>(655.08121+2212.63211)-(648.83304+2205.88469)</f>
        <v>12.995589999999993</v>
      </c>
      <c r="D54" s="276">
        <f>IF(E54=0,0,E54-E53)</f>
        <v>3040.1441699999996</v>
      </c>
      <c r="E54" s="279">
        <v>52380.328970000002</v>
      </c>
    </row>
    <row r="55" spans="1:5">
      <c r="A55" s="274" t="s">
        <v>121</v>
      </c>
      <c r="B55" s="278">
        <f t="shared" si="4"/>
        <v>1862.576419999994</v>
      </c>
      <c r="C55" s="279">
        <f>(659.36212+2090.07252)-(655.08121+2212.63211)</f>
        <v>-118.27867999999944</v>
      </c>
      <c r="D55" s="276">
        <f>IF(E55=0,0,E55-E54)</f>
        <v>1744.2977399999945</v>
      </c>
      <c r="E55" s="279">
        <v>54124.626709999997</v>
      </c>
    </row>
    <row r="56" spans="1:5" s="187" customFormat="1">
      <c r="A56" s="274" t="s">
        <v>75</v>
      </c>
      <c r="B56" s="278">
        <f>D56-C56</f>
        <v>2815.0577900000021</v>
      </c>
      <c r="C56" s="279">
        <f>(661.26802+2097.05188)-(659.36212+2090.07252)</f>
        <v>8.8852599999995618</v>
      </c>
      <c r="D56" s="276">
        <f>IF(E56=0,0,E56-E55)</f>
        <v>2823.9430500000017</v>
      </c>
      <c r="E56" s="279">
        <v>56948.569759999998</v>
      </c>
    </row>
    <row r="57" spans="1:5">
      <c r="A57" s="274" t="s">
        <v>122</v>
      </c>
      <c r="B57" s="278">
        <f t="shared" si="4"/>
        <v>5519.976279999999</v>
      </c>
      <c r="C57" s="279">
        <f>(680.12081+2102.98295)-(661.26802+2097.05188)</f>
        <v>24.783860000000004</v>
      </c>
      <c r="D57" s="276">
        <f t="shared" si="5"/>
        <v>5544.7601399999985</v>
      </c>
      <c r="E57" s="279">
        <v>62493.329899999997</v>
      </c>
    </row>
    <row r="58" spans="1:5">
      <c r="A58" s="274" t="s">
        <v>123</v>
      </c>
      <c r="B58" s="240">
        <f t="shared" si="4"/>
        <v>4405.4011599999967</v>
      </c>
      <c r="C58" s="279">
        <f>(690.29063+2168.59701)-(680.12081+2102.98295)</f>
        <v>75.783879999999954</v>
      </c>
      <c r="D58" s="276">
        <f t="shared" si="5"/>
        <v>4481.1850399999967</v>
      </c>
      <c r="E58" s="279">
        <v>66974.514939999994</v>
      </c>
    </row>
    <row r="59" spans="1:5">
      <c r="A59" s="274" t="s">
        <v>124</v>
      </c>
      <c r="B59" s="240">
        <f t="shared" si="4"/>
        <v>6387.0930600000083</v>
      </c>
      <c r="C59" s="279">
        <f>(940.39773+2170.01259)-(690.29063+2168.59701)</f>
        <v>251.52268000000004</v>
      </c>
      <c r="D59" s="282">
        <f t="shared" si="5"/>
        <v>6638.6157400000084</v>
      </c>
      <c r="E59" s="279">
        <v>73613.130680000002</v>
      </c>
    </row>
    <row r="60" spans="1:5">
      <c r="A60" s="274" t="s">
        <v>125</v>
      </c>
      <c r="B60" s="240">
        <f t="shared" si="4"/>
        <v>12941.623750000002</v>
      </c>
      <c r="C60" s="241">
        <f>(940.88353+2170.02607)-(940.39773+2170.01259)</f>
        <v>0.49927999999999884</v>
      </c>
      <c r="D60" s="242">
        <f t="shared" si="5"/>
        <v>12942.123030000002</v>
      </c>
      <c r="E60" s="279">
        <v>86555.253710000005</v>
      </c>
    </row>
    <row r="61" spans="1:5">
      <c r="A61" s="274" t="s">
        <v>126</v>
      </c>
      <c r="B61" s="240">
        <f t="shared" si="4"/>
        <v>15733.059049999989</v>
      </c>
      <c r="C61" s="241">
        <f>(959.29797+2170.02607)-(940.88353+2170.02607)</f>
        <v>18.414440000000013</v>
      </c>
      <c r="D61" s="242">
        <f t="shared" si="5"/>
        <v>15751.473489999989</v>
      </c>
      <c r="E61" s="279">
        <v>102306.72719999999</v>
      </c>
    </row>
    <row r="62" spans="1:5">
      <c r="A62" s="274" t="s">
        <v>127</v>
      </c>
      <c r="B62" s="171">
        <f t="shared" si="4"/>
        <v>23540.470200000003</v>
      </c>
      <c r="C62" s="241">
        <f>(971.8702+2179.44264)-(959.29797+2170.02607)</f>
        <v>21.988800000000083</v>
      </c>
      <c r="D62" s="242">
        <f t="shared" si="5"/>
        <v>23562.459000000003</v>
      </c>
      <c r="E62" s="279">
        <v>125869.1862</v>
      </c>
    </row>
    <row r="63" spans="1:5">
      <c r="A63" s="629" t="s">
        <v>263</v>
      </c>
      <c r="B63" s="212">
        <f t="shared" si="4"/>
        <v>25469.006380000013</v>
      </c>
      <c r="C63" s="173">
        <f>(982.89796+2191.26837)-(971.8702+2179.44264)</f>
        <v>22.853489999999965</v>
      </c>
      <c r="D63" s="321">
        <f t="shared" si="5"/>
        <v>25491.859870000015</v>
      </c>
      <c r="E63" s="616">
        <v>151361.04607000001</v>
      </c>
    </row>
    <row r="64" spans="1:5" hidden="1" outlineLevel="1">
      <c r="A64" s="133" t="s">
        <v>115</v>
      </c>
      <c r="B64" s="185">
        <f>SUM(B15:B39)</f>
        <v>16872.328450000001</v>
      </c>
      <c r="C64" s="241">
        <f t="shared" ref="C64" si="6">(690.29063+2168.59701)-(680.12081+2102.98295)</f>
        <v>75.783879999999954</v>
      </c>
      <c r="D64" s="161">
        <f>SUM(D15:D51)</f>
        <v>24423.75647</v>
      </c>
      <c r="E64" s="241">
        <f>SUM(E15:E63)</f>
        <v>2059084.8182999997</v>
      </c>
    </row>
    <row r="65" spans="1:5" collapsed="1">
      <c r="A65" s="133"/>
      <c r="C65" s="172"/>
      <c r="E65" s="172"/>
    </row>
    <row r="66" spans="1:5">
      <c r="A66" s="133"/>
      <c r="C66" s="172"/>
    </row>
    <row r="67" spans="1:5">
      <c r="A67" s="186" t="s">
        <v>163</v>
      </c>
    </row>
    <row r="68" spans="1:5" ht="30" customHeight="1">
      <c r="A68" s="720" t="s">
        <v>164</v>
      </c>
      <c r="B68" s="720"/>
      <c r="C68" s="720"/>
      <c r="D68" s="720"/>
      <c r="E68" s="720"/>
    </row>
  </sheetData>
  <mergeCells count="10">
    <mergeCell ref="A1:E1"/>
    <mergeCell ref="A2:E2"/>
    <mergeCell ref="A3:E3"/>
    <mergeCell ref="A4:E4"/>
    <mergeCell ref="A68:E68"/>
    <mergeCell ref="D13:D14"/>
    <mergeCell ref="E13:E14"/>
    <mergeCell ref="C13:C14"/>
    <mergeCell ref="A13:A14"/>
    <mergeCell ref="B13:B14"/>
  </mergeCells>
  <phoneticPr fontId="4" type="noConversion"/>
  <printOptions horizontalCentered="1"/>
  <pageMargins left="0.75" right="0.64" top="1" bottom="1" header="0.5" footer="0.5"/>
  <pageSetup orientation="portrait" cellComments="asDisplayed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1"/>
  <sheetViews>
    <sheetView view="pageBreakPreview" zoomScaleNormal="100" zoomScaleSheetLayoutView="100" workbookViewId="0">
      <selection activeCell="F31" sqref="F31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3" customWidth="1"/>
  </cols>
  <sheetData>
    <row r="1" spans="1:11" ht="15.75">
      <c r="A1" s="1" t="s">
        <v>314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214</v>
      </c>
      <c r="B6" s="285">
        <f>'DPV2 CWIP Balance'!E33-'DPV2 CWIP Balance'!D33</f>
        <v>31237.243920000001</v>
      </c>
      <c r="C6" s="285">
        <f>-'DPV2 CWIP Balance'!B33</f>
        <v>430.03729000000021</v>
      </c>
      <c r="D6" s="283">
        <f>C6/B6</f>
        <v>1.3766812818100894E-2</v>
      </c>
      <c r="E6" s="285">
        <f>'Def Tax'!C143</f>
        <v>1393.714492261322</v>
      </c>
      <c r="F6" s="285">
        <f>-E6*D6</f>
        <v>-19.187006536836147</v>
      </c>
      <c r="G6" s="285">
        <f>F6+E6</f>
        <v>1374.5274857244858</v>
      </c>
      <c r="H6" s="224"/>
      <c r="I6" s="285">
        <f>'Def Tax'!C62</f>
        <v>4553.5814329123959</v>
      </c>
      <c r="J6" s="285">
        <f>-I6*D6</f>
        <v>-62.688303238884608</v>
      </c>
      <c r="K6" s="285">
        <f>J6+I6</f>
        <v>4490.8931296735109</v>
      </c>
    </row>
    <row r="7" spans="1:11">
      <c r="A7" s="303" t="s">
        <v>220</v>
      </c>
      <c r="B7" s="285">
        <f>'DPV2 CWIP Balance'!E37-'DPV2 CWIP Balance'!D37</f>
        <v>39581.073850000001</v>
      </c>
      <c r="C7" s="285">
        <f>-'DPV2 CWIP Balance'!D37</f>
        <v>1865.0869999999995</v>
      </c>
      <c r="D7" s="283">
        <f>C7/B7</f>
        <v>4.7120677096030822E-2</v>
      </c>
      <c r="E7" s="285">
        <f>'Def Tax'!C151</f>
        <v>1680.6744172384706</v>
      </c>
      <c r="F7" s="285">
        <f>-E7*D7</f>
        <v>-79.194516518253749</v>
      </c>
      <c r="G7" s="285">
        <f>F7+E7</f>
        <v>1601.4799007202168</v>
      </c>
      <c r="H7" s="224"/>
      <c r="I7" s="285">
        <f>'Def Tax'!C70</f>
        <v>5243.6521785436789</v>
      </c>
      <c r="J7" s="285">
        <f>-I7*D7</f>
        <v>-247.08444110905526</v>
      </c>
      <c r="K7" s="285">
        <f>J7+I7</f>
        <v>4996.5677374346233</v>
      </c>
    </row>
    <row r="8" spans="1:11">
      <c r="A8" s="303" t="s">
        <v>221</v>
      </c>
      <c r="B8" s="285">
        <f>'DPV2 CWIP Balance'!E38-'DPV2 CWIP Balance'!D38</f>
        <v>37715.986850000001</v>
      </c>
      <c r="C8" s="285">
        <f>-'DPV2 CWIP Balance'!D38</f>
        <v>2133.2712299999985</v>
      </c>
      <c r="D8" s="283">
        <f>C8/B8</f>
        <v>5.6561458632494947E-2</v>
      </c>
      <c r="E8" s="285">
        <f>'Def Tax'!C155</f>
        <v>1683.7387348554325</v>
      </c>
      <c r="F8" s="285">
        <f>-E8*D8</f>
        <v>-95.234718799454924</v>
      </c>
      <c r="G8" s="285">
        <f>F8+E8</f>
        <v>1588.5040160559777</v>
      </c>
      <c r="H8" s="224"/>
      <c r="I8" s="285">
        <f>'Def Tax'!C74</f>
        <v>5198.8270951834547</v>
      </c>
      <c r="J8" s="285">
        <f>-I8*D8</f>
        <v>-294.05324368171284</v>
      </c>
      <c r="K8" s="285">
        <f>J8+I8</f>
        <v>4904.7738515017418</v>
      </c>
    </row>
    <row r="9" spans="1:11">
      <c r="A9" s="605">
        <v>40330</v>
      </c>
      <c r="B9" s="611">
        <f>'DPV2 CWIP Balance'!E45-'DPV2 CWIP Balance'!D45</f>
        <v>41941.292679999999</v>
      </c>
      <c r="C9" s="611">
        <f>-'DPV2 CWIP Balance'!B45-'DPV2 CWIP Balance'!C45</f>
        <v>7081.623679999997</v>
      </c>
      <c r="D9" s="612">
        <f>C9/B9</f>
        <v>0.16884609957138777</v>
      </c>
      <c r="E9" s="611">
        <f>'Def Tax'!C168</f>
        <v>2200.1985707534209</v>
      </c>
      <c r="F9" s="611">
        <f>-E9*D9</f>
        <v>-371.49494695425716</v>
      </c>
      <c r="G9" s="611">
        <f>F9+E9</f>
        <v>1828.7036237991638</v>
      </c>
      <c r="H9" s="611"/>
      <c r="I9" s="611">
        <f>'Def Tax'!C87</f>
        <v>6407.205131958598</v>
      </c>
      <c r="J9" s="611">
        <f>-I9*D9</f>
        <v>-1081.8315956849881</v>
      </c>
      <c r="K9" s="611">
        <f>J9+I9</f>
        <v>5325.3735362736097</v>
      </c>
    </row>
    <row r="10" spans="1:11">
      <c r="A10" s="605">
        <v>40634</v>
      </c>
      <c r="B10" s="611">
        <f>'DPV2 CWIP Balance'!E55-'DPV2 CWIP Balance'!C55</f>
        <v>54242.90539</v>
      </c>
      <c r="C10" s="611">
        <f>-'DPV2 CWIP Balance'!C55</f>
        <v>118.27867999999944</v>
      </c>
      <c r="D10" s="612">
        <f>C10/B10</f>
        <v>2.1805373283305877E-3</v>
      </c>
      <c r="E10" s="611">
        <f>'Def Tax'!C184</f>
        <v>3171.0141329625394</v>
      </c>
      <c r="F10" s="611">
        <f>-E10*D10</f>
        <v>-6.9145146855886708</v>
      </c>
      <c r="G10" s="611">
        <f>F10+E10</f>
        <v>3164.0996182769509</v>
      </c>
      <c r="H10" s="611"/>
      <c r="I10" s="611">
        <f>'Def Tax'!C104</f>
        <v>7708.9606575723037</v>
      </c>
      <c r="J10" s="611">
        <f>-I10*D10</f>
        <v>-16.809676476468322</v>
      </c>
      <c r="K10" s="611">
        <f>J10+I10</f>
        <v>7692.150981095835</v>
      </c>
    </row>
    <row r="11" spans="1:11" s="355" customFormat="1">
      <c r="A11" s="601"/>
      <c r="B11" s="602"/>
      <c r="C11" s="602"/>
      <c r="D11" s="603"/>
      <c r="E11" s="602"/>
      <c r="F11" s="604"/>
      <c r="G11" s="604"/>
      <c r="H11" s="604"/>
      <c r="I11" s="602"/>
      <c r="J11" s="604"/>
      <c r="K11" s="604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204718.50268999999</v>
      </c>
      <c r="C13" s="293">
        <f>SUM(C6:C12)</f>
        <v>11628.297879999995</v>
      </c>
      <c r="D13" s="294"/>
      <c r="E13" s="293">
        <f>SUM(E6:E12)</f>
        <v>10129.340348071186</v>
      </c>
      <c r="F13" s="293">
        <f>SUM(F6:F12)</f>
        <v>-572.02570349439065</v>
      </c>
      <c r="G13" s="293">
        <f>SUM(G6:G12)</f>
        <v>9557.3146445767943</v>
      </c>
      <c r="H13" s="295"/>
      <c r="I13" s="293">
        <f>SUM(I6:I12)</f>
        <v>29112.226496170431</v>
      </c>
      <c r="J13" s="293">
        <f>SUM(J6:J12)</f>
        <v>-1702.4672601911091</v>
      </c>
      <c r="K13" s="293">
        <f>SUM(K6:K12)</f>
        <v>27409.759235979316</v>
      </c>
    </row>
    <row r="14" spans="1:11" ht="13.5" thickTop="1"/>
    <row r="16" spans="1:11">
      <c r="I16" s="727" t="s">
        <v>315</v>
      </c>
      <c r="J16" s="727"/>
      <c r="K16" s="727"/>
    </row>
    <row r="17" spans="7:11">
      <c r="I17" s="606" t="s">
        <v>310</v>
      </c>
      <c r="J17" s="606" t="s">
        <v>311</v>
      </c>
      <c r="K17" s="606" t="s">
        <v>115</v>
      </c>
    </row>
    <row r="19" spans="7:11">
      <c r="G19" s="287" t="s">
        <v>214</v>
      </c>
      <c r="I19" s="245">
        <v>0</v>
      </c>
      <c r="J19" s="245">
        <f>1-I19</f>
        <v>1</v>
      </c>
      <c r="K19" s="610">
        <f>-J6*1000</f>
        <v>62688.303238884604</v>
      </c>
    </row>
    <row r="20" spans="7:11">
      <c r="G20" s="303" t="s">
        <v>220</v>
      </c>
      <c r="I20" s="245">
        <v>0</v>
      </c>
      <c r="J20" s="245">
        <f t="shared" ref="J20:J23" si="0">1-I20</f>
        <v>1</v>
      </c>
      <c r="K20" s="610">
        <f>-J7*1000</f>
        <v>247084.44110905527</v>
      </c>
    </row>
    <row r="21" spans="7:11">
      <c r="G21" s="303" t="s">
        <v>221</v>
      </c>
      <c r="I21" s="245">
        <v>0</v>
      </c>
      <c r="J21" s="245">
        <f t="shared" si="0"/>
        <v>1</v>
      </c>
      <c r="K21" s="610">
        <f>-J8*1000</f>
        <v>294053.24368171283</v>
      </c>
    </row>
    <row r="22" spans="7:11">
      <c r="G22" s="605">
        <v>40330</v>
      </c>
      <c r="I22" s="245">
        <f>'DPV2 CWIP Balance'!C45/'DPV2 CWIP Balance'!D45</f>
        <v>3.1710767212075323E-2</v>
      </c>
      <c r="J22" s="245">
        <f t="shared" si="0"/>
        <v>0.96828923278792467</v>
      </c>
      <c r="K22" s="610">
        <f>-J9*1000</f>
        <v>1081831.5956849882</v>
      </c>
    </row>
    <row r="23" spans="7:11">
      <c r="G23" s="605">
        <v>40634</v>
      </c>
      <c r="I23" s="245">
        <v>1</v>
      </c>
      <c r="J23" s="245">
        <f t="shared" si="0"/>
        <v>0</v>
      </c>
      <c r="K23" s="610">
        <f>-J10*1000</f>
        <v>16809.676476468321</v>
      </c>
    </row>
    <row r="25" spans="7:11">
      <c r="G25" s="287" t="s">
        <v>214</v>
      </c>
      <c r="I25" s="610">
        <f>I19*$K19</f>
        <v>0</v>
      </c>
      <c r="J25" s="610">
        <f>J19*$K19</f>
        <v>62688.303238884604</v>
      </c>
      <c r="K25" s="610">
        <f>SUM(I25:J25)</f>
        <v>62688.303238884604</v>
      </c>
    </row>
    <row r="26" spans="7:11">
      <c r="G26" s="303" t="s">
        <v>220</v>
      </c>
      <c r="I26" s="610">
        <f t="shared" ref="I26:J26" si="1">I20*$K20</f>
        <v>0</v>
      </c>
      <c r="J26" s="610">
        <f t="shared" si="1"/>
        <v>247084.44110905527</v>
      </c>
      <c r="K26" s="610">
        <f t="shared" ref="K26:K29" si="2">SUM(I26:J26)</f>
        <v>247084.44110905527</v>
      </c>
    </row>
    <row r="27" spans="7:11">
      <c r="G27" s="303" t="s">
        <v>221</v>
      </c>
      <c r="I27" s="610">
        <f t="shared" ref="I27:J27" si="3">I21*$K21</f>
        <v>0</v>
      </c>
      <c r="J27" s="610">
        <f t="shared" si="3"/>
        <v>294053.24368171283</v>
      </c>
      <c r="K27" s="610">
        <f t="shared" si="2"/>
        <v>294053.24368171283</v>
      </c>
    </row>
    <row r="28" spans="7:11">
      <c r="G28" s="605">
        <v>40330</v>
      </c>
      <c r="I28" s="610">
        <f t="shared" ref="I28:J28" si="4">I22*$K22</f>
        <v>34305.70989343465</v>
      </c>
      <c r="J28" s="610">
        <f t="shared" si="4"/>
        <v>1047525.8857915535</v>
      </c>
      <c r="K28" s="610">
        <f t="shared" si="2"/>
        <v>1081831.5956849882</v>
      </c>
    </row>
    <row r="29" spans="7:11">
      <c r="G29" s="605">
        <v>40634</v>
      </c>
      <c r="I29" s="613">
        <f t="shared" ref="I29:J29" si="5">I23*$K23</f>
        <v>16809.676476468321</v>
      </c>
      <c r="J29" s="613">
        <f t="shared" si="5"/>
        <v>0</v>
      </c>
      <c r="K29" s="613">
        <f t="shared" si="2"/>
        <v>16809.676476468321</v>
      </c>
    </row>
    <row r="31" spans="7:11" ht="13.5" thickBot="1">
      <c r="G31" s="615" t="s">
        <v>316</v>
      </c>
      <c r="I31" s="614">
        <f>SUM(I25:I30)</f>
        <v>51115.386369902975</v>
      </c>
      <c r="J31" s="614">
        <f t="shared" ref="J31:K31" si="6">SUM(J25:J30)</f>
        <v>1651351.8738212064</v>
      </c>
      <c r="K31" s="614">
        <f t="shared" si="6"/>
        <v>1702467.2601911093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&amp;RAttachment 4
WP-Schedule 3
CWIP Balancing Acct 12-31-11 Balance
&amp;P of &amp;N</oddHead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 enableFormatConditionsCalculation="0">
    <tabColor indexed="42"/>
    <pageSetUpPr fitToPage="1"/>
  </sheetPr>
  <dimension ref="A1:K68"/>
  <sheetViews>
    <sheetView view="pageBreakPreview" zoomScaleNormal="100" zoomScaleSheetLayoutView="100" workbookViewId="0">
      <selection activeCell="B51" sqref="B51"/>
    </sheetView>
  </sheetViews>
  <sheetFormatPr defaultColWidth="11.42578125" defaultRowHeight="15" outlineLevelRow="2"/>
  <cols>
    <col min="1" max="1" width="11.42578125" style="123" customWidth="1"/>
    <col min="2" max="2" width="14.7109375" style="123" customWidth="1"/>
    <col min="3" max="3" width="14.28515625" style="123" customWidth="1"/>
    <col min="4" max="4" width="14.7109375" style="218" customWidth="1"/>
    <col min="5" max="5" width="16.140625" style="123" bestFit="1" customWidth="1"/>
    <col min="6" max="8" width="11.42578125" style="123" customWidth="1"/>
    <col min="9" max="9" width="6.85546875" style="123" customWidth="1"/>
    <col min="10" max="16384" width="11.42578125" style="123"/>
  </cols>
  <sheetData>
    <row r="1" spans="1:5" ht="15.75">
      <c r="A1" s="714" t="s">
        <v>0</v>
      </c>
      <c r="B1" s="714"/>
      <c r="C1" s="714"/>
      <c r="D1" s="714"/>
      <c r="E1" s="714"/>
    </row>
    <row r="2" spans="1:5" ht="15.75">
      <c r="A2" s="715" t="s">
        <v>149</v>
      </c>
      <c r="B2" s="728"/>
      <c r="C2" s="728"/>
      <c r="D2" s="728"/>
      <c r="E2" s="728"/>
    </row>
    <row r="3" spans="1: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129</v>
      </c>
      <c r="B8" s="126"/>
      <c r="C8" s="182"/>
      <c r="D8" s="217"/>
      <c r="E8" s="183"/>
    </row>
    <row r="9" spans="1:5">
      <c r="A9" s="123" t="s">
        <v>130</v>
      </c>
      <c r="B9" s="126"/>
      <c r="C9" s="182"/>
      <c r="D9" s="217"/>
      <c r="E9" s="183"/>
    </row>
    <row r="10" spans="1:5">
      <c r="A10" s="123" t="s">
        <v>131</v>
      </c>
      <c r="B10" s="126"/>
      <c r="C10" s="182"/>
      <c r="D10" s="217"/>
      <c r="E10" s="184"/>
    </row>
    <row r="11" spans="1:5">
      <c r="B11" s="126"/>
      <c r="C11" s="182"/>
      <c r="D11" s="217"/>
      <c r="E11" s="184"/>
    </row>
    <row r="13" spans="1:5" ht="48" customHeight="1">
      <c r="A13" s="729" t="s">
        <v>114</v>
      </c>
      <c r="B13" s="725" t="s">
        <v>161</v>
      </c>
      <c r="C13" s="725" t="s">
        <v>162</v>
      </c>
      <c r="D13" s="731" t="s">
        <v>115</v>
      </c>
      <c r="E13" s="729" t="s">
        <v>116</v>
      </c>
    </row>
    <row r="14" spans="1:5">
      <c r="A14" s="730"/>
      <c r="B14" s="726"/>
      <c r="C14" s="722"/>
      <c r="D14" s="732"/>
      <c r="E14" s="730"/>
    </row>
    <row r="15" spans="1:5" hidden="1" outlineLevel="2">
      <c r="A15" s="130" t="s">
        <v>117</v>
      </c>
      <c r="B15" s="132"/>
      <c r="C15" s="131"/>
      <c r="D15" s="171"/>
      <c r="E15" s="161">
        <v>0</v>
      </c>
    </row>
    <row r="16" spans="1:5" hidden="1" outlineLevel="2">
      <c r="A16" s="130" t="s">
        <v>118</v>
      </c>
      <c r="B16" s="172"/>
      <c r="C16" s="172"/>
      <c r="D16" s="185"/>
      <c r="E16" s="161">
        <v>0</v>
      </c>
    </row>
    <row r="17" spans="1:11" hidden="1" outlineLevel="2">
      <c r="A17" s="274" t="s">
        <v>119</v>
      </c>
      <c r="B17" s="221"/>
      <c r="C17" s="221"/>
      <c r="D17" s="276"/>
      <c r="E17" s="221">
        <v>52521.812230000003</v>
      </c>
      <c r="K17" s="130"/>
    </row>
    <row r="18" spans="1:11" hidden="1" outlineLevel="2">
      <c r="A18" s="274" t="s">
        <v>120</v>
      </c>
      <c r="B18" s="276">
        <f>D18-C18</f>
        <v>6958.6236899999931</v>
      </c>
      <c r="C18" s="221">
        <f>(4184.44968+1025.4843+1099.49299+0.01+0+0+0+0+0)-(2893.42961+909.41238+960.76722)</f>
        <v>1545.8277600000001</v>
      </c>
      <c r="D18" s="276">
        <f>IF(E18=0,0,E18-E17)</f>
        <v>8504.4514499999932</v>
      </c>
      <c r="E18" s="221">
        <v>61026.263679999996</v>
      </c>
    </row>
    <row r="19" spans="1:11" hidden="1" outlineLevel="2">
      <c r="A19" s="274" t="s">
        <v>121</v>
      </c>
      <c r="B19" s="276">
        <f>D19-C19</f>
        <v>6570.1229800000092</v>
      </c>
      <c r="C19" s="221">
        <f>(5633.09155+1127.70353+1243.67845+0.01+0+0+0+0+0)-(4184.44968+1025.4843+1099.49299+0.01+0+0+0+0+0)</f>
        <v>1695.0465600000007</v>
      </c>
      <c r="D19" s="276">
        <f>IF(E19=0,0,E19-E18)</f>
        <v>8265.1695400000099</v>
      </c>
      <c r="E19" s="221">
        <v>69291.433220000006</v>
      </c>
    </row>
    <row r="20" spans="1:11" hidden="1" outlineLevel="2">
      <c r="A20" s="274" t="s">
        <v>75</v>
      </c>
      <c r="B20" s="276">
        <f t="shared" ref="B20:B39" si="0">D20-C20</f>
        <v>8250.2210799999884</v>
      </c>
      <c r="C20" s="221">
        <f>(8395.93149+1193.59346+1746.43573+0.01+0+0+0+0+0)-(5633.09155+1127.70353+1243.67845+0.01+0+0+0+0+0)</f>
        <v>3331.4871499999999</v>
      </c>
      <c r="D20" s="276">
        <f t="shared" ref="D20:D51" si="1">IF(E20=0,0,E20-E19)</f>
        <v>11581.708229999989</v>
      </c>
      <c r="E20" s="221">
        <v>80873.141449999996</v>
      </c>
    </row>
    <row r="21" spans="1:11" hidden="1" outlineLevel="2">
      <c r="A21" s="274" t="s">
        <v>122</v>
      </c>
      <c r="B21" s="276">
        <f t="shared" si="0"/>
        <v>14460.992170000007</v>
      </c>
      <c r="C21" s="221">
        <f>(9785.81479+4213.64122+2907.64685+0.01+0+0+0+0+0)-(8395.93149+1193.59346+1746.43573+0.01+0+0+0+0+0)</f>
        <v>5571.1421800000007</v>
      </c>
      <c r="D21" s="276">
        <f t="shared" si="1"/>
        <v>20032.134350000008</v>
      </c>
      <c r="E21" s="221">
        <v>100905.2758</v>
      </c>
    </row>
    <row r="22" spans="1:11" hidden="1" outlineLevel="2">
      <c r="A22" s="274" t="s">
        <v>123</v>
      </c>
      <c r="B22" s="276">
        <f t="shared" si="0"/>
        <v>11827.113930000007</v>
      </c>
      <c r="C22" s="221">
        <f>(9793.90323+4234.42111+3921.76974+0.01+0+0+0+0+0)-(9785.81479+4213.64122+2907.64685+0.01+0+0+0+0+0)</f>
        <v>1042.9912199999962</v>
      </c>
      <c r="D22" s="276">
        <f t="shared" si="1"/>
        <v>12870.105150000003</v>
      </c>
      <c r="E22" s="221">
        <v>113775.38095000001</v>
      </c>
    </row>
    <row r="23" spans="1:11" hidden="1" outlineLevel="2">
      <c r="A23" s="274" t="s">
        <v>124</v>
      </c>
      <c r="B23" s="276">
        <f t="shared" si="0"/>
        <v>16677.310890000004</v>
      </c>
      <c r="C23" s="221">
        <f>(9904.24129+4601.29007+7911.91501+5.97988+0+0+0+0+0)-(9793.90323+4234.42111+3921.76974+0.01+0+0+0+0+0)</f>
        <v>4473.3221700000031</v>
      </c>
      <c r="D23" s="276">
        <f t="shared" si="1"/>
        <v>21150.633060000007</v>
      </c>
      <c r="E23" s="221">
        <v>134926.01401000001</v>
      </c>
    </row>
    <row r="24" spans="1:11" hidden="1" outlineLevel="2">
      <c r="A24" s="274" t="s">
        <v>125</v>
      </c>
      <c r="B24" s="276">
        <f t="shared" si="0"/>
        <v>6924.1694099999768</v>
      </c>
      <c r="C24" s="221">
        <f>(10011.19573+4867.98486+9059.91901+128.81708+0+0+0+0+0)-(9904.24129+4601.29007+7911.91501+5.97988+0+0+0+0+0)</f>
        <v>1644.4904300000017</v>
      </c>
      <c r="D24" s="276">
        <f t="shared" si="1"/>
        <v>8568.6598399999784</v>
      </c>
      <c r="E24" s="221">
        <v>143494.67384999999</v>
      </c>
    </row>
    <row r="25" spans="1:11" hidden="1" outlineLevel="2">
      <c r="A25" s="274" t="s">
        <v>126</v>
      </c>
      <c r="B25" s="276">
        <f t="shared" si="0"/>
        <v>22366.404780000019</v>
      </c>
      <c r="C25" s="221">
        <f>(10070.38+6610.63214+10282.96277+259.706)-(10011.19573+4867.98486+9059.91901+128.81708+0+0+0+0+0)</f>
        <v>3155.7642299999934</v>
      </c>
      <c r="D25" s="276">
        <f t="shared" si="1"/>
        <v>25522.169010000012</v>
      </c>
      <c r="E25" s="221">
        <v>169016.84286</v>
      </c>
    </row>
    <row r="26" spans="1:11" hidden="1" outlineLevel="2">
      <c r="A26" s="274" t="s">
        <v>127</v>
      </c>
      <c r="B26" s="276">
        <f t="shared" si="0"/>
        <v>6655.6529099999971</v>
      </c>
      <c r="C26" s="221">
        <f>(10076.2078+6643.68004+10545.6342+369.57758+0+0+0+0+0)-(10070.38+6610.63214+10282.96277+259.706+0+0+0+0+0)</f>
        <v>411.41871000000538</v>
      </c>
      <c r="D26" s="276">
        <f t="shared" si="1"/>
        <v>7067.0716200000024</v>
      </c>
      <c r="E26" s="221">
        <v>176083.91448000001</v>
      </c>
    </row>
    <row r="27" spans="1:11" hidden="1" outlineLevel="2">
      <c r="A27" s="277" t="s">
        <v>128</v>
      </c>
      <c r="B27" s="280">
        <f t="shared" si="0"/>
        <v>30250.948959999994</v>
      </c>
      <c r="C27" s="279">
        <f>(10133.09119+11066.07224+11089.60471+420.93056+0.4472+2.08548+0+1.93882+57.5935)-(10076.2078+6643.68004+10545.6342+369.57758+0+0+0+0+0)</f>
        <v>5136.6640800000023</v>
      </c>
      <c r="D27" s="280">
        <f t="shared" si="1"/>
        <v>35387.613039999997</v>
      </c>
      <c r="E27" s="279">
        <v>211471.52752</v>
      </c>
    </row>
    <row r="28" spans="1:11" hidden="1" outlineLevel="2">
      <c r="A28" s="274" t="s">
        <v>189</v>
      </c>
      <c r="B28" s="276">
        <f t="shared" si="0"/>
        <v>2788.1241699999809</v>
      </c>
      <c r="C28" s="279">
        <f>(10167.24318+12381.49921+11383.76046+472.73305+9.35803+4.71663+0+11.1264+119.92845)-(10133.09119+11066.07224+11089.60471+420.93056+0.4472+2.08548+0+1.93882+57.5935)</f>
        <v>1778.6017100000026</v>
      </c>
      <c r="D28" s="276">
        <f t="shared" si="1"/>
        <v>4566.7258799999836</v>
      </c>
      <c r="E28" s="630">
        <v>216038.25339999999</v>
      </c>
      <c r="F28" s="239"/>
      <c r="G28" s="262"/>
    </row>
    <row r="29" spans="1:11" hidden="1" outlineLevel="2">
      <c r="A29" s="274" t="s">
        <v>119</v>
      </c>
      <c r="B29" s="276">
        <f t="shared" si="0"/>
        <v>1793.5709700000079</v>
      </c>
      <c r="C29" s="279">
        <f>(10172.90566+12533.88143+11841.07401+538.27068+69.85379+21.11019+0+51.78532+254.05624)-(10167.24318+12381.49921+11383.76046+472.73305+9.35803+4.71663+0+11.1264+119.92845)</f>
        <v>932.57190999999148</v>
      </c>
      <c r="D29" s="276">
        <f t="shared" si="1"/>
        <v>2726.1428799999994</v>
      </c>
      <c r="E29" s="630">
        <v>218764.39627999999</v>
      </c>
      <c r="F29" s="239"/>
    </row>
    <row r="30" spans="1:11" hidden="1" outlineLevel="2">
      <c r="A30" s="274" t="s">
        <v>120</v>
      </c>
      <c r="B30" s="280">
        <f t="shared" si="0"/>
        <v>18320.602299999999</v>
      </c>
      <c r="C30" s="279">
        <f>(10387.26254+12624.77439+11980.02954+655.78126+81.85826+63.20043+0+60.48858+350.03644+224.6498+215.90308+42.57956)-(10172.90566+12533.88143+11841.07401+538.27068+69.85379+21.11019+0+51.78532+254.05624)</f>
        <v>1203.6265600000042</v>
      </c>
      <c r="D30" s="280">
        <f t="shared" si="1"/>
        <v>19524.228860000003</v>
      </c>
      <c r="E30" s="630">
        <v>238288.62513999999</v>
      </c>
      <c r="F30" s="239"/>
    </row>
    <row r="31" spans="1:11" hidden="1" outlineLevel="2">
      <c r="A31" s="274" t="s">
        <v>121</v>
      </c>
      <c r="B31" s="276">
        <f t="shared" si="0"/>
        <v>19619.286690000001</v>
      </c>
      <c r="C31" s="279">
        <f>((10394.70356+12734.84902+12102.97272+835.21913+145.3361+169.47252+0+75.63996+401.44977+345.46655+432.18615+181.72673)-(10387.26254+12624.77439+11980.02954+655.78126+81.85826+63.20043+0+60.48858+350.03644+224.6498+215.90308+42.57956))</f>
        <v>1132.4583300000013</v>
      </c>
      <c r="D31" s="276">
        <f t="shared" si="1"/>
        <v>20751.745020000002</v>
      </c>
      <c r="E31" s="630">
        <v>259040.37015999999</v>
      </c>
      <c r="F31" s="239"/>
    </row>
    <row r="32" spans="1:11" hidden="1" outlineLevel="2">
      <c r="A32" s="274" t="s">
        <v>75</v>
      </c>
      <c r="B32" s="276">
        <f t="shared" si="0"/>
        <v>29252.000420000033</v>
      </c>
      <c r="C32" s="279">
        <f>(10588.38939+10380.24665+11828.99764+1088.76543+164.13917+186.10438+0+88.59976+457.13721+471.37798+482.69459+197.23471)-(10394.70356+12734.84902+12102.97272+835.21913+145.3361+169.47252+0+75.63996+401.44977+345.46655+432.18615+181.72673)</f>
        <v>-1885.3353000000134</v>
      </c>
      <c r="D32" s="276">
        <f t="shared" si="1"/>
        <v>27366.66512000002</v>
      </c>
      <c r="E32" s="630">
        <v>286407.03528000001</v>
      </c>
      <c r="F32" s="239"/>
    </row>
    <row r="33" spans="1:6" hidden="1" outlineLevel="2">
      <c r="A33" s="274" t="s">
        <v>122</v>
      </c>
      <c r="B33" s="280">
        <f t="shared" si="0"/>
        <v>24809.795389999999</v>
      </c>
      <c r="C33" s="279">
        <f>(10582.97183+10389.35695+12538.55876+1143.06025+182.04156+305.442+117.49044+614.81725+518.17465+525.38531+313.66158)-(10588.38939+10380.24665+11828.99764+1088.76543+164.13917+186.10438+0+88.59976+457.13721+471.37798+482.69459+197.23471)</f>
        <v>1297.2736700000096</v>
      </c>
      <c r="D33" s="280">
        <f t="shared" si="1"/>
        <v>26107.069060000009</v>
      </c>
      <c r="E33" s="630">
        <v>312514.10434000002</v>
      </c>
      <c r="F33" s="239"/>
    </row>
    <row r="34" spans="1:6" hidden="1" outlineLevel="2">
      <c r="A34" s="274" t="s">
        <v>123</v>
      </c>
      <c r="B34" s="276">
        <f t="shared" si="0"/>
        <v>24884.10080999996</v>
      </c>
      <c r="C34" s="279">
        <f>(10603.3403+10541.09285+12686.8796+1266.33673+219.42139+310.518+128.95488+675.93869+547.98521+642.24633+328.18633)-(10582.97183+10389.35695+12538.55876+1143.06025+182.04156+305.442+0+117.49044+614.81725+518.17465+525.38531+313.66158)</f>
        <v>719.93972999999824</v>
      </c>
      <c r="D34" s="276">
        <f t="shared" si="1"/>
        <v>25604.040539999958</v>
      </c>
      <c r="E34" s="630">
        <v>338118.14487999998</v>
      </c>
      <c r="F34" s="239"/>
    </row>
    <row r="35" spans="1:6" hidden="1" outlineLevel="2">
      <c r="A35" s="274" t="s">
        <v>124</v>
      </c>
      <c r="B35" s="276">
        <f t="shared" si="0"/>
        <v>7146.969400000009</v>
      </c>
      <c r="C35" s="279">
        <f>(10604.65345+10557.73448+12934.55335+1638.80379+258.79056+323.1752+0+157.9516+718.91119+627.37135+766.4616+363.51698)-(10603.3403+10541.09285+12686.8796+1266.33673+219.42139+310.518+0+128.95488+675.93869+547.98521+642.24633+328.18633)</f>
        <v>1001.0232400000023</v>
      </c>
      <c r="D35" s="276">
        <f t="shared" si="1"/>
        <v>8147.9926400000113</v>
      </c>
      <c r="E35" s="630">
        <v>346266.13751999999</v>
      </c>
      <c r="F35" s="239"/>
    </row>
    <row r="36" spans="1:6" hidden="1" outlineLevel="2">
      <c r="A36" s="274" t="s">
        <v>125</v>
      </c>
      <c r="B36" s="280">
        <f t="shared" si="0"/>
        <v>18452.884199999986</v>
      </c>
      <c r="C36" s="279">
        <f>(10670.10791+10593.40658+14106.60003+2539.30594+305.47892+334.39712+250.96895+759.60535+734.9581+1178.99242+489.62457)-(10604.65345+10557.73448+12934.55335+1638.80379+258.79056+323.1752+0+157.9516+718.91119+627.37135+766.4616+363.51698)</f>
        <v>3011.5223400000104</v>
      </c>
      <c r="D36" s="280">
        <f t="shared" si="1"/>
        <v>21464.406539999996</v>
      </c>
      <c r="E36" s="630">
        <v>367730.54405999999</v>
      </c>
      <c r="F36" s="239"/>
    </row>
    <row r="37" spans="1:6" hidden="1" outlineLevel="2">
      <c r="A37" s="274" t="s">
        <v>126</v>
      </c>
      <c r="B37" s="276">
        <f t="shared" si="0"/>
        <v>-116072.92635999998</v>
      </c>
      <c r="C37" s="279">
        <f>(0+11400.29005+15845.4158+2867.29075+311.07875+345.2105+294.60459+829.88568+775.84799+1440.07037+512.04607)-(10670.10791+10593.40658+14106.60003+2539.30594+305.47892+334.39712+0+250.96895+759.60535+734.9581+1178.99242+489.62457)</f>
        <v>-7341.705340000015</v>
      </c>
      <c r="D37" s="276">
        <f t="shared" si="1"/>
        <v>-123414.6317</v>
      </c>
      <c r="E37" s="630">
        <v>244315.91235999999</v>
      </c>
      <c r="F37" s="239"/>
    </row>
    <row r="38" spans="1:6" hidden="1" outlineLevel="2">
      <c r="A38" s="274" t="s">
        <v>127</v>
      </c>
      <c r="B38" s="276">
        <f t="shared" si="0"/>
        <v>-68000.854929999972</v>
      </c>
      <c r="C38" s="279">
        <f>(0+0+15916.36487+3552.96671+315.32528+353.07552+320.86715+861.9002+831.28025+1742.97155+520.74833)-(0+11400.29005+15845.4158+2867.29075+311.07875+345.2105+0+294.60459+829.88568+775.84799+1440.07037+512.04607)</f>
        <v>-10206.240690000002</v>
      </c>
      <c r="D38" s="276">
        <f t="shared" si="1"/>
        <v>-78207.095619999978</v>
      </c>
      <c r="E38" s="630">
        <v>166108.81674000001</v>
      </c>
      <c r="F38" s="239"/>
    </row>
    <row r="39" spans="1:6" hidden="1" outlineLevel="1">
      <c r="A39" s="277" t="s">
        <v>190</v>
      </c>
      <c r="B39" s="280">
        <f t="shared" si="0"/>
        <v>-63472.760250000021</v>
      </c>
      <c r="C39" s="279">
        <f>(0+0+16476.17085+4661.01307+374.08008+370.82897+0+364.00241+2209.2744+1894.25353+3140.79992+544.78096)-(0+0+15916.36487+3552.96671+315.32528+353.07552+0+320.86715+861.9002+831.28025+1742.97155+520.74833)</f>
        <v>5619.7043300000041</v>
      </c>
      <c r="D39" s="280">
        <f t="shared" si="1"/>
        <v>-57853.055920000013</v>
      </c>
      <c r="E39" s="635">
        <v>108255.76082</v>
      </c>
      <c r="F39" s="239"/>
    </row>
    <row r="40" spans="1:6" hidden="1" outlineLevel="1">
      <c r="A40" s="274" t="s">
        <v>226</v>
      </c>
      <c r="B40" s="276">
        <f t="shared" ref="B40:B51" si="2">D40-C40</f>
        <v>8350.2428700000019</v>
      </c>
      <c r="C40" s="279">
        <f>(0+0+17133.73685+6361.33324+431.09295+386.95637+0+431.11422+2260.56001+2532.33571+3758.73413+557.00066)-(0+0+16476.17085+4661.01307+374.08008+370.82897+0+364.00241+2209.2744+1894.25353+3140.79992+544.78096)</f>
        <v>3817.6599500000011</v>
      </c>
      <c r="D40" s="276">
        <f t="shared" si="1"/>
        <v>12167.902820000003</v>
      </c>
      <c r="E40" s="635">
        <v>120423.66364</v>
      </c>
    </row>
    <row r="41" spans="1:6" hidden="1" outlineLevel="1">
      <c r="A41" s="274" t="s">
        <v>119</v>
      </c>
      <c r="B41" s="276">
        <f t="shared" si="2"/>
        <v>17454.864139999998</v>
      </c>
      <c r="C41" s="279">
        <f>(0+0+17501.30703+6897.95489+589.79418+421.7925+456.04017+3174.67242+3040.74585+5428.80378+580.86949)-(0+0+17133.73685+6361.33324+431.09295+386.95637+0+431.11422+2260.56001+2532.33571+3758.73413+557.00066)</f>
        <v>4239.1161700000011</v>
      </c>
      <c r="D41" s="280">
        <f t="shared" si="1"/>
        <v>21693.980309999999</v>
      </c>
      <c r="E41" s="630">
        <v>142117.64395</v>
      </c>
    </row>
    <row r="42" spans="1:6" hidden="1" outlineLevel="1">
      <c r="A42" s="274" t="s">
        <v>120</v>
      </c>
      <c r="B42" s="280">
        <f t="shared" si="2"/>
        <v>12041.31097999998</v>
      </c>
      <c r="C42" s="279">
        <f>(0+0+7.03798+18399.59527+7598.80313+633.42177+436.31046+0+505.77267+3333.55816+3596.75464+6095.40082+591.77197)-(0+0+17501.30703+6897.95489+589.79418+421.7925+456.04017+3174.67242+3040.74585+5428.80378+580.86949)</f>
        <v>3106.4465600000112</v>
      </c>
      <c r="D42" s="276">
        <f t="shared" si="1"/>
        <v>15147.757539999991</v>
      </c>
      <c r="E42" s="630">
        <v>157265.40148999999</v>
      </c>
    </row>
    <row r="43" spans="1:6" hidden="1" outlineLevel="1">
      <c r="A43" s="274" t="s">
        <v>121</v>
      </c>
      <c r="B43" s="276">
        <f t="shared" si="2"/>
        <v>22024.629560000023</v>
      </c>
      <c r="C43" s="279">
        <f>(0+0+20.83116+19572.72343+8212.18664+652.78774+478.89549+0+576.22527+6377.78079+3709.21704+6548.68634+609.58011)-(0+0+7.03798+18399.59527+7598.80313+633.42177+436.31046+0+505.77267+3333.55816+3596.75464+6095.40082+591.77197)</f>
        <v>5560.4871399999902</v>
      </c>
      <c r="D43" s="280">
        <f t="shared" si="1"/>
        <v>27585.116700000013</v>
      </c>
      <c r="E43" s="630">
        <v>184850.51819</v>
      </c>
    </row>
    <row r="44" spans="1:6" hidden="1" outlineLevel="1">
      <c r="A44" s="274" t="s">
        <v>75</v>
      </c>
      <c r="B44" s="276">
        <f t="shared" si="2"/>
        <v>30029.153969999985</v>
      </c>
      <c r="C44" s="279">
        <f>(0+0+44.28048+19668.59322+8621.26866+1451.9335+487.51253+628.40777+6764.69444+3742.28768+7099.59236+625.24839)-(0+0+20.83116+19572.72343+8212.18664+652.78774+478.89549+0+576.22527+6377.78079+3709.21704+6548.68634+609.58011)</f>
        <v>2374.9050200000056</v>
      </c>
      <c r="D44" s="276">
        <f t="shared" si="1"/>
        <v>32404.05898999999</v>
      </c>
      <c r="E44" s="630">
        <v>217254.57717999999</v>
      </c>
    </row>
    <row r="45" spans="1:6" hidden="1" outlineLevel="1">
      <c r="A45" s="274" t="s">
        <v>122</v>
      </c>
      <c r="B45" s="280">
        <f t="shared" si="2"/>
        <v>22957.490280000013</v>
      </c>
      <c r="C45" s="279">
        <f>(0+0+2353.88304+17093.00341+9191.65254+1981.53336+497.20626+688.69088+7042.83781+3794.48912+7534.6815+630.18324)-(0+0+44.28048+19668.59322+8621.26866+1451.9335+487.51253+0+628.40777+6764.69444+3742.28768+7099.59236+625.24839)</f>
        <v>1674.34212999999</v>
      </c>
      <c r="D45" s="280">
        <f t="shared" si="1"/>
        <v>24631.832410000003</v>
      </c>
      <c r="E45" s="630">
        <v>241886.40959</v>
      </c>
    </row>
    <row r="46" spans="1:6" hidden="1" outlineLevel="1">
      <c r="A46" s="274" t="s">
        <v>123</v>
      </c>
      <c r="B46" s="276">
        <f t="shared" si="2"/>
        <v>54562.730530000015</v>
      </c>
      <c r="C46" s="279">
        <f>(0+0+2370.13525+17177.01447+9608.40497+2556.10794+539.5871+0+742.44663+7037.25023+3846.15993+7808.30954+645.88887)-(0+0+2353.88304+17093.00341+9191.65254+1981.53336+497.20626+0+688.69088+7042.83781+3794.48912+7534.6815+630.18324)</f>
        <v>1523.1437700000097</v>
      </c>
      <c r="D46" s="276">
        <f t="shared" si="1"/>
        <v>56085.874300000025</v>
      </c>
      <c r="E46" s="630">
        <v>297972.28389000002</v>
      </c>
    </row>
    <row r="47" spans="1:6" hidden="1" outlineLevel="1">
      <c r="A47" s="274" t="s">
        <v>124</v>
      </c>
      <c r="B47" s="276">
        <f t="shared" si="2"/>
        <v>34330.647379999988</v>
      </c>
      <c r="C47" s="279">
        <f>(0+0+2376.76976+17149.39357+10169.82733+2723.22757+542.15409+834.49257+7131.75401+3938.81654+8020.25663+650.63755)-(0+0+2370.13525+17177.01447+9608.40497+2556.10794+539.5871+0+742.44663+7037.25023+3846.15993+7808.30954+645.88887)</f>
        <v>1206.0246899999838</v>
      </c>
      <c r="D47" s="280">
        <f t="shared" si="1"/>
        <v>35536.672069999971</v>
      </c>
      <c r="E47" s="630">
        <v>333508.95595999999</v>
      </c>
    </row>
    <row r="48" spans="1:6" hidden="1" outlineLevel="1">
      <c r="A48" s="274" t="s">
        <v>125</v>
      </c>
      <c r="B48" s="280">
        <f t="shared" si="2"/>
        <v>32625.676859999978</v>
      </c>
      <c r="C48" s="279">
        <f>(0+0+17223.65879+2376.72554+10390.98151+2763.89606+605.57397+0+887.77453+7237.5069+3946.55311+8077.06523+656.40543)-(0+0+2376.76976+17149.39357+10169.82733+2723.22757+542.15409+0+834.49257+7131.75401+3938.81654+8020.25663+650.63755)</f>
        <v>628.81145000000834</v>
      </c>
      <c r="D48" s="276">
        <f t="shared" si="1"/>
        <v>33254.488309999986</v>
      </c>
      <c r="E48" s="630">
        <v>366763.44426999998</v>
      </c>
    </row>
    <row r="49" spans="1:6" collapsed="1">
      <c r="A49" s="274" t="s">
        <v>126</v>
      </c>
      <c r="B49" s="276">
        <f t="shared" si="2"/>
        <v>36791.015290000003</v>
      </c>
      <c r="C49" s="279">
        <f>(0+0+17207.83541+2389.15127+10694.16294+2821.21527+608.06402+0+1192.16006+7671.65428+3999.35426+8249.86111+659.75997)-(0+0+17223.65879+2376.72554+10390.98151+2763.89606+605.57397+0+887.77453+7237.5069+3946.55311+8077.06523+656.40543)</f>
        <v>1327.0775199999989</v>
      </c>
      <c r="D49" s="280">
        <f t="shared" si="1"/>
        <v>38118.092810000002</v>
      </c>
      <c r="E49" s="630">
        <v>404881.53707999998</v>
      </c>
    </row>
    <row r="50" spans="1:6">
      <c r="A50" s="274" t="s">
        <v>127</v>
      </c>
      <c r="B50" s="276">
        <f t="shared" si="2"/>
        <v>57884.921920000023</v>
      </c>
      <c r="C50" s="279">
        <f>(16687.55694+3006.55287+10850.42624+2858.74136+611.46452+0+1237.45436+7846.45858+4023.94761+8024.35936+664.09721)-(17207.83541+2389.15127+10694.16294+2821.21527+608.06402+0+1192.16006+7671.65428+3999.35426+8249.86111+659.75997)</f>
        <v>317.84046000000671</v>
      </c>
      <c r="D50" s="276">
        <f t="shared" si="1"/>
        <v>58202.762380000029</v>
      </c>
      <c r="E50" s="630">
        <v>463084.29946000001</v>
      </c>
    </row>
    <row r="51" spans="1:6">
      <c r="A51" s="277" t="s">
        <v>227</v>
      </c>
      <c r="B51" s="280">
        <f t="shared" si="2"/>
        <v>92423.565620000038</v>
      </c>
      <c r="C51" s="279">
        <f>(17103.96272+3027.71224+11130.91187+3009.42255+635.89442+0+1261.60575+10189.00098+4095.2622+8113.87239+678.59359)-(16687.55694+3006.55287+10850.42624+2858.74136+611.46452+0+1237.45436+7846.45858+4023.94761+8024.35936+664.09721)</f>
        <v>3435.1796599999943</v>
      </c>
      <c r="D51" s="280">
        <f t="shared" si="1"/>
        <v>95858.745280000032</v>
      </c>
      <c r="E51" s="635">
        <v>558943.04474000004</v>
      </c>
    </row>
    <row r="52" spans="1:6">
      <c r="A52" s="444" t="s">
        <v>262</v>
      </c>
      <c r="B52" s="276">
        <f t="shared" ref="B52:B63" si="3">D52-C52</f>
        <v>25951.965739999985</v>
      </c>
      <c r="C52" s="279">
        <f>(17093.83552+3033.08221+11205.47981+3016.91005+664.33711+1289.24602+10274.26188+4128.99827+8321.53766+691.10361)-(17103.96272+3027.71224+11130.91187+3009.42255+635.89442+0+1261.60575+10189.00098+4095.2622+8113.87239+678.59359)</f>
        <v>472.55342999999993</v>
      </c>
      <c r="D52" s="276">
        <f t="shared" ref="D52:D63" si="4">IF(E52=0,0,E52-E51)</f>
        <v>26424.519169999985</v>
      </c>
      <c r="E52" s="635">
        <v>585367.56391000003</v>
      </c>
    </row>
    <row r="53" spans="1:6">
      <c r="A53" s="274" t="s">
        <v>119</v>
      </c>
      <c r="B53" s="276">
        <f t="shared" si="3"/>
        <v>44179.353569999977</v>
      </c>
      <c r="C53" s="279">
        <f>(17434.95873+3036.57235+11295.71733+2901.53345+704.44893+1342.0622+10547.48391+4147.19929+8403.67799+755.68816)-(17093.83552+3033.08221+11205.47981+3016.91005+664.33711+1289.24602+10274.26188+4128.99827+8321.53766+691.10361)</f>
        <v>850.55019999999786</v>
      </c>
      <c r="D53" s="280">
        <f t="shared" si="4"/>
        <v>45029.903769999975</v>
      </c>
      <c r="E53" s="630">
        <v>630397.46768</v>
      </c>
    </row>
    <row r="54" spans="1:6">
      <c r="A54" s="274" t="s">
        <v>120</v>
      </c>
      <c r="B54" s="280">
        <f t="shared" si="3"/>
        <v>51103.476110000047</v>
      </c>
      <c r="C54" s="279">
        <f>(17645.70686+3052.14813+11887.29953+2936.27815+750.34948+1375.51096+10712.20964+4161.12707+8513.93374+795.75065)-(17434.95873+3036.57235+11295.71733+2901.53345+704.44893+1342.0622+10547.48391+4147.19929+8403.67799+755.68816)</f>
        <v>1260.9718700000085</v>
      </c>
      <c r="D54" s="276">
        <f t="shared" si="4"/>
        <v>52364.447980000055</v>
      </c>
      <c r="E54" s="630">
        <v>682761.91566000006</v>
      </c>
    </row>
    <row r="55" spans="1:6">
      <c r="A55" s="274" t="s">
        <v>121</v>
      </c>
      <c r="B55" s="276">
        <f t="shared" si="3"/>
        <v>45820.741939999964</v>
      </c>
      <c r="C55" s="279">
        <f>(17593.90649+3059.59415+12108.06022+2948.70124+787.6536+0+1398.35584+8766.45721+4215.32579+8547.03862+828.98314)-(17645.70686+3052.14813+11887.29953+2936.27815+750.34948+1375.51096+10712.20964+4161.12707+8513.93374+795.75065)</f>
        <v>-1576.2379100000107</v>
      </c>
      <c r="D55" s="280">
        <f t="shared" si="4"/>
        <v>44244.504029999953</v>
      </c>
      <c r="E55" s="630">
        <v>727006.41969000001</v>
      </c>
    </row>
    <row r="56" spans="1:6">
      <c r="A56" s="274" t="s">
        <v>75</v>
      </c>
      <c r="B56" s="276">
        <f t="shared" si="3"/>
        <v>48698.591100000034</v>
      </c>
      <c r="C56" s="279">
        <f>(17811.74841+3060.26428+12235.02693+2970.15435+829.12202+0+1431.4901+8881.20758+4225.60075+8741.22083+910.51543)-(17593.90649+3059.59415+12108.06022+2948.70124+787.6536+0+1398.35584+8766.45721+4215.32579+8547.03862+828.98314)</f>
        <v>842.27438000000257</v>
      </c>
      <c r="D56" s="276">
        <f t="shared" si="4"/>
        <v>49540.865480000037</v>
      </c>
      <c r="E56" s="630">
        <v>776547.28517000005</v>
      </c>
    </row>
    <row r="57" spans="1:6">
      <c r="A57" s="274" t="s">
        <v>122</v>
      </c>
      <c r="B57" s="280">
        <f t="shared" si="3"/>
        <v>14559.107209999922</v>
      </c>
      <c r="C57" s="279">
        <f>(18024.41286+3065.13463+12365.21481+2967.5038+868.61358+0+1439.5263+8936.48779+4228.92373+9079.61217+906.35614)-(17811.74841+3060.26428+12235.02693+2970.15435+829.12202+0+1431.4901+8881.20758+4225.60075+8741.22083+910.51543)</f>
        <v>785.4351300000053</v>
      </c>
      <c r="D57" s="280">
        <f t="shared" si="4"/>
        <v>15344.542339999927</v>
      </c>
      <c r="E57" s="630">
        <v>791891.82750999997</v>
      </c>
    </row>
    <row r="58" spans="1:6">
      <c r="A58" s="274" t="s">
        <v>123</v>
      </c>
      <c r="B58" s="276">
        <f t="shared" si="3"/>
        <v>35051.58433000002</v>
      </c>
      <c r="C58" s="279">
        <f>(18068.40558+3074.42265+12535.97342+2972.52475+907.741+1458.11812+9049.30469+4235.52549+9116.70074+933.42346)-(18024.41286+3065.13463+12365.21481+2967.5038+868.61358+0+1439.5263+8936.48779+4228.92373+9079.61217+906.35614)</f>
        <v>470.35409000000072</v>
      </c>
      <c r="D58" s="276">
        <f t="shared" si="4"/>
        <v>35521.93842000002</v>
      </c>
      <c r="E58" s="630">
        <v>827413.76592999999</v>
      </c>
    </row>
    <row r="59" spans="1:6">
      <c r="A59" s="274" t="s">
        <v>124</v>
      </c>
      <c r="B59" s="276">
        <f t="shared" si="3"/>
        <v>34914.180169999956</v>
      </c>
      <c r="C59" s="279">
        <f>(18114.67787+3079.82028+12283.78046+2976.09721+946.92504+1510.87015+8841.41455+4049.50537+8597.13824+959.27928)-(18068.40558+3074.42265+12535.97342+2972.52475+907.741+1458.11812+9049.30469+4235.52549+9116.70074+933.42346)</f>
        <v>-992.63144999999349</v>
      </c>
      <c r="D59" s="280">
        <f t="shared" si="4"/>
        <v>33921.548719999962</v>
      </c>
      <c r="E59" s="630">
        <v>861335.31464999996</v>
      </c>
    </row>
    <row r="60" spans="1:6">
      <c r="A60" s="274" t="s">
        <v>125</v>
      </c>
      <c r="B60" s="280">
        <f t="shared" si="3"/>
        <v>47584.593130000074</v>
      </c>
      <c r="C60" s="279">
        <f>(18267.12494+3086.71555+12403.57641+2986.74147+950.57883+1527.65223+12357.24829+4052.52985+8614.45557+980.86377)-(18114.67787+3079.82028+12283.78046+2976.09721+946.92504+1510.87015+8841.41455+4049.50537+8597.13824+959.27928)</f>
        <v>3867.9784599999912</v>
      </c>
      <c r="D60" s="276">
        <f t="shared" si="4"/>
        <v>51452.571590000065</v>
      </c>
      <c r="E60" s="630">
        <v>912787.88624000002</v>
      </c>
    </row>
    <row r="61" spans="1:6">
      <c r="A61" s="274" t="s">
        <v>126</v>
      </c>
      <c r="B61" s="276">
        <f t="shared" si="3"/>
        <v>38373.546210000022</v>
      </c>
      <c r="C61" s="279">
        <f>(18763.18505+3088.3228+12602.44318+2989.14168+951.00988+1553.95544+12399.40755+4055.29008+8612.83703+994.56476)-(18267.12494+3086.71555+12403.57641+2986.74147+950.57883+1527.65223+12357.24829+4052.52985+8614.45557+980.86377)</f>
        <v>782.67053999999916</v>
      </c>
      <c r="D61" s="280">
        <f t="shared" si="4"/>
        <v>39156.216750000021</v>
      </c>
      <c r="E61" s="630">
        <v>951944.10299000004</v>
      </c>
    </row>
    <row r="62" spans="1:6">
      <c r="A62" s="274" t="s">
        <v>127</v>
      </c>
      <c r="B62" s="276">
        <f t="shared" si="3"/>
        <v>70870.007079999938</v>
      </c>
      <c r="C62" s="279">
        <f>(3088.66221+12661.44923+2998.05806+951.93043+1567.69393+12429.80737+4060.71905+8622.13696+1011.23509)-(18763.18505+3088.3228+12602.44318+2989.14168+951.00988+1553.95544+12399.40755+4055.29008+8612.83703+994.56476)</f>
        <v>-18618.465119999993</v>
      </c>
      <c r="D62" s="276">
        <f t="shared" si="4"/>
        <v>52251.541959999944</v>
      </c>
      <c r="E62" s="630">
        <v>1004195.64495</v>
      </c>
    </row>
    <row r="63" spans="1:6">
      <c r="A63" s="629" t="s">
        <v>263</v>
      </c>
      <c r="B63" s="467">
        <f t="shared" si="3"/>
        <v>55355.642750000006</v>
      </c>
      <c r="C63" s="616">
        <f>(3131.59922+12958.65461+3028.60372+958.9195+1578.39383+12249.40081+4088.15075+8677.66748+1037.76795)-(3088.66221+12661.44923+2998.05806+951.93043+1567.69393+12429.80737+4060.71905+8622.13696+1011.23509)</f>
        <v>317.46553999999742</v>
      </c>
      <c r="D63" s="467">
        <f t="shared" si="4"/>
        <v>55673.108290000004</v>
      </c>
      <c r="E63" s="636">
        <v>1059868.75324</v>
      </c>
    </row>
    <row r="64" spans="1:6" hidden="1" outlineLevel="1">
      <c r="A64" s="631" t="s">
        <v>115</v>
      </c>
      <c r="B64" s="632">
        <f>SUM(B15:B39)</f>
        <v>30462.353609999962</v>
      </c>
      <c r="C64" s="279">
        <f>SUM(C15:C63)</f>
        <v>42945.54866</v>
      </c>
      <c r="D64" s="276">
        <f>SUM(D15:D39)</f>
        <v>55733.948590000015</v>
      </c>
      <c r="E64" s="630">
        <f>SUM(E15:E63)</f>
        <v>17715704.108089998</v>
      </c>
      <c r="F64" s="238"/>
    </row>
    <row r="65" spans="1:5" collapsed="1">
      <c r="A65" s="133"/>
      <c r="C65" s="302"/>
    </row>
    <row r="66" spans="1:5">
      <c r="A66" s="133"/>
    </row>
    <row r="67" spans="1:5">
      <c r="A67" s="186" t="s">
        <v>163</v>
      </c>
    </row>
    <row r="68" spans="1:5">
      <c r="A68" s="720" t="s">
        <v>165</v>
      </c>
      <c r="B68" s="720"/>
      <c r="C68" s="720"/>
      <c r="D68" s="720"/>
      <c r="E68" s="720"/>
    </row>
  </sheetData>
  <mergeCells count="10">
    <mergeCell ref="A1:E1"/>
    <mergeCell ref="A2:E2"/>
    <mergeCell ref="A3:E3"/>
    <mergeCell ref="A4:E4"/>
    <mergeCell ref="A68:E68"/>
    <mergeCell ref="A13:A14"/>
    <mergeCell ref="B13:B14"/>
    <mergeCell ref="C13:C14"/>
    <mergeCell ref="D13:D14"/>
    <mergeCell ref="E13:E14"/>
  </mergeCells>
  <phoneticPr fontId="4" type="noConversion"/>
  <printOptions horizontalCentered="1"/>
  <pageMargins left="0.75" right="0.75" top="1" bottom="1" header="0.5" footer="0.5"/>
  <pageSetup orientation="portrait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32"/>
  <sheetViews>
    <sheetView view="pageBreakPreview" zoomScaleNormal="100" zoomScaleSheetLayoutView="100" workbookViewId="0">
      <selection activeCell="D17" sqref="D17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1.8554687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313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211</v>
      </c>
      <c r="B6" s="285">
        <f>'Tehachapi CWIP Balance'!E32-'Tehachapi CWIP Balance'!C32</f>
        <v>288292.37058000005</v>
      </c>
      <c r="C6" s="285">
        <f>-'Tehachapi CWIP Balance'!C32</f>
        <v>1885.3353000000134</v>
      </c>
      <c r="D6" s="283">
        <f>C6/B6</f>
        <v>6.5396642172909671E-3</v>
      </c>
      <c r="E6" s="285">
        <f>'Def Tax'!C332</f>
        <v>5044.3340041025149</v>
      </c>
      <c r="F6" s="285">
        <f>-E6*D6</f>
        <v>-32.988250586693283</v>
      </c>
      <c r="G6" s="285">
        <f>F6+E6</f>
        <v>5011.3457535158213</v>
      </c>
      <c r="H6" s="224"/>
      <c r="I6" s="285">
        <f>'Def Tax'!C252</f>
        <v>13346.619326971848</v>
      </c>
      <c r="J6" s="285">
        <f>-I6*D6</f>
        <v>-87.282408834401849</v>
      </c>
      <c r="K6" s="285">
        <f>J6+I6</f>
        <v>13259.336918137446</v>
      </c>
    </row>
    <row r="7" spans="1:11">
      <c r="A7" s="303" t="s">
        <v>220</v>
      </c>
      <c r="B7" s="285">
        <f>'Tehachapi CWIP Balance'!E37-'Tehachapi CWIP Balance'!D37</f>
        <v>367730.54405999999</v>
      </c>
      <c r="C7" s="285">
        <f>-'Tehachapi CWIP Balance'!D37</f>
        <v>123414.6317</v>
      </c>
      <c r="D7" s="283">
        <f>C7/B7</f>
        <v>0.3356115875973123</v>
      </c>
      <c r="E7" s="285">
        <f>'Def Tax'!C341</f>
        <v>8602.5607837079297</v>
      </c>
      <c r="F7" s="285">
        <f>-E7*D7</f>
        <v>-2887.1190820225975</v>
      </c>
      <c r="G7" s="285">
        <f>F7+E7</f>
        <v>5715.4417016853322</v>
      </c>
      <c r="H7" s="224"/>
      <c r="I7" s="285">
        <f>'Def Tax'!C261</f>
        <v>22089.474777259435</v>
      </c>
      <c r="J7" s="285">
        <f>-I7*D7</f>
        <v>-7413.4836991868251</v>
      </c>
      <c r="K7" s="285">
        <f>J7+I7</f>
        <v>14675.99107807261</v>
      </c>
    </row>
    <row r="8" spans="1:11">
      <c r="A8" s="303" t="s">
        <v>221</v>
      </c>
      <c r="B8" s="285">
        <f>'Tehachapi CWIP Balance'!E38-'Tehachapi CWIP Balance'!D38</f>
        <v>244315.91235999999</v>
      </c>
      <c r="C8" s="285">
        <f>-'Tehachapi CWIP Balance'!D38</f>
        <v>78207.095619999978</v>
      </c>
      <c r="D8" s="283">
        <f>C8/B8</f>
        <v>0.3201064345934278</v>
      </c>
      <c r="E8" s="285">
        <f>'Def Tax'!C345</f>
        <v>6250.4086974992906</v>
      </c>
      <c r="F8" s="285">
        <f>-E8*D8</f>
        <v>-2000.7960429082489</v>
      </c>
      <c r="G8" s="285">
        <f>F8+E8</f>
        <v>4249.612654591042</v>
      </c>
      <c r="H8" s="224"/>
      <c r="I8" s="285">
        <f>'Def Tax'!C265</f>
        <v>15991.376618454717</v>
      </c>
      <c r="J8" s="285">
        <f>-I8*D8</f>
        <v>-5118.9425535742457</v>
      </c>
      <c r="K8" s="285">
        <f>J8+I8</f>
        <v>10872.434064880472</v>
      </c>
    </row>
    <row r="9" spans="1:11">
      <c r="A9" s="303" t="s">
        <v>190</v>
      </c>
      <c r="B9" s="285">
        <f>'Tehachapi CWIP Balance'!E39-'Tehachapi CWIP Balance'!D39</f>
        <v>166108.81674000001</v>
      </c>
      <c r="C9" s="285">
        <f>-'Tehachapi CWIP Balance'!D39</f>
        <v>57853.055920000013</v>
      </c>
      <c r="D9" s="283">
        <f>C9/B9</f>
        <v>0.34828407700088471</v>
      </c>
      <c r="E9" s="285">
        <f>'Def Tax'!C349</f>
        <v>4613.3639210738838</v>
      </c>
      <c r="F9" s="285">
        <f>-E9*D9</f>
        <v>-1606.7611951203999</v>
      </c>
      <c r="G9" s="285">
        <f>F9+E9</f>
        <v>3006.602725953484</v>
      </c>
      <c r="H9" s="224"/>
      <c r="I9" s="285">
        <f>'Def Tax'!C269</f>
        <v>11766.831588412191</v>
      </c>
      <c r="J9" s="285">
        <f>-I9*D9</f>
        <v>-4098.2000789949943</v>
      </c>
      <c r="K9" s="285">
        <f>J9+I9</f>
        <v>7668.6315094171969</v>
      </c>
    </row>
    <row r="10" spans="1:11">
      <c r="A10" s="605">
        <v>40848</v>
      </c>
      <c r="B10" s="607">
        <f>'Tehachapi CWIP Balance'!E62-'Tehachapi CWIP Balance'!C62</f>
        <v>1022814.1100699999</v>
      </c>
      <c r="C10" s="607">
        <f>-'Tehachapi CWIP Balance'!C62</f>
        <v>18618.465119999993</v>
      </c>
      <c r="D10" s="608">
        <f>C10/B10</f>
        <v>1.8203175862254943E-2</v>
      </c>
      <c r="E10" s="607">
        <f>'Def Tax'!C380</f>
        <v>28269.432312996894</v>
      </c>
      <c r="F10" s="607">
        <f>-E10*D10</f>
        <v>-514.59344791959495</v>
      </c>
      <c r="G10" s="607">
        <f>F10+E10</f>
        <v>27754.838865077298</v>
      </c>
      <c r="H10" s="609"/>
      <c r="I10" s="607">
        <f>'Def Tax'!C300</f>
        <v>69686.609395004765</v>
      </c>
      <c r="J10" s="607">
        <f>-I10*D10</f>
        <v>-1268.5176060615393</v>
      </c>
      <c r="K10" s="607">
        <f>J10+I10</f>
        <v>68418.091788943231</v>
      </c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8"/>
      <c r="B12" s="285"/>
      <c r="C12" s="285"/>
      <c r="D12" s="283"/>
      <c r="E12" s="285"/>
      <c r="F12" s="285"/>
      <c r="G12" s="285"/>
      <c r="H12" s="224"/>
      <c r="I12" s="285"/>
      <c r="J12" s="285"/>
      <c r="K12" s="285"/>
    </row>
    <row r="13" spans="1:11">
      <c r="A13" s="284"/>
      <c r="C13" s="224"/>
      <c r="E13" s="224"/>
      <c r="F13" s="224"/>
      <c r="G13" s="224"/>
      <c r="H13" s="224"/>
      <c r="I13" s="285"/>
      <c r="J13" s="285"/>
      <c r="K13" s="285"/>
    </row>
    <row r="14" spans="1:11" s="286" customFormat="1" ht="13.5" thickBot="1">
      <c r="A14" s="292"/>
      <c r="B14" s="293">
        <f>SUM(B6:B13)</f>
        <v>2089261.7538099999</v>
      </c>
      <c r="C14" s="293">
        <f>SUM(C6:C13)</f>
        <v>279978.58366</v>
      </c>
      <c r="D14" s="294"/>
      <c r="E14" s="293">
        <f>SUM(E6:E13)</f>
        <v>52780.099719380509</v>
      </c>
      <c r="F14" s="293">
        <f>SUM(F6:F13)</f>
        <v>-7042.2580185575343</v>
      </c>
      <c r="G14" s="293">
        <f>SUM(G6:G13)</f>
        <v>45737.841700822974</v>
      </c>
      <c r="H14" s="295"/>
      <c r="I14" s="293">
        <f>SUM(I6:I13)</f>
        <v>132880.91170610295</v>
      </c>
      <c r="J14" s="293">
        <f>SUM(J6:J13)</f>
        <v>-17986.426346652002</v>
      </c>
      <c r="K14" s="293">
        <f>SUM(K6:K13)</f>
        <v>114894.48535945095</v>
      </c>
    </row>
    <row r="15" spans="1:11" ht="13.5" thickTop="1"/>
    <row r="17" spans="7:11">
      <c r="I17" s="727" t="s">
        <v>315</v>
      </c>
      <c r="J17" s="727"/>
      <c r="K17" s="727"/>
    </row>
    <row r="18" spans="7:11">
      <c r="I18" s="606" t="s">
        <v>310</v>
      </c>
      <c r="J18" s="606" t="s">
        <v>311</v>
      </c>
      <c r="K18" s="606" t="s">
        <v>115</v>
      </c>
    </row>
    <row r="20" spans="7:11">
      <c r="G20" s="287" t="s">
        <v>211</v>
      </c>
      <c r="I20" s="245">
        <v>1</v>
      </c>
      <c r="J20" s="245">
        <v>0</v>
      </c>
      <c r="K20" s="610">
        <f>-J6*1000</f>
        <v>87282.408834401853</v>
      </c>
    </row>
    <row r="21" spans="7:11">
      <c r="G21" s="303" t="s">
        <v>220</v>
      </c>
      <c r="I21" s="245">
        <f>ABS('Tehachapi CWIP Balance'!C37/'Tehachapi CWIP Balance'!D37)</f>
        <v>5.9488127451909054E-2</v>
      </c>
      <c r="J21" s="245">
        <f>1-I21</f>
        <v>0.94051187254809099</v>
      </c>
      <c r="K21" s="610">
        <f>-J7*1000</f>
        <v>7413483.6991868252</v>
      </c>
    </row>
    <row r="22" spans="7:11">
      <c r="G22" s="303" t="s">
        <v>221</v>
      </c>
      <c r="I22" s="245">
        <f>ABS('Tehachapi CWIP Balance'!C38/'Tehachapi CWIP Balance'!D38)</f>
        <v>0.13050274542339546</v>
      </c>
      <c r="J22" s="245">
        <f t="shared" ref="J22:J23" si="0">1-I22</f>
        <v>0.86949725457660454</v>
      </c>
      <c r="K22" s="610">
        <f>-J8*1000</f>
        <v>5118942.5535742454</v>
      </c>
    </row>
    <row r="23" spans="7:11">
      <c r="G23" s="303" t="s">
        <v>190</v>
      </c>
      <c r="I23" s="245">
        <v>0</v>
      </c>
      <c r="J23" s="245">
        <f t="shared" si="0"/>
        <v>1</v>
      </c>
      <c r="K23" s="610">
        <f>-J9*1000</f>
        <v>4098200.0789949945</v>
      </c>
    </row>
    <row r="24" spans="7:11">
      <c r="G24" s="605">
        <v>40848</v>
      </c>
      <c r="I24" s="245">
        <v>1</v>
      </c>
      <c r="J24" s="245">
        <v>0</v>
      </c>
      <c r="K24" s="610">
        <f>-J10*1000</f>
        <v>1268517.6060615391</v>
      </c>
    </row>
    <row r="26" spans="7:11">
      <c r="G26" s="287" t="s">
        <v>211</v>
      </c>
      <c r="I26" s="610">
        <f>I20*$K20</f>
        <v>87282.408834401853</v>
      </c>
      <c r="J26" s="610">
        <f>J20*$K20</f>
        <v>0</v>
      </c>
      <c r="K26" s="610">
        <f>SUM(I26:J26)</f>
        <v>87282.408834401853</v>
      </c>
    </row>
    <row r="27" spans="7:11">
      <c r="G27" s="303" t="s">
        <v>220</v>
      </c>
      <c r="I27" s="610">
        <f t="shared" ref="I27:J30" si="1">I21*$K21</f>
        <v>441014.26315987605</v>
      </c>
      <c r="J27" s="610">
        <f t="shared" si="1"/>
        <v>6972469.4360269494</v>
      </c>
      <c r="K27" s="610">
        <f t="shared" ref="K27:K30" si="2">SUM(I27:J27)</f>
        <v>7413483.6991868252</v>
      </c>
    </row>
    <row r="28" spans="7:11">
      <c r="G28" s="303" t="s">
        <v>221</v>
      </c>
      <c r="I28" s="610">
        <f t="shared" si="1"/>
        <v>668036.05690608558</v>
      </c>
      <c r="J28" s="610">
        <f t="shared" si="1"/>
        <v>4450906.49666816</v>
      </c>
      <c r="K28" s="610">
        <f t="shared" si="2"/>
        <v>5118942.5535742454</v>
      </c>
    </row>
    <row r="29" spans="7:11">
      <c r="G29" s="303" t="s">
        <v>190</v>
      </c>
      <c r="I29" s="610">
        <f t="shared" si="1"/>
        <v>0</v>
      </c>
      <c r="J29" s="610">
        <f t="shared" si="1"/>
        <v>4098200.0789949945</v>
      </c>
      <c r="K29" s="610">
        <f t="shared" si="2"/>
        <v>4098200.0789949945</v>
      </c>
    </row>
    <row r="30" spans="7:11">
      <c r="G30" s="605">
        <v>40848</v>
      </c>
      <c r="I30" s="613">
        <f t="shared" si="1"/>
        <v>1268517.6060615391</v>
      </c>
      <c r="J30" s="613">
        <f t="shared" si="1"/>
        <v>0</v>
      </c>
      <c r="K30" s="613">
        <f t="shared" si="2"/>
        <v>1268517.6060615391</v>
      </c>
    </row>
    <row r="32" spans="7:11" ht="13.5" thickBot="1">
      <c r="G32" s="615" t="s">
        <v>316</v>
      </c>
      <c r="I32" s="614">
        <f>SUM(I26:I31)</f>
        <v>2464850.3349619024</v>
      </c>
      <c r="J32" s="614">
        <f t="shared" ref="J32:K32" si="3">SUM(J26:J31)</f>
        <v>15521576.011690104</v>
      </c>
      <c r="K32" s="614">
        <f t="shared" si="3"/>
        <v>17986426.346652005</v>
      </c>
    </row>
  </sheetData>
  <mergeCells count="1">
    <mergeCell ref="I17:K17"/>
  </mergeCells>
  <phoneticPr fontId="4" type="noConversion"/>
  <pageMargins left="0.75" right="0.75" top="1" bottom="1" header="0.5" footer="0.5"/>
  <pageSetup scale="88" orientation="landscape" r:id="rId1"/>
  <headerFooter alignWithMargins="0">
    <oddHeader>&amp;RAttachment 4
WP-Schedule 3
CWIP Balancing Acct 12-31-11 Balance
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workbookViewId="0">
      <selection activeCell="B26" sqref="B26"/>
    </sheetView>
  </sheetViews>
  <sheetFormatPr defaultRowHeight="12.75"/>
  <cols>
    <col min="1" max="1" width="5" customWidth="1"/>
    <col min="2" max="2" width="47.140625" customWidth="1"/>
    <col min="3" max="3" width="10.28515625" bestFit="1" customWidth="1"/>
  </cols>
  <sheetData>
    <row r="1" spans="1:15">
      <c r="A1" s="686" t="s">
        <v>0</v>
      </c>
      <c r="B1" s="686"/>
      <c r="C1" s="686"/>
      <c r="D1" s="686"/>
      <c r="E1" s="686"/>
      <c r="F1" s="686"/>
      <c r="G1" s="686"/>
      <c r="H1" s="686"/>
      <c r="I1" s="686"/>
      <c r="J1" s="686"/>
      <c r="K1" s="686"/>
      <c r="L1" s="686"/>
      <c r="M1" s="686"/>
      <c r="N1" s="686"/>
    </row>
    <row r="2" spans="1:15">
      <c r="A2" s="686" t="s">
        <v>6</v>
      </c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</row>
    <row r="3" spans="1:15">
      <c r="A3" s="686" t="s">
        <v>324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</row>
    <row r="4" spans="1:15">
      <c r="A4" s="686" t="s">
        <v>1</v>
      </c>
      <c r="B4" s="686"/>
      <c r="C4" s="686"/>
      <c r="D4" s="686"/>
      <c r="E4" s="686"/>
      <c r="F4" s="686"/>
      <c r="G4" s="686"/>
      <c r="H4" s="686"/>
      <c r="I4" s="686"/>
      <c r="J4" s="686"/>
      <c r="K4" s="686"/>
      <c r="L4" s="686"/>
      <c r="M4" s="686"/>
      <c r="N4" s="686"/>
    </row>
    <row r="7" spans="1:15" ht="12.75" customHeight="1">
      <c r="A7" s="637" t="s">
        <v>2</v>
      </c>
      <c r="C7" s="690">
        <v>2011</v>
      </c>
      <c r="D7" s="690"/>
      <c r="E7" s="690"/>
      <c r="F7" s="690"/>
      <c r="G7" s="690"/>
      <c r="H7" s="690"/>
      <c r="I7" s="690"/>
      <c r="J7" s="690"/>
      <c r="K7" s="690"/>
      <c r="L7" s="690"/>
      <c r="M7" s="690"/>
      <c r="N7" s="690"/>
      <c r="O7" s="690"/>
    </row>
    <row r="8" spans="1:15" ht="38.25">
      <c r="A8" s="638">
        <v>1</v>
      </c>
      <c r="B8" s="681" t="s">
        <v>325</v>
      </c>
      <c r="C8" s="684" t="s">
        <v>100</v>
      </c>
      <c r="D8" s="684" t="s">
        <v>76</v>
      </c>
      <c r="E8" s="684" t="s">
        <v>77</v>
      </c>
      <c r="F8" s="684" t="s">
        <v>78</v>
      </c>
      <c r="G8" s="684" t="s">
        <v>75</v>
      </c>
      <c r="H8" s="684" t="s">
        <v>79</v>
      </c>
      <c r="I8" s="684" t="s">
        <v>80</v>
      </c>
      <c r="J8" s="684" t="s">
        <v>81</v>
      </c>
      <c r="K8" s="684" t="s">
        <v>82</v>
      </c>
      <c r="L8" s="684" t="s">
        <v>83</v>
      </c>
      <c r="M8" s="684" t="s">
        <v>84</v>
      </c>
      <c r="N8" s="684" t="s">
        <v>101</v>
      </c>
      <c r="O8" s="685" t="s">
        <v>115</v>
      </c>
    </row>
    <row r="9" spans="1:15" ht="12.75" customHeight="1">
      <c r="A9" s="638">
        <v>2</v>
      </c>
      <c r="B9" s="644" t="s">
        <v>3</v>
      </c>
      <c r="C9" s="653">
        <v>3232</v>
      </c>
      <c r="D9" s="653">
        <v>3236</v>
      </c>
      <c r="E9" s="653">
        <v>3236</v>
      </c>
      <c r="F9" s="653">
        <v>3236</v>
      </c>
      <c r="G9" s="653">
        <v>8125</v>
      </c>
      <c r="H9" s="653">
        <v>11117</v>
      </c>
      <c r="I9" s="653">
        <v>15532</v>
      </c>
      <c r="J9" s="653">
        <v>16825</v>
      </c>
      <c r="K9" s="653">
        <v>15181</v>
      </c>
      <c r="L9" s="653">
        <v>15181</v>
      </c>
      <c r="M9" s="653">
        <v>12248</v>
      </c>
      <c r="N9" s="653">
        <v>9304</v>
      </c>
      <c r="O9" s="654">
        <f>SUM(C9:N9)</f>
        <v>116453</v>
      </c>
    </row>
    <row r="10" spans="1:15">
      <c r="A10" s="638">
        <v>3</v>
      </c>
      <c r="B10" s="645" t="s">
        <v>4</v>
      </c>
      <c r="C10" s="472">
        <v>85834</v>
      </c>
      <c r="D10" s="655">
        <v>74869</v>
      </c>
      <c r="E10" s="655">
        <v>71842</v>
      </c>
      <c r="F10" s="655">
        <v>46657</v>
      </c>
      <c r="G10" s="655">
        <v>53161</v>
      </c>
      <c r="H10" s="655">
        <v>56416</v>
      </c>
      <c r="I10" s="655">
        <v>47889</v>
      </c>
      <c r="J10" s="655">
        <v>39860</v>
      </c>
      <c r="K10" s="655">
        <v>37887</v>
      </c>
      <c r="L10" s="655">
        <v>41482</v>
      </c>
      <c r="M10" s="655">
        <v>36526</v>
      </c>
      <c r="N10" s="655">
        <v>33281</v>
      </c>
      <c r="O10" s="654">
        <f>SUM(C10:N10)</f>
        <v>625704</v>
      </c>
    </row>
    <row r="11" spans="1:15">
      <c r="A11" s="638">
        <v>4</v>
      </c>
      <c r="B11" s="313" t="s">
        <v>5</v>
      </c>
      <c r="C11" s="646">
        <v>0</v>
      </c>
      <c r="D11" s="646">
        <v>0</v>
      </c>
      <c r="E11" s="646">
        <v>0</v>
      </c>
      <c r="F11" s="646">
        <v>0</v>
      </c>
      <c r="G11" s="646">
        <v>0</v>
      </c>
      <c r="H11" s="646">
        <v>0</v>
      </c>
      <c r="I11" s="646">
        <v>0</v>
      </c>
      <c r="J11" s="646">
        <v>0</v>
      </c>
      <c r="K11" s="646">
        <v>0</v>
      </c>
      <c r="L11" s="646">
        <v>0</v>
      </c>
      <c r="M11" s="646">
        <v>0</v>
      </c>
      <c r="N11" s="646">
        <v>0</v>
      </c>
      <c r="O11" s="610">
        <f t="shared" ref="O11:O18" si="0">SUM(C11:N11)</f>
        <v>0</v>
      </c>
    </row>
    <row r="12" spans="1:15">
      <c r="A12" s="638">
        <v>5</v>
      </c>
      <c r="B12" s="647" t="s">
        <v>253</v>
      </c>
      <c r="C12" s="646">
        <v>0</v>
      </c>
      <c r="D12" s="646">
        <v>0</v>
      </c>
      <c r="E12" s="646">
        <v>0</v>
      </c>
      <c r="F12" s="646">
        <v>0</v>
      </c>
      <c r="G12" s="646">
        <v>0</v>
      </c>
      <c r="H12" s="646">
        <v>0</v>
      </c>
      <c r="I12" s="646">
        <v>0</v>
      </c>
      <c r="J12" s="646">
        <v>0</v>
      </c>
      <c r="K12" s="646">
        <v>0</v>
      </c>
      <c r="L12" s="646">
        <v>0</v>
      </c>
      <c r="M12" s="646">
        <v>0</v>
      </c>
      <c r="N12" s="646">
        <v>0</v>
      </c>
      <c r="O12" s="610">
        <f t="shared" si="0"/>
        <v>0</v>
      </c>
    </row>
    <row r="13" spans="1:15">
      <c r="A13" s="638">
        <v>6</v>
      </c>
      <c r="B13" s="313" t="s">
        <v>251</v>
      </c>
      <c r="C13" s="646">
        <v>0</v>
      </c>
      <c r="D13" s="646">
        <v>0</v>
      </c>
      <c r="E13" s="646">
        <v>0</v>
      </c>
      <c r="F13" s="646">
        <v>0</v>
      </c>
      <c r="G13" s="646">
        <v>0</v>
      </c>
      <c r="H13" s="646">
        <v>0</v>
      </c>
      <c r="I13" s="646">
        <v>0</v>
      </c>
      <c r="J13" s="646">
        <v>0</v>
      </c>
      <c r="K13" s="646">
        <v>0</v>
      </c>
      <c r="L13" s="646">
        <v>0</v>
      </c>
      <c r="M13" s="646">
        <v>0</v>
      </c>
      <c r="N13" s="646">
        <v>0</v>
      </c>
      <c r="O13" s="610">
        <f t="shared" si="0"/>
        <v>0</v>
      </c>
    </row>
    <row r="14" spans="1:15">
      <c r="A14" s="638">
        <v>7</v>
      </c>
      <c r="B14" s="639" t="s">
        <v>252</v>
      </c>
      <c r="C14" s="646">
        <v>0</v>
      </c>
      <c r="D14" s="646">
        <v>0</v>
      </c>
      <c r="E14" s="646">
        <v>0</v>
      </c>
      <c r="F14" s="646">
        <v>0</v>
      </c>
      <c r="G14" s="646">
        <v>0</v>
      </c>
      <c r="H14" s="646">
        <v>0</v>
      </c>
      <c r="I14" s="646">
        <v>0</v>
      </c>
      <c r="J14" s="646">
        <v>0</v>
      </c>
      <c r="K14" s="646">
        <v>0</v>
      </c>
      <c r="L14" s="646">
        <v>0</v>
      </c>
      <c r="M14" s="646">
        <v>0</v>
      </c>
      <c r="N14" s="646">
        <v>0</v>
      </c>
      <c r="O14" s="610">
        <f t="shared" si="0"/>
        <v>0</v>
      </c>
    </row>
    <row r="15" spans="1:15">
      <c r="A15" s="638">
        <v>8</v>
      </c>
      <c r="B15" s="639" t="s">
        <v>286</v>
      </c>
      <c r="C15" s="646">
        <v>0</v>
      </c>
      <c r="D15" s="646">
        <v>0</v>
      </c>
      <c r="E15" s="646">
        <v>0</v>
      </c>
      <c r="F15" s="646">
        <v>0</v>
      </c>
      <c r="G15" s="646">
        <v>0</v>
      </c>
      <c r="H15" s="646">
        <v>0</v>
      </c>
      <c r="I15" s="646">
        <v>0</v>
      </c>
      <c r="J15" s="646">
        <v>0</v>
      </c>
      <c r="K15" s="646">
        <v>0</v>
      </c>
      <c r="L15" s="646">
        <v>0</v>
      </c>
      <c r="M15" s="646">
        <v>0</v>
      </c>
      <c r="N15" s="646">
        <v>0</v>
      </c>
      <c r="O15" s="610">
        <f t="shared" si="0"/>
        <v>0</v>
      </c>
    </row>
    <row r="16" spans="1:15">
      <c r="A16" s="638">
        <v>9</v>
      </c>
      <c r="B16" s="313" t="s">
        <v>287</v>
      </c>
      <c r="C16" s="646">
        <v>0</v>
      </c>
      <c r="D16" s="646">
        <v>0</v>
      </c>
      <c r="E16" s="646">
        <v>0</v>
      </c>
      <c r="F16" s="646">
        <v>0</v>
      </c>
      <c r="G16" s="646">
        <v>0</v>
      </c>
      <c r="H16" s="646">
        <v>0</v>
      </c>
      <c r="I16" s="646">
        <v>0</v>
      </c>
      <c r="J16" s="646">
        <v>0</v>
      </c>
      <c r="K16" s="646">
        <v>0</v>
      </c>
      <c r="L16" s="646">
        <v>0</v>
      </c>
      <c r="M16" s="646">
        <v>0</v>
      </c>
      <c r="N16" s="646">
        <v>0</v>
      </c>
      <c r="O16" s="610">
        <f t="shared" si="0"/>
        <v>0</v>
      </c>
    </row>
    <row r="17" spans="1:15">
      <c r="A17" s="638">
        <v>10</v>
      </c>
      <c r="B17" s="639" t="s">
        <v>288</v>
      </c>
      <c r="C17" s="646">
        <v>0</v>
      </c>
      <c r="D17" s="646">
        <v>0</v>
      </c>
      <c r="E17" s="646">
        <v>0</v>
      </c>
      <c r="F17" s="646">
        <v>0</v>
      </c>
      <c r="G17" s="646">
        <v>0</v>
      </c>
      <c r="H17" s="646">
        <v>0</v>
      </c>
      <c r="I17" s="646">
        <v>0</v>
      </c>
      <c r="J17" s="646">
        <v>0</v>
      </c>
      <c r="K17" s="646">
        <v>0</v>
      </c>
      <c r="L17" s="646">
        <v>0</v>
      </c>
      <c r="M17" s="646">
        <v>0</v>
      </c>
      <c r="N17" s="646">
        <v>0</v>
      </c>
      <c r="O17" s="610">
        <f t="shared" si="0"/>
        <v>0</v>
      </c>
    </row>
    <row r="18" spans="1:15">
      <c r="A18" s="638">
        <v>11</v>
      </c>
      <c r="B18" s="639" t="s">
        <v>289</v>
      </c>
      <c r="C18" s="646">
        <v>0</v>
      </c>
      <c r="D18" s="646">
        <v>0</v>
      </c>
      <c r="E18" s="646">
        <v>0</v>
      </c>
      <c r="F18" s="646">
        <v>0</v>
      </c>
      <c r="G18" s="646">
        <v>0</v>
      </c>
      <c r="H18" s="646">
        <v>0</v>
      </c>
      <c r="I18" s="646">
        <v>0</v>
      </c>
      <c r="J18" s="646">
        <v>0</v>
      </c>
      <c r="K18" s="646">
        <v>0</v>
      </c>
      <c r="L18" s="646">
        <v>0</v>
      </c>
      <c r="M18" s="646">
        <v>0</v>
      </c>
      <c r="N18" s="646">
        <v>0</v>
      </c>
      <c r="O18" s="610">
        <f t="shared" si="0"/>
        <v>0</v>
      </c>
    </row>
    <row r="19" spans="1:15" ht="13.5" thickBot="1">
      <c r="A19" s="638">
        <v>12</v>
      </c>
      <c r="B19" s="657" t="s">
        <v>326</v>
      </c>
      <c r="C19" s="651">
        <f>SUM(C9:C18)</f>
        <v>89066</v>
      </c>
      <c r="D19" s="651">
        <f>SUM(D9:D18)</f>
        <v>78105</v>
      </c>
      <c r="E19" s="651">
        <f t="shared" ref="E19:N19" si="1">SUM(E9:E18)</f>
        <v>75078</v>
      </c>
      <c r="F19" s="651">
        <f t="shared" si="1"/>
        <v>49893</v>
      </c>
      <c r="G19" s="651">
        <f t="shared" si="1"/>
        <v>61286</v>
      </c>
      <c r="H19" s="651">
        <f t="shared" si="1"/>
        <v>67533</v>
      </c>
      <c r="I19" s="651">
        <f t="shared" si="1"/>
        <v>63421</v>
      </c>
      <c r="J19" s="651">
        <f t="shared" si="1"/>
        <v>56685</v>
      </c>
      <c r="K19" s="651">
        <f t="shared" si="1"/>
        <v>53068</v>
      </c>
      <c r="L19" s="651">
        <f t="shared" si="1"/>
        <v>56663</v>
      </c>
      <c r="M19" s="651">
        <f t="shared" si="1"/>
        <v>48774</v>
      </c>
      <c r="N19" s="651">
        <f t="shared" si="1"/>
        <v>42585</v>
      </c>
      <c r="O19" s="651">
        <f>SUM(C19:N19)</f>
        <v>742157</v>
      </c>
    </row>
    <row r="20" spans="1:15" ht="13.5" thickTop="1">
      <c r="A20" s="638">
        <v>13</v>
      </c>
      <c r="B20" s="648"/>
      <c r="C20" s="649"/>
      <c r="D20" s="649"/>
      <c r="E20" s="649"/>
      <c r="F20" s="649"/>
      <c r="G20" s="649"/>
      <c r="H20" s="649"/>
      <c r="I20" s="649"/>
      <c r="J20" s="649"/>
      <c r="K20" s="649"/>
      <c r="L20" s="649"/>
      <c r="M20" s="649"/>
      <c r="N20" s="649"/>
      <c r="O20" s="649"/>
    </row>
    <row r="21" spans="1:15">
      <c r="A21" s="638">
        <v>14</v>
      </c>
      <c r="B21" s="682" t="s">
        <v>327</v>
      </c>
      <c r="C21" s="683"/>
      <c r="D21" s="683"/>
      <c r="E21" s="683"/>
      <c r="F21" s="683"/>
      <c r="G21" s="683"/>
      <c r="H21" s="683"/>
      <c r="I21" s="683"/>
      <c r="J21" s="683"/>
      <c r="K21" s="683"/>
      <c r="L21" s="683"/>
      <c r="M21" s="683"/>
      <c r="N21" s="683"/>
      <c r="O21" s="683"/>
    </row>
    <row r="22" spans="1:15">
      <c r="A22" s="638">
        <v>15</v>
      </c>
      <c r="B22" s="644" t="s">
        <v>3</v>
      </c>
      <c r="C22" s="656">
        <f>'DPV2 CWIP Balance'!D52</f>
        <v>1329.2068399999989</v>
      </c>
      <c r="D22" s="656">
        <f>'DPV2 CWIP Balance'!D53</f>
        <v>1867.2127600000022</v>
      </c>
      <c r="E22" s="656">
        <f>'DPV2 CWIP Balance'!D54</f>
        <v>3040.1441699999996</v>
      </c>
      <c r="F22" s="656">
        <f>'DPV2 CWIP Balance'!D55</f>
        <v>1744.2977399999945</v>
      </c>
      <c r="G22" s="656">
        <f>'DPV2 CWIP Balance'!D56</f>
        <v>2823.9430500000017</v>
      </c>
      <c r="H22" s="656">
        <f>'DPV2 CWIP Balance'!D57</f>
        <v>5544.7601399999985</v>
      </c>
      <c r="I22" s="656">
        <f>'DPV2 CWIP Balance'!D58</f>
        <v>4481.1850399999967</v>
      </c>
      <c r="J22" s="656">
        <f>'DPV2 CWIP Balance'!D59</f>
        <v>6638.6157400000084</v>
      </c>
      <c r="K22" s="656">
        <f>'DPV2 CWIP Balance'!D60</f>
        <v>12942.123030000002</v>
      </c>
      <c r="L22" s="656">
        <f>'DPV2 CWIP Balance'!D61</f>
        <v>15751.473489999989</v>
      </c>
      <c r="M22" s="656">
        <f>'DPV2 CWIP Balance'!D62</f>
        <v>23562.459000000003</v>
      </c>
      <c r="N22" s="656">
        <f>'DPV2 CWIP Balance'!D63</f>
        <v>25491.859870000015</v>
      </c>
      <c r="O22" s="656">
        <f t="shared" ref="O22:O32" si="2">SUM(C22:N22)</f>
        <v>105217.28087000002</v>
      </c>
    </row>
    <row r="23" spans="1:15">
      <c r="A23" s="638">
        <v>16</v>
      </c>
      <c r="B23" s="645" t="s">
        <v>4</v>
      </c>
      <c r="C23" s="656">
        <f>'Tehachapi CWIP Balance'!D52</f>
        <v>26424.519169999985</v>
      </c>
      <c r="D23" s="656">
        <f>'Tehachapi CWIP Balance'!$D$53</f>
        <v>45029.903769999975</v>
      </c>
      <c r="E23" s="656">
        <f>'Tehachapi CWIP Balance'!$D$54</f>
        <v>52364.447980000055</v>
      </c>
      <c r="F23" s="656">
        <f>'Tehachapi CWIP Balance'!$D$55</f>
        <v>44244.504029999953</v>
      </c>
      <c r="G23" s="656">
        <f>'Tehachapi CWIP Balance'!$D$56</f>
        <v>49540.865480000037</v>
      </c>
      <c r="H23" s="656">
        <f>'Tehachapi CWIP Balance'!$D$57</f>
        <v>15344.542339999927</v>
      </c>
      <c r="I23" s="656">
        <f>'Tehachapi CWIP Balance'!$D$58</f>
        <v>35521.93842000002</v>
      </c>
      <c r="J23" s="656">
        <f>'Tehachapi CWIP Balance'!$D$59</f>
        <v>33921.548719999962</v>
      </c>
      <c r="K23" s="656">
        <f>'Tehachapi CWIP Balance'!$D$60</f>
        <v>51452.571590000065</v>
      </c>
      <c r="L23" s="656">
        <f>'Tehachapi CWIP Balance'!$D$61</f>
        <v>39156.216750000021</v>
      </c>
      <c r="M23" s="656">
        <f>'Tehachapi CWIP Balance'!$D$62</f>
        <v>52251.541959999944</v>
      </c>
      <c r="N23" s="656">
        <f>'Tehachapi CWIP Balance'!$D$63</f>
        <v>55673.108290000004</v>
      </c>
      <c r="O23" s="656">
        <f t="shared" si="2"/>
        <v>500925.70849999995</v>
      </c>
    </row>
    <row r="24" spans="1:15">
      <c r="A24" s="638">
        <v>17</v>
      </c>
      <c r="B24" s="313" t="s">
        <v>5</v>
      </c>
      <c r="C24" s="656">
        <f>'Rancho Vista CWIP Balance'!D52</f>
        <v>0</v>
      </c>
      <c r="D24" s="656">
        <f>'Rancho Vista CWIP Balance'!D53</f>
        <v>0</v>
      </c>
      <c r="E24" s="656">
        <f>'Rancho Vista CWIP Balance'!D54</f>
        <v>0</v>
      </c>
      <c r="F24" s="656">
        <f>'Rancho Vista CWIP Balance'!D55</f>
        <v>0</v>
      </c>
      <c r="G24" s="656">
        <f>'Rancho Vista CWIP Balance'!D56</f>
        <v>0</v>
      </c>
      <c r="H24" s="656">
        <f>'Rancho Vista CWIP Balance'!D57</f>
        <v>0</v>
      </c>
      <c r="I24" s="656">
        <f>'Rancho Vista CWIP Balance'!D58</f>
        <v>0</v>
      </c>
      <c r="J24" s="656">
        <f>'Rancho Vista CWIP Balance'!D59</f>
        <v>0</v>
      </c>
      <c r="K24" s="656">
        <f>'Rancho Vista CWIP Balance'!D60</f>
        <v>0</v>
      </c>
      <c r="L24" s="656">
        <f>'Rancho Vista CWIP Balance'!D61</f>
        <v>0</v>
      </c>
      <c r="M24" s="656">
        <f>'Rancho Vista CWIP Balance'!D62</f>
        <v>0</v>
      </c>
      <c r="N24" s="656">
        <f>'Rancho Vista CWIP Balance'!D63</f>
        <v>0</v>
      </c>
      <c r="O24" s="656">
        <f t="shared" si="2"/>
        <v>0</v>
      </c>
    </row>
    <row r="25" spans="1:15">
      <c r="A25" s="638">
        <v>18</v>
      </c>
      <c r="B25" s="647" t="s">
        <v>253</v>
      </c>
      <c r="C25" s="656">
        <f>'Eldorado Ivanpah CWIP Balance'!D17</f>
        <v>234.35440999999992</v>
      </c>
      <c r="D25" s="656">
        <f>'Eldorado Ivanpah CWIP Balance'!D18</f>
        <v>643.14746999999988</v>
      </c>
      <c r="E25" s="656">
        <f>'Eldorado Ivanpah CWIP Balance'!D19</f>
        <v>759.60904000000119</v>
      </c>
      <c r="F25" s="656">
        <f>'Eldorado Ivanpah CWIP Balance'!D20</f>
        <v>1744.4032099999986</v>
      </c>
      <c r="G25" s="656">
        <f>'Eldorado Ivanpah CWIP Balance'!D21</f>
        <v>714.35400000000118</v>
      </c>
      <c r="H25" s="656">
        <f>'Eldorado Ivanpah CWIP Balance'!D22</f>
        <v>1013.4087399999989</v>
      </c>
      <c r="I25" s="656">
        <f>'Eldorado Ivanpah CWIP Balance'!D23</f>
        <v>1016.8251700000001</v>
      </c>
      <c r="J25" s="656">
        <f>'Eldorado Ivanpah CWIP Balance'!D24</f>
        <v>1540.6367900000005</v>
      </c>
      <c r="K25" s="656">
        <f>'Eldorado Ivanpah CWIP Balance'!D25</f>
        <v>1487.3112900000015</v>
      </c>
      <c r="L25" s="656">
        <f>'Eldorado Ivanpah CWIP Balance'!D26</f>
        <v>5366.9743999999992</v>
      </c>
      <c r="M25" s="656">
        <f>'Eldorado Ivanpah CWIP Balance'!D27</f>
        <v>-2857.9581099999996</v>
      </c>
      <c r="N25" s="656">
        <f>'Eldorado Ivanpah CWIP Balance'!D28</f>
        <v>9648.2360399999998</v>
      </c>
      <c r="O25" s="656">
        <f t="shared" si="2"/>
        <v>21311.302450000003</v>
      </c>
    </row>
    <row r="26" spans="1:15">
      <c r="A26" s="638">
        <v>19</v>
      </c>
      <c r="B26" s="313" t="s">
        <v>251</v>
      </c>
      <c r="C26" s="656">
        <f>'Lugo-Pisgah CWIP Balance'!D17</f>
        <v>93.460809999999995</v>
      </c>
      <c r="D26" s="656">
        <f>'Lugo-Pisgah CWIP Balance'!D18</f>
        <v>45.658000000000001</v>
      </c>
      <c r="E26" s="656">
        <f>'Lugo-Pisgah CWIP Balance'!D19</f>
        <v>82.402919999999995</v>
      </c>
      <c r="F26" s="656">
        <f>'Lugo-Pisgah CWIP Balance'!D20</f>
        <v>-264.49562000000003</v>
      </c>
      <c r="G26" s="656">
        <f>'Lugo-Pisgah CWIP Balance'!D21</f>
        <v>19.924740000000014</v>
      </c>
      <c r="H26" s="656">
        <f>'Lugo-Pisgah CWIP Balance'!D22</f>
        <v>285.77207999999996</v>
      </c>
      <c r="I26" s="656">
        <f>'Lugo-Pisgah CWIP Balance'!D23</f>
        <v>-100.40427</v>
      </c>
      <c r="J26" s="656">
        <f>'Lugo-Pisgah CWIP Balance'!D24</f>
        <v>41.719049999999996</v>
      </c>
      <c r="K26" s="656">
        <f>'Lugo-Pisgah CWIP Balance'!D25</f>
        <v>-259.97582999999997</v>
      </c>
      <c r="L26" s="656">
        <f>'Lugo-Pisgah CWIP Balance'!D26</f>
        <v>12.810239999999993</v>
      </c>
      <c r="M26" s="656">
        <f>'Lugo-Pisgah CWIP Balance'!D27</f>
        <v>79.398890000000009</v>
      </c>
      <c r="N26" s="656">
        <f>'Lugo-Pisgah CWIP Balance'!D28</f>
        <v>34.314609999999988</v>
      </c>
      <c r="O26" s="656">
        <f t="shared" si="2"/>
        <v>70.585619999999906</v>
      </c>
    </row>
    <row r="27" spans="1:15">
      <c r="A27" s="638">
        <v>20</v>
      </c>
      <c r="B27" s="639" t="s">
        <v>252</v>
      </c>
      <c r="C27" s="656">
        <f>'Red Bluff CWIP Balance'!D17</f>
        <v>122.4969900000001</v>
      </c>
      <c r="D27" s="656">
        <f>'Red Bluff CWIP Balance'!D18</f>
        <v>163.33330999999998</v>
      </c>
      <c r="E27" s="656">
        <f>'Red Bluff CWIP Balance'!D19</f>
        <v>391.26891999999987</v>
      </c>
      <c r="F27" s="656">
        <f>'Red Bluff CWIP Balance'!D20</f>
        <v>438.1702600000001</v>
      </c>
      <c r="G27" s="656">
        <f>'Red Bluff CWIP Balance'!D21</f>
        <v>907.18574000000012</v>
      </c>
      <c r="H27" s="656">
        <f>'Red Bluff CWIP Balance'!D22</f>
        <v>601.56822000000011</v>
      </c>
      <c r="I27" s="656">
        <f>'Red Bluff CWIP Balance'!D23</f>
        <v>1568.7889300000002</v>
      </c>
      <c r="J27" s="656">
        <f>'Red Bluff CWIP Balance'!D24</f>
        <v>922.80565999999999</v>
      </c>
      <c r="K27" s="656">
        <f>'Red Bluff CWIP Balance'!D25</f>
        <v>656.05411000000004</v>
      </c>
      <c r="L27" s="656">
        <f>'Red Bluff CWIP Balance'!D26</f>
        <v>1528.14023</v>
      </c>
      <c r="M27" s="656">
        <f>'Red Bluff CWIP Balance'!D27</f>
        <v>1270.3540199999989</v>
      </c>
      <c r="N27" s="656">
        <f>'Red Bluff CWIP Balance'!D28</f>
        <v>5587.3908700000011</v>
      </c>
      <c r="O27" s="656">
        <f t="shared" si="2"/>
        <v>14157.55726</v>
      </c>
    </row>
    <row r="28" spans="1:15">
      <c r="A28" s="638">
        <v>21</v>
      </c>
      <c r="B28" s="639" t="s">
        <v>286</v>
      </c>
      <c r="C28" s="656">
        <v>0</v>
      </c>
      <c r="D28" s="656">
        <v>0</v>
      </c>
      <c r="E28" s="656">
        <f>'Whirlwind CWIP Balance'!D15</f>
        <v>26.16413</v>
      </c>
      <c r="F28" s="656">
        <f>'Whirlwind CWIP Balance'!D16</f>
        <v>14.683889999999998</v>
      </c>
      <c r="G28" s="656">
        <f>'Whirlwind CWIP Balance'!D17</f>
        <v>78.955720000000014</v>
      </c>
      <c r="H28" s="656">
        <f>'Whirlwind CWIP Balance'!D18</f>
        <v>98.110600000000005</v>
      </c>
      <c r="I28" s="656">
        <f>'Whirlwind CWIP Balance'!D19</f>
        <v>18.343799999999987</v>
      </c>
      <c r="J28" s="656">
        <f>'Whirlwind CWIP Balance'!D20</f>
        <v>135.00620000000001</v>
      </c>
      <c r="K28" s="656">
        <f>'Whirlwind CWIP Balance'!D21</f>
        <v>258.32729</v>
      </c>
      <c r="L28" s="656">
        <f>'Whirlwind CWIP Balance'!D22</f>
        <v>973.35884999999996</v>
      </c>
      <c r="M28" s="656">
        <f>'Whirlwind CWIP Balance'!D23</f>
        <v>1014.45226</v>
      </c>
      <c r="N28" s="656">
        <f>'Whirlwind CWIP Balance'!D24</f>
        <v>275.80942000000005</v>
      </c>
      <c r="O28" s="656">
        <f t="shared" si="2"/>
        <v>2893.21216</v>
      </c>
    </row>
    <row r="29" spans="1:15">
      <c r="A29" s="638">
        <v>22</v>
      </c>
      <c r="B29" s="313" t="s">
        <v>287</v>
      </c>
      <c r="C29" s="656">
        <v>0</v>
      </c>
      <c r="D29" s="656">
        <v>0</v>
      </c>
      <c r="E29" s="656">
        <f>'CR CWIP Balance'!D15</f>
        <v>307.04764</v>
      </c>
      <c r="F29" s="656">
        <f>'CR CWIP Balance'!D16</f>
        <v>1171.60238</v>
      </c>
      <c r="G29" s="656">
        <f>'CR CWIP Balance'!D17</f>
        <v>201.98665000000005</v>
      </c>
      <c r="H29" s="656">
        <f>'CR CWIP Balance'!D18</f>
        <v>243.46386999999982</v>
      </c>
      <c r="I29" s="656">
        <f>'CR CWIP Balance'!D19</f>
        <v>88.533580000000029</v>
      </c>
      <c r="J29" s="656">
        <f>'CR CWIP Balance'!D20</f>
        <v>71.645990000000211</v>
      </c>
      <c r="K29" s="656">
        <f>'CR CWIP Balance'!D21</f>
        <v>159.09276999999975</v>
      </c>
      <c r="L29" s="656">
        <f>'CR CWIP Balance'!D22</f>
        <v>3283.9798300000002</v>
      </c>
      <c r="M29" s="656">
        <f>'CR CWIP Balance'!D23</f>
        <v>3423.3637800000006</v>
      </c>
      <c r="N29" s="656">
        <f>'CR CWIP Balance'!D24</f>
        <v>2009.2573999999986</v>
      </c>
      <c r="O29" s="656">
        <f t="shared" si="2"/>
        <v>10959.973889999999</v>
      </c>
    </row>
    <row r="30" spans="1:15">
      <c r="A30" s="638">
        <v>23</v>
      </c>
      <c r="B30" s="639" t="s">
        <v>288</v>
      </c>
      <c r="C30" s="656">
        <v>0</v>
      </c>
      <c r="D30" s="656">
        <v>0</v>
      </c>
      <c r="E30" s="656">
        <f>'S. of Kramer CWIP Balance'!D15</f>
        <v>266.77069</v>
      </c>
      <c r="F30" s="656">
        <f>'S. of Kramer CWIP Balance'!D16</f>
        <v>81.714569999999981</v>
      </c>
      <c r="G30" s="656">
        <f>'S. of Kramer CWIP Balance'!D17</f>
        <v>94.576810000000023</v>
      </c>
      <c r="H30" s="656">
        <f>'S. of Kramer CWIP Balance'!D18</f>
        <v>137.50029999999998</v>
      </c>
      <c r="I30" s="656">
        <f>'S. of Kramer CWIP Balance'!D19</f>
        <v>137.39740000000006</v>
      </c>
      <c r="J30" s="656">
        <f>'S. of Kramer CWIP Balance'!D20</f>
        <v>235.86306999999999</v>
      </c>
      <c r="K30" s="656">
        <f>'S. of Kramer CWIP Balance'!D21</f>
        <v>293.52489999999989</v>
      </c>
      <c r="L30" s="656">
        <f>'S. of Kramer CWIP Balance'!D22</f>
        <v>286.61298000000011</v>
      </c>
      <c r="M30" s="656">
        <f>'S. of Kramer CWIP Balance'!D23</f>
        <v>264.23699999999985</v>
      </c>
      <c r="N30" s="656">
        <f>'S. of Kramer CWIP Balance'!D24</f>
        <v>346.22268000000008</v>
      </c>
      <c r="O30" s="656">
        <f t="shared" si="2"/>
        <v>2144.4204</v>
      </c>
    </row>
    <row r="31" spans="1:15">
      <c r="A31" s="638">
        <v>24</v>
      </c>
      <c r="B31" s="639" t="s">
        <v>289</v>
      </c>
      <c r="C31" s="656">
        <v>0</v>
      </c>
      <c r="D31" s="656">
        <v>0</v>
      </c>
      <c r="E31" s="656">
        <f>'W. of Devers CWIP Balance'!D15</f>
        <v>1932.15182</v>
      </c>
      <c r="F31" s="656">
        <f>'W. of Devers CWIP Balance'!D16</f>
        <v>99.662029999999959</v>
      </c>
      <c r="G31" s="656">
        <f>'W. of Devers CWIP Balance'!D17</f>
        <v>107.49926000000005</v>
      </c>
      <c r="H31" s="656">
        <f>'W. of Devers CWIP Balance'!D18</f>
        <v>154.98619999999983</v>
      </c>
      <c r="I31" s="656">
        <f>'W. of Devers CWIP Balance'!D19</f>
        <v>228.30243999999993</v>
      </c>
      <c r="J31" s="656">
        <f>'W. of Devers CWIP Balance'!D20</f>
        <v>311.95402000000013</v>
      </c>
      <c r="K31" s="656">
        <f>'W. of Devers CWIP Balance'!D21</f>
        <v>372.36882000000014</v>
      </c>
      <c r="L31" s="656">
        <f>'W. of Devers CWIP Balance'!D22</f>
        <v>345.10548999999992</v>
      </c>
      <c r="M31" s="656">
        <f>'W. of Devers CWIP Balance'!D23</f>
        <v>383.11002000000008</v>
      </c>
      <c r="N31" s="656">
        <f>'W. of Devers CWIP Balance'!D24</f>
        <v>889.31795999999986</v>
      </c>
      <c r="O31" s="656">
        <f t="shared" si="2"/>
        <v>4824.4580599999999</v>
      </c>
    </row>
    <row r="32" spans="1:15" ht="13.5" thickBot="1">
      <c r="A32" s="638">
        <v>25</v>
      </c>
      <c r="B32" s="658" t="s">
        <v>328</v>
      </c>
      <c r="C32" s="659">
        <f>SUM(C22:C31)</f>
        <v>28204.038219999984</v>
      </c>
      <c r="D32" s="659">
        <f t="shared" ref="D32:N32" si="3">SUM(D22:D31)</f>
        <v>47749.255309999986</v>
      </c>
      <c r="E32" s="659">
        <f t="shared" si="3"/>
        <v>59170.007310000052</v>
      </c>
      <c r="F32" s="659">
        <f t="shared" si="3"/>
        <v>49274.542489999934</v>
      </c>
      <c r="G32" s="659">
        <f t="shared" si="3"/>
        <v>54489.291450000033</v>
      </c>
      <c r="H32" s="659">
        <f t="shared" si="3"/>
        <v>23424.112489999923</v>
      </c>
      <c r="I32" s="659">
        <f t="shared" si="3"/>
        <v>42960.910510000023</v>
      </c>
      <c r="J32" s="659">
        <f t="shared" si="3"/>
        <v>43819.79523999997</v>
      </c>
      <c r="K32" s="659">
        <f t="shared" si="3"/>
        <v>67361.397970000078</v>
      </c>
      <c r="L32" s="659">
        <f t="shared" si="3"/>
        <v>66704.672260000007</v>
      </c>
      <c r="M32" s="659">
        <f t="shared" si="3"/>
        <v>79390.958819999942</v>
      </c>
      <c r="N32" s="659">
        <f t="shared" si="3"/>
        <v>99955.51714000004</v>
      </c>
      <c r="O32" s="659">
        <f t="shared" si="2"/>
        <v>662504.49920999992</v>
      </c>
    </row>
    <row r="33" spans="1:16" ht="13.5" thickTop="1">
      <c r="A33" s="638">
        <v>26</v>
      </c>
    </row>
    <row r="34" spans="1:16" ht="24.75" thickBot="1">
      <c r="A34" s="667">
        <v>27</v>
      </c>
      <c r="B34" s="582" t="s">
        <v>343</v>
      </c>
      <c r="C34" s="669">
        <f>C19-C32</f>
        <v>60861.961780000012</v>
      </c>
      <c r="D34" s="669">
        <f t="shared" ref="D34:O34" si="4">D19-D32</f>
        <v>30355.744690000014</v>
      </c>
      <c r="E34" s="669">
        <f t="shared" si="4"/>
        <v>15907.992689999948</v>
      </c>
      <c r="F34" s="669">
        <f t="shared" si="4"/>
        <v>618.45751000006567</v>
      </c>
      <c r="G34" s="669">
        <f t="shared" si="4"/>
        <v>6796.7085499999666</v>
      </c>
      <c r="H34" s="669">
        <f t="shared" si="4"/>
        <v>44108.887510000073</v>
      </c>
      <c r="I34" s="669">
        <f t="shared" si="4"/>
        <v>20460.089489999977</v>
      </c>
      <c r="J34" s="669">
        <f t="shared" si="4"/>
        <v>12865.20476000003</v>
      </c>
      <c r="K34" s="669">
        <f t="shared" si="4"/>
        <v>-14293.397970000078</v>
      </c>
      <c r="L34" s="669">
        <f t="shared" si="4"/>
        <v>-10041.672260000007</v>
      </c>
      <c r="M34" s="669">
        <f t="shared" si="4"/>
        <v>-30616.958819999942</v>
      </c>
      <c r="N34" s="669">
        <f t="shared" si="4"/>
        <v>-57370.51714000004</v>
      </c>
      <c r="O34" s="669">
        <f t="shared" si="4"/>
        <v>79652.500790000078</v>
      </c>
      <c r="P34" s="668"/>
    </row>
    <row r="35" spans="1:16" ht="13.5" thickTop="1"/>
  </sheetData>
  <mergeCells count="5">
    <mergeCell ref="A1:N1"/>
    <mergeCell ref="A2:N2"/>
    <mergeCell ref="A3:N3"/>
    <mergeCell ref="A4:N4"/>
    <mergeCell ref="C7:O7"/>
  </mergeCells>
  <pageMargins left="0.7" right="0.7" top="0.75" bottom="0.75" header="0.3" footer="0.3"/>
  <pageSetup scale="68" orientation="landscape" verticalDpi="0" r:id="rId1"/>
  <headerFooter>
    <oddHeader>&amp;RAttachment 4
WP-Schedule 3
CWIP Balancing Acct 12-31-11 Balance
&amp;P of &amp;N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 enableFormatConditionsCalculation="0">
    <tabColor indexed="42"/>
    <pageSetUpPr fitToPage="1"/>
  </sheetPr>
  <dimension ref="A1:H68"/>
  <sheetViews>
    <sheetView view="pageBreakPreview" zoomScale="60" zoomScaleNormal="100" workbookViewId="0">
      <selection activeCell="C57" sqref="C57"/>
    </sheetView>
  </sheetViews>
  <sheetFormatPr defaultColWidth="11.42578125" defaultRowHeight="15" outlineLevelRow="3"/>
  <cols>
    <col min="1" max="1" width="10.5703125" style="123" bestFit="1" customWidth="1"/>
    <col min="2" max="3" width="13.85546875" style="123" bestFit="1" customWidth="1"/>
    <col min="4" max="4" width="11.7109375" style="218" bestFit="1" customWidth="1"/>
    <col min="5" max="5" width="14.42578125" style="123" bestFit="1" customWidth="1"/>
    <col min="6" max="16384" width="11.42578125" style="123"/>
  </cols>
  <sheetData>
    <row r="1" spans="1:5" ht="15.75">
      <c r="A1" s="714" t="s">
        <v>0</v>
      </c>
      <c r="B1" s="714"/>
      <c r="C1" s="714"/>
      <c r="D1" s="714"/>
      <c r="E1" s="714"/>
    </row>
    <row r="2" spans="1:5" ht="15.75">
      <c r="A2" s="715" t="s">
        <v>150</v>
      </c>
      <c r="B2" s="728"/>
      <c r="C2" s="728"/>
      <c r="D2" s="728"/>
      <c r="E2" s="728"/>
    </row>
    <row r="3" spans="1: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124"/>
      <c r="B5" s="124"/>
      <c r="C5" s="124"/>
      <c r="D5" s="214"/>
      <c r="E5" s="124"/>
    </row>
    <row r="6" spans="1:5">
      <c r="A6" s="124"/>
      <c r="B6" s="124"/>
      <c r="C6" s="174"/>
      <c r="D6" s="215"/>
      <c r="E6" s="174"/>
    </row>
    <row r="7" spans="1:5">
      <c r="A7" s="124"/>
      <c r="B7" s="124"/>
      <c r="C7" s="175"/>
      <c r="D7" s="216"/>
      <c r="E7" s="176"/>
    </row>
    <row r="8" spans="1:5" ht="15" customHeight="1">
      <c r="A8" s="123" t="s">
        <v>132</v>
      </c>
      <c r="B8" s="126"/>
      <c r="C8" s="182"/>
      <c r="D8" s="217"/>
      <c r="E8" s="183"/>
    </row>
    <row r="9" spans="1:5">
      <c r="B9" s="126"/>
      <c r="C9" s="182"/>
      <c r="D9" s="217"/>
      <c r="E9" s="183"/>
    </row>
    <row r="10" spans="1:5">
      <c r="B10" s="126"/>
      <c r="C10" s="182"/>
      <c r="D10" s="217"/>
      <c r="E10" s="184"/>
    </row>
    <row r="11" spans="1:5">
      <c r="B11" s="126"/>
      <c r="C11" s="134"/>
      <c r="D11" s="219"/>
      <c r="E11" s="129"/>
    </row>
    <row r="13" spans="1:5" ht="48.75" customHeight="1">
      <c r="A13" s="734" t="s">
        <v>114</v>
      </c>
      <c r="B13" s="725" t="s">
        <v>161</v>
      </c>
      <c r="C13" s="725" t="s">
        <v>162</v>
      </c>
      <c r="D13" s="731" t="s">
        <v>115</v>
      </c>
      <c r="E13" s="734" t="s">
        <v>116</v>
      </c>
    </row>
    <row r="14" spans="1:5">
      <c r="A14" s="735"/>
      <c r="B14" s="726"/>
      <c r="C14" s="722"/>
      <c r="D14" s="732"/>
      <c r="E14" s="735"/>
    </row>
    <row r="15" spans="1:5" hidden="1" outlineLevel="3">
      <c r="A15" s="130" t="s">
        <v>117</v>
      </c>
      <c r="B15" s="131"/>
      <c r="C15" s="131"/>
      <c r="D15" s="171"/>
      <c r="E15" s="161">
        <v>0</v>
      </c>
    </row>
    <row r="16" spans="1:5" hidden="1" outlineLevel="3">
      <c r="A16" s="130" t="s">
        <v>118</v>
      </c>
      <c r="B16" s="132"/>
      <c r="C16" s="132"/>
      <c r="D16" s="171"/>
      <c r="E16" s="161">
        <v>0</v>
      </c>
    </row>
    <row r="17" spans="1:5" hidden="1" outlineLevel="3">
      <c r="A17" s="274" t="s">
        <v>119</v>
      </c>
      <c r="B17" s="281"/>
      <c r="C17" s="281"/>
      <c r="D17" s="275"/>
      <c r="E17" s="221">
        <v>32161.686249999999</v>
      </c>
    </row>
    <row r="18" spans="1:5" hidden="1" outlineLevel="2">
      <c r="A18" s="274" t="s">
        <v>120</v>
      </c>
      <c r="B18" s="275">
        <f>D18-C18</f>
        <v>35032.844689999998</v>
      </c>
      <c r="C18" s="281">
        <f>(1280.43938)-(1280.43938)</f>
        <v>0</v>
      </c>
      <c r="D18" s="275">
        <f>IF(E18=0,0,E18-E17)</f>
        <v>35032.844689999998</v>
      </c>
      <c r="E18" s="221">
        <v>67194.530939999997</v>
      </c>
    </row>
    <row r="19" spans="1:5" hidden="1" outlineLevel="2">
      <c r="A19" s="274" t="s">
        <v>121</v>
      </c>
      <c r="B19" s="275">
        <f>D19-C19</f>
        <v>6188.4266599999974</v>
      </c>
      <c r="C19" s="281">
        <f>1280.43938-1280.43938</f>
        <v>0</v>
      </c>
      <c r="D19" s="275">
        <f>IF(E19=0,0,E19-E18)</f>
        <v>6188.4266599999974</v>
      </c>
      <c r="E19" s="221">
        <v>73382.957599999994</v>
      </c>
    </row>
    <row r="20" spans="1:5" hidden="1" outlineLevel="2">
      <c r="A20" s="274" t="s">
        <v>75</v>
      </c>
      <c r="B20" s="275">
        <f t="shared" ref="B20:B39" si="0">D20-C20</f>
        <v>4136.8102700000109</v>
      </c>
      <c r="C20" s="221">
        <f>1323.28638-1280.43938</f>
        <v>42.84699999999998</v>
      </c>
      <c r="D20" s="275">
        <f t="shared" ref="D20:D39" si="1">IF(E20=0,0,E20-E19)</f>
        <v>4179.6572700000106</v>
      </c>
      <c r="E20" s="221">
        <v>77562.614870000005</v>
      </c>
    </row>
    <row r="21" spans="1:5" hidden="1" outlineLevel="2">
      <c r="A21" s="274" t="s">
        <v>122</v>
      </c>
      <c r="B21" s="275">
        <f t="shared" si="0"/>
        <v>24905.922549999988</v>
      </c>
      <c r="C21" s="281">
        <f t="shared" ref="C21:C26" si="2">1323.28638-1323.28638</f>
        <v>0</v>
      </c>
      <c r="D21" s="275">
        <f t="shared" si="1"/>
        <v>24905.922549999988</v>
      </c>
      <c r="E21" s="221">
        <v>102468.53741999999</v>
      </c>
    </row>
    <row r="22" spans="1:5" hidden="1" outlineLevel="2">
      <c r="A22" s="274" t="s">
        <v>123</v>
      </c>
      <c r="B22" s="275">
        <f t="shared" si="0"/>
        <v>41894.688550000006</v>
      </c>
      <c r="C22" s="281">
        <f t="shared" si="2"/>
        <v>0</v>
      </c>
      <c r="D22" s="275">
        <f t="shared" si="1"/>
        <v>41894.688550000006</v>
      </c>
      <c r="E22" s="221">
        <v>144363.22597</v>
      </c>
    </row>
    <row r="23" spans="1:5" hidden="1" outlineLevel="2">
      <c r="A23" s="274" t="s">
        <v>124</v>
      </c>
      <c r="B23" s="275">
        <f t="shared" si="0"/>
        <v>-24462.7264</v>
      </c>
      <c r="C23" s="281">
        <f t="shared" si="2"/>
        <v>0</v>
      </c>
      <c r="D23" s="275">
        <f t="shared" si="1"/>
        <v>-24462.7264</v>
      </c>
      <c r="E23" s="221">
        <v>119900.49957</v>
      </c>
    </row>
    <row r="24" spans="1:5" hidden="1" outlineLevel="2">
      <c r="A24" s="274" t="s">
        <v>125</v>
      </c>
      <c r="B24" s="275">
        <f t="shared" si="0"/>
        <v>2111.1678399999946</v>
      </c>
      <c r="C24" s="281">
        <f t="shared" si="2"/>
        <v>0</v>
      </c>
      <c r="D24" s="275">
        <f t="shared" si="1"/>
        <v>2111.1678399999946</v>
      </c>
      <c r="E24" s="221">
        <v>122011.66740999999</v>
      </c>
    </row>
    <row r="25" spans="1:5" hidden="1" outlineLevel="2">
      <c r="A25" s="274" t="s">
        <v>126</v>
      </c>
      <c r="B25" s="275">
        <f t="shared" si="0"/>
        <v>4098.7202600000019</v>
      </c>
      <c r="C25" s="281">
        <f t="shared" si="2"/>
        <v>0</v>
      </c>
      <c r="D25" s="275">
        <f t="shared" si="1"/>
        <v>4098.7202600000019</v>
      </c>
      <c r="E25" s="221">
        <v>126110.38767</v>
      </c>
    </row>
    <row r="26" spans="1:5" hidden="1" outlineLevel="2">
      <c r="A26" s="274" t="s">
        <v>127</v>
      </c>
      <c r="B26" s="275">
        <f t="shared" si="0"/>
        <v>13483.964860000007</v>
      </c>
      <c r="C26" s="281">
        <f t="shared" si="2"/>
        <v>0</v>
      </c>
      <c r="D26" s="275">
        <f t="shared" si="1"/>
        <v>13483.964860000007</v>
      </c>
      <c r="E26" s="221">
        <v>139594.35253</v>
      </c>
    </row>
    <row r="27" spans="1:5" hidden="1" outlineLevel="2">
      <c r="A27" s="277" t="s">
        <v>128</v>
      </c>
      <c r="B27" s="278">
        <f t="shared" si="0"/>
        <v>13500.718399999983</v>
      </c>
      <c r="C27" s="221">
        <f>1327.41297-1323.28638</f>
        <v>4.1265900000000784</v>
      </c>
      <c r="D27" s="278">
        <f t="shared" si="1"/>
        <v>13504.844989999983</v>
      </c>
      <c r="E27" s="279">
        <v>153099.19751999999</v>
      </c>
    </row>
    <row r="28" spans="1:5" hidden="1" outlineLevel="2">
      <c r="A28" s="274" t="s">
        <v>189</v>
      </c>
      <c r="B28" s="275">
        <f t="shared" si="0"/>
        <v>2530.3740000000107</v>
      </c>
      <c r="C28" s="221">
        <f>1327.41297-1327.41297</f>
        <v>0</v>
      </c>
      <c r="D28" s="275">
        <f t="shared" si="1"/>
        <v>2530.3740000000107</v>
      </c>
      <c r="E28" s="279">
        <v>155629.57152</v>
      </c>
    </row>
    <row r="29" spans="1:5" hidden="1" outlineLevel="2">
      <c r="A29" s="274" t="s">
        <v>119</v>
      </c>
      <c r="B29" s="278">
        <f t="shared" si="0"/>
        <v>5690.3467400000081</v>
      </c>
      <c r="C29" s="221">
        <f>1327.41297-1327.41297</f>
        <v>0</v>
      </c>
      <c r="D29" s="278">
        <f t="shared" si="1"/>
        <v>5690.3467400000081</v>
      </c>
      <c r="E29" s="279">
        <v>161319.91826000001</v>
      </c>
    </row>
    <row r="30" spans="1:5" hidden="1" outlineLevel="2">
      <c r="A30" s="274" t="s">
        <v>120</v>
      </c>
      <c r="B30" s="275">
        <f t="shared" si="0"/>
        <v>309.24916000000667</v>
      </c>
      <c r="C30" s="221">
        <f>1327.41297-1327.41297</f>
        <v>0</v>
      </c>
      <c r="D30" s="275">
        <f t="shared" si="1"/>
        <v>309.24916000000667</v>
      </c>
      <c r="E30" s="279">
        <v>161629.16742000001</v>
      </c>
    </row>
    <row r="31" spans="1:5" hidden="1" outlineLevel="2">
      <c r="A31" s="274" t="s">
        <v>121</v>
      </c>
      <c r="B31" s="278">
        <f t="shared" si="0"/>
        <v>11287.13604999999</v>
      </c>
      <c r="C31" s="221">
        <f>1330.06962-1327.41297</f>
        <v>2.6566499999998996</v>
      </c>
      <c r="D31" s="278">
        <f t="shared" si="1"/>
        <v>11289.792699999991</v>
      </c>
      <c r="E31" s="279">
        <v>172918.96012</v>
      </c>
    </row>
    <row r="32" spans="1:5" hidden="1" outlineLevel="2">
      <c r="A32" s="274" t="s">
        <v>75</v>
      </c>
      <c r="B32" s="278">
        <f t="shared" si="0"/>
        <v>0</v>
      </c>
      <c r="C32" s="282">
        <v>0</v>
      </c>
      <c r="D32" s="275">
        <f t="shared" si="1"/>
        <v>0</v>
      </c>
      <c r="E32" s="279">
        <v>0</v>
      </c>
    </row>
    <row r="33" spans="1:8" hidden="1" outlineLevel="2">
      <c r="A33" s="274" t="s">
        <v>122</v>
      </c>
      <c r="B33" s="278">
        <f t="shared" si="0"/>
        <v>0</v>
      </c>
      <c r="C33" s="282">
        <v>0</v>
      </c>
      <c r="D33" s="278">
        <f t="shared" si="1"/>
        <v>0</v>
      </c>
      <c r="E33" s="279">
        <v>0</v>
      </c>
    </row>
    <row r="34" spans="1:8" hidden="1" outlineLevel="2">
      <c r="A34" s="274" t="s">
        <v>123</v>
      </c>
      <c r="B34" s="275">
        <f t="shared" si="0"/>
        <v>0</v>
      </c>
      <c r="C34" s="282">
        <v>0</v>
      </c>
      <c r="D34" s="275">
        <f t="shared" si="1"/>
        <v>0</v>
      </c>
      <c r="E34" s="279">
        <v>0</v>
      </c>
    </row>
    <row r="35" spans="1:8" hidden="1" outlineLevel="2">
      <c r="A35" s="274" t="s">
        <v>124</v>
      </c>
      <c r="B35" s="278">
        <f t="shared" si="0"/>
        <v>0</v>
      </c>
      <c r="C35" s="282">
        <v>0</v>
      </c>
      <c r="D35" s="278">
        <f t="shared" si="1"/>
        <v>0</v>
      </c>
      <c r="E35" s="279">
        <v>0</v>
      </c>
    </row>
    <row r="36" spans="1:8" hidden="1" outlineLevel="2">
      <c r="A36" s="274" t="s">
        <v>125</v>
      </c>
      <c r="B36" s="275">
        <f t="shared" si="0"/>
        <v>0</v>
      </c>
      <c r="C36" s="282">
        <v>0</v>
      </c>
      <c r="D36" s="275">
        <f t="shared" si="1"/>
        <v>0</v>
      </c>
      <c r="E36" s="279">
        <v>0</v>
      </c>
    </row>
    <row r="37" spans="1:8" hidden="1" outlineLevel="2">
      <c r="A37" s="274" t="s">
        <v>126</v>
      </c>
      <c r="B37" s="278">
        <f t="shared" si="0"/>
        <v>0</v>
      </c>
      <c r="C37" s="282">
        <v>0</v>
      </c>
      <c r="D37" s="278">
        <f t="shared" si="1"/>
        <v>0</v>
      </c>
      <c r="E37" s="279">
        <v>0</v>
      </c>
    </row>
    <row r="38" spans="1:8" hidden="1" outlineLevel="2">
      <c r="A38" s="274" t="s">
        <v>127</v>
      </c>
      <c r="B38" s="275">
        <f t="shared" si="0"/>
        <v>0</v>
      </c>
      <c r="C38" s="282">
        <v>0</v>
      </c>
      <c r="D38" s="275">
        <f t="shared" si="1"/>
        <v>0</v>
      </c>
      <c r="E38" s="279">
        <v>0</v>
      </c>
    </row>
    <row r="39" spans="1:8" hidden="1" outlineLevel="1">
      <c r="A39" s="277" t="s">
        <v>190</v>
      </c>
      <c r="B39" s="278">
        <f t="shared" si="0"/>
        <v>0</v>
      </c>
      <c r="C39" s="282">
        <v>0</v>
      </c>
      <c r="D39" s="278">
        <f t="shared" si="1"/>
        <v>0</v>
      </c>
      <c r="E39" s="279">
        <v>0</v>
      </c>
    </row>
    <row r="40" spans="1:8" hidden="1" outlineLevel="1" collapsed="1">
      <c r="A40" s="274" t="s">
        <v>226</v>
      </c>
      <c r="B40" s="275">
        <f t="shared" ref="B40:B51" si="3">D40-C40</f>
        <v>0</v>
      </c>
      <c r="C40" s="282">
        <v>0</v>
      </c>
      <c r="D40" s="275">
        <f t="shared" ref="D40:D51" si="4">IF(E40=0,0,E40-E39)</f>
        <v>0</v>
      </c>
      <c r="E40" s="279">
        <v>0</v>
      </c>
    </row>
    <row r="41" spans="1:8" hidden="1" outlineLevel="1">
      <c r="A41" s="274" t="s">
        <v>119</v>
      </c>
      <c r="B41" s="278">
        <f t="shared" si="3"/>
        <v>0</v>
      </c>
      <c r="C41" s="282">
        <v>0</v>
      </c>
      <c r="D41" s="278">
        <f t="shared" si="4"/>
        <v>0</v>
      </c>
      <c r="E41" s="279">
        <v>0</v>
      </c>
    </row>
    <row r="42" spans="1:8" hidden="1" outlineLevel="1">
      <c r="A42" s="274" t="s">
        <v>120</v>
      </c>
      <c r="B42" s="275">
        <f t="shared" si="3"/>
        <v>0</v>
      </c>
      <c r="C42" s="282">
        <v>0</v>
      </c>
      <c r="D42" s="275">
        <f t="shared" si="4"/>
        <v>0</v>
      </c>
      <c r="E42" s="279">
        <v>0</v>
      </c>
      <c r="H42" s="187"/>
    </row>
    <row r="43" spans="1:8" hidden="1" outlineLevel="1">
      <c r="A43" s="274" t="s">
        <v>121</v>
      </c>
      <c r="B43" s="278">
        <f t="shared" si="3"/>
        <v>0</v>
      </c>
      <c r="C43" s="282">
        <v>0</v>
      </c>
      <c r="D43" s="278">
        <f t="shared" si="4"/>
        <v>0</v>
      </c>
      <c r="E43" s="279">
        <v>0</v>
      </c>
    </row>
    <row r="44" spans="1:8" s="187" customFormat="1" hidden="1" outlineLevel="1">
      <c r="A44" s="274" t="s">
        <v>75</v>
      </c>
      <c r="B44" s="278">
        <f t="shared" si="3"/>
        <v>0</v>
      </c>
      <c r="C44" s="282">
        <v>0</v>
      </c>
      <c r="D44" s="275">
        <f t="shared" si="4"/>
        <v>0</v>
      </c>
      <c r="E44" s="279">
        <v>0</v>
      </c>
    </row>
    <row r="45" spans="1:8" hidden="1" outlineLevel="1">
      <c r="A45" s="274" t="s">
        <v>122</v>
      </c>
      <c r="B45" s="278">
        <f t="shared" si="3"/>
        <v>0</v>
      </c>
      <c r="C45" s="282">
        <f>0-0</f>
        <v>0</v>
      </c>
      <c r="D45" s="278">
        <f t="shared" si="4"/>
        <v>0</v>
      </c>
      <c r="E45" s="279">
        <v>0</v>
      </c>
    </row>
    <row r="46" spans="1:8" hidden="1" outlineLevel="1">
      <c r="A46" s="274" t="s">
        <v>123</v>
      </c>
      <c r="B46" s="275">
        <f t="shared" si="3"/>
        <v>0</v>
      </c>
      <c r="C46" s="282">
        <f t="shared" ref="C46:C51" si="5">0-0</f>
        <v>0</v>
      </c>
      <c r="D46" s="275">
        <f t="shared" si="4"/>
        <v>0</v>
      </c>
      <c r="E46" s="279">
        <v>0</v>
      </c>
    </row>
    <row r="47" spans="1:8" hidden="1" outlineLevel="1">
      <c r="A47" s="274" t="s">
        <v>124</v>
      </c>
      <c r="B47" s="278">
        <f t="shared" si="3"/>
        <v>0</v>
      </c>
      <c r="C47" s="282">
        <f t="shared" si="5"/>
        <v>0</v>
      </c>
      <c r="D47" s="278">
        <f t="shared" si="4"/>
        <v>0</v>
      </c>
      <c r="E47" s="279">
        <v>0</v>
      </c>
    </row>
    <row r="48" spans="1:8" hidden="1" outlineLevel="1">
      <c r="A48" s="274" t="s">
        <v>125</v>
      </c>
      <c r="B48" s="275">
        <f t="shared" si="3"/>
        <v>0</v>
      </c>
      <c r="C48" s="282">
        <f t="shared" si="5"/>
        <v>0</v>
      </c>
      <c r="D48" s="275">
        <f t="shared" si="4"/>
        <v>0</v>
      </c>
      <c r="E48" s="279">
        <v>0</v>
      </c>
    </row>
    <row r="49" spans="1:8" collapsed="1">
      <c r="A49" s="274" t="s">
        <v>126</v>
      </c>
      <c r="B49" s="278">
        <f t="shared" si="3"/>
        <v>0</v>
      </c>
      <c r="C49" s="282">
        <f t="shared" si="5"/>
        <v>0</v>
      </c>
      <c r="D49" s="278">
        <f t="shared" si="4"/>
        <v>0</v>
      </c>
      <c r="E49" s="279">
        <v>0</v>
      </c>
    </row>
    <row r="50" spans="1:8">
      <c r="A50" s="274" t="s">
        <v>127</v>
      </c>
      <c r="B50" s="275">
        <f t="shared" si="3"/>
        <v>0</v>
      </c>
      <c r="C50" s="282">
        <f t="shared" si="5"/>
        <v>0</v>
      </c>
      <c r="D50" s="275">
        <f t="shared" si="4"/>
        <v>0</v>
      </c>
      <c r="E50" s="279">
        <v>0</v>
      </c>
    </row>
    <row r="51" spans="1:8">
      <c r="A51" s="277" t="s">
        <v>227</v>
      </c>
      <c r="B51" s="278">
        <f t="shared" si="3"/>
        <v>0</v>
      </c>
      <c r="C51" s="282">
        <f t="shared" si="5"/>
        <v>0</v>
      </c>
      <c r="D51" s="278">
        <f t="shared" si="4"/>
        <v>0</v>
      </c>
      <c r="E51" s="279">
        <v>0</v>
      </c>
    </row>
    <row r="52" spans="1:8">
      <c r="A52" s="444" t="s">
        <v>262</v>
      </c>
      <c r="B52" s="275">
        <f t="shared" ref="B52:B63" si="6">D52-C52</f>
        <v>0</v>
      </c>
      <c r="C52" s="282">
        <v>0</v>
      </c>
      <c r="D52" s="275">
        <f t="shared" ref="D52:D63" si="7">IF(E52=0,0,E52-E51)</f>
        <v>0</v>
      </c>
      <c r="E52" s="279">
        <v>0</v>
      </c>
    </row>
    <row r="53" spans="1:8">
      <c r="A53" s="274" t="s">
        <v>119</v>
      </c>
      <c r="B53" s="278">
        <f t="shared" si="6"/>
        <v>0</v>
      </c>
      <c r="C53" s="282">
        <v>0</v>
      </c>
      <c r="D53" s="278">
        <f t="shared" si="7"/>
        <v>0</v>
      </c>
      <c r="E53" s="279">
        <v>0</v>
      </c>
    </row>
    <row r="54" spans="1:8">
      <c r="A54" s="274" t="s">
        <v>120</v>
      </c>
      <c r="B54" s="275">
        <f t="shared" si="6"/>
        <v>0</v>
      </c>
      <c r="C54" s="282">
        <v>0</v>
      </c>
      <c r="D54" s="275">
        <f t="shared" si="7"/>
        <v>0</v>
      </c>
      <c r="E54" s="279">
        <v>0</v>
      </c>
      <c r="H54" s="187"/>
    </row>
    <row r="55" spans="1:8">
      <c r="A55" s="274" t="s">
        <v>121</v>
      </c>
      <c r="B55" s="278">
        <f t="shared" si="6"/>
        <v>0</v>
      </c>
      <c r="C55" s="282">
        <v>0</v>
      </c>
      <c r="D55" s="278">
        <f t="shared" si="7"/>
        <v>0</v>
      </c>
      <c r="E55" s="279">
        <v>0</v>
      </c>
    </row>
    <row r="56" spans="1:8" s="187" customFormat="1">
      <c r="A56" s="274" t="s">
        <v>75</v>
      </c>
      <c r="B56" s="278">
        <f t="shared" si="6"/>
        <v>0</v>
      </c>
      <c r="C56" s="282">
        <v>0</v>
      </c>
      <c r="D56" s="275">
        <f t="shared" si="7"/>
        <v>0</v>
      </c>
      <c r="E56" s="279">
        <v>0</v>
      </c>
    </row>
    <row r="57" spans="1:8">
      <c r="A57" s="274" t="s">
        <v>122</v>
      </c>
      <c r="B57" s="278">
        <f t="shared" si="6"/>
        <v>0</v>
      </c>
      <c r="C57" s="282">
        <f>0-0</f>
        <v>0</v>
      </c>
      <c r="D57" s="278">
        <f t="shared" si="7"/>
        <v>0</v>
      </c>
      <c r="E57" s="279">
        <v>0</v>
      </c>
    </row>
    <row r="58" spans="1:8">
      <c r="A58" s="274" t="s">
        <v>123</v>
      </c>
      <c r="B58" s="275">
        <f t="shared" si="6"/>
        <v>0</v>
      </c>
      <c r="C58" s="282">
        <f t="shared" ref="C58:C63" si="8">0-0</f>
        <v>0</v>
      </c>
      <c r="D58" s="275">
        <f t="shared" si="7"/>
        <v>0</v>
      </c>
      <c r="E58" s="279">
        <v>0</v>
      </c>
    </row>
    <row r="59" spans="1:8">
      <c r="A59" s="274" t="s">
        <v>124</v>
      </c>
      <c r="B59" s="278">
        <f t="shared" si="6"/>
        <v>0</v>
      </c>
      <c r="C59" s="282">
        <f t="shared" si="8"/>
        <v>0</v>
      </c>
      <c r="D59" s="278">
        <f t="shared" si="7"/>
        <v>0</v>
      </c>
      <c r="E59" s="279">
        <v>0</v>
      </c>
    </row>
    <row r="60" spans="1:8">
      <c r="A60" s="274" t="s">
        <v>125</v>
      </c>
      <c r="B60" s="275">
        <f t="shared" si="6"/>
        <v>0</v>
      </c>
      <c r="C60" s="282">
        <f t="shared" si="8"/>
        <v>0</v>
      </c>
      <c r="D60" s="275">
        <f t="shared" si="7"/>
        <v>0</v>
      </c>
      <c r="E60" s="279">
        <v>0</v>
      </c>
    </row>
    <row r="61" spans="1:8">
      <c r="A61" s="274" t="s">
        <v>126</v>
      </c>
      <c r="B61" s="278">
        <f t="shared" si="6"/>
        <v>0</v>
      </c>
      <c r="C61" s="282">
        <f t="shared" si="8"/>
        <v>0</v>
      </c>
      <c r="D61" s="278">
        <f t="shared" si="7"/>
        <v>0</v>
      </c>
      <c r="E61" s="279">
        <v>0</v>
      </c>
    </row>
    <row r="62" spans="1:8">
      <c r="A62" s="274" t="s">
        <v>127</v>
      </c>
      <c r="B62" s="275">
        <f t="shared" si="6"/>
        <v>0</v>
      </c>
      <c r="C62" s="282">
        <f t="shared" si="8"/>
        <v>0</v>
      </c>
      <c r="D62" s="275">
        <f t="shared" si="7"/>
        <v>0</v>
      </c>
      <c r="E62" s="279">
        <v>0</v>
      </c>
    </row>
    <row r="63" spans="1:8">
      <c r="A63" s="629" t="s">
        <v>263</v>
      </c>
      <c r="B63" s="633">
        <f t="shared" si="6"/>
        <v>0</v>
      </c>
      <c r="C63" s="316">
        <f t="shared" si="8"/>
        <v>0</v>
      </c>
      <c r="D63" s="633">
        <f t="shared" si="7"/>
        <v>0</v>
      </c>
      <c r="E63" s="616">
        <v>0</v>
      </c>
    </row>
    <row r="64" spans="1:8" hidden="1" outlineLevel="1">
      <c r="A64" s="133" t="s">
        <v>115</v>
      </c>
      <c r="B64" s="131">
        <f>SUM(B18:B63)</f>
        <v>140707.64363000001</v>
      </c>
      <c r="C64" s="131">
        <f>SUM(C15:C63)</f>
        <v>49.630239999999958</v>
      </c>
      <c r="D64" s="171">
        <f>SUM(D18:D63)</f>
        <v>140757.27387</v>
      </c>
      <c r="E64" s="131">
        <f>SUM(E15:E63)</f>
        <v>1809347.27507</v>
      </c>
    </row>
    <row r="65" spans="1:5" collapsed="1">
      <c r="A65" s="133"/>
    </row>
    <row r="66" spans="1:5">
      <c r="A66" s="133"/>
    </row>
    <row r="67" spans="1:5">
      <c r="A67" s="186" t="s">
        <v>163</v>
      </c>
    </row>
    <row r="68" spans="1:5">
      <c r="A68" s="733" t="s">
        <v>166</v>
      </c>
      <c r="B68" s="733"/>
      <c r="C68" s="733"/>
      <c r="D68" s="733"/>
      <c r="E68" s="733"/>
    </row>
  </sheetData>
  <mergeCells count="10">
    <mergeCell ref="A68:E68"/>
    <mergeCell ref="A13:A14"/>
    <mergeCell ref="B13:B14"/>
    <mergeCell ref="D13:D14"/>
    <mergeCell ref="A1:E1"/>
    <mergeCell ref="A2:E2"/>
    <mergeCell ref="A3:E3"/>
    <mergeCell ref="A4:E4"/>
    <mergeCell ref="E13:E14"/>
    <mergeCell ref="C13:C14"/>
  </mergeCells>
  <phoneticPr fontId="4" type="noConversion"/>
  <printOptions horizontalCentered="1"/>
  <pageMargins left="0.75" right="0.75" top="0.59" bottom="0.85" header="0.5" footer="0.5"/>
  <pageSetup orientation="portrait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K25"/>
  <sheetViews>
    <sheetView view="pageBreakPreview" zoomScaleNormal="100" zoomScaleSheetLayoutView="100" workbookViewId="0">
      <selection activeCell="G25" sqref="G25"/>
    </sheetView>
  </sheetViews>
  <sheetFormatPr defaultRowHeight="12.75"/>
  <cols>
    <col min="1" max="1" width="12.5703125" customWidth="1"/>
    <col min="2" max="3" width="15" customWidth="1"/>
    <col min="4" max="4" width="14.140625" customWidth="1"/>
    <col min="5" max="5" width="10.140625" bestFit="1" customWidth="1"/>
    <col min="6" max="7" width="13.7109375" customWidth="1"/>
    <col min="8" max="8" width="2.5703125" customWidth="1"/>
    <col min="9" max="11" width="12.85546875" customWidth="1"/>
    <col min="12" max="12" width="2.85546875" customWidth="1"/>
  </cols>
  <sheetData>
    <row r="1" spans="1:11" ht="15.75">
      <c r="A1" s="1" t="s">
        <v>312</v>
      </c>
    </row>
    <row r="4" spans="1:11" s="64" customFormat="1" ht="51">
      <c r="A4" s="296" t="s">
        <v>201</v>
      </c>
      <c r="B4" s="296" t="s">
        <v>202</v>
      </c>
      <c r="C4" s="296" t="s">
        <v>203</v>
      </c>
      <c r="D4" s="296" t="s">
        <v>204</v>
      </c>
      <c r="E4" s="296" t="s">
        <v>205</v>
      </c>
      <c r="F4" s="296" t="s">
        <v>206</v>
      </c>
      <c r="G4" s="296" t="s">
        <v>207</v>
      </c>
      <c r="H4" s="297"/>
      <c r="I4" s="296" t="s">
        <v>208</v>
      </c>
      <c r="J4" s="296" t="s">
        <v>209</v>
      </c>
      <c r="K4" s="296" t="s">
        <v>210</v>
      </c>
    </row>
    <row r="6" spans="1:11">
      <c r="A6" s="287" t="s">
        <v>219</v>
      </c>
      <c r="B6" s="285">
        <f>'Rancho Vista CWIP Balance'!E23-'Rancho Vista CWIP Balance'!D23</f>
        <v>144363.22597</v>
      </c>
      <c r="C6" s="285">
        <f>-'Rancho Vista CWIP Balance'!B23</f>
        <v>24462.7264</v>
      </c>
      <c r="D6" s="283">
        <f>C6/B6</f>
        <v>0.16945261672860912</v>
      </c>
      <c r="E6" s="285">
        <f>'Def Tax'!C502</f>
        <v>1187.8649895356459</v>
      </c>
      <c r="F6" s="285">
        <f>-E6*D6</f>
        <v>-201.28683079711709</v>
      </c>
      <c r="G6" s="285">
        <f>F6+E6</f>
        <v>986.57815873852883</v>
      </c>
      <c r="H6" s="224"/>
      <c r="I6" s="285">
        <f>'Def Tax'!C431</f>
        <v>3392.1278242368903</v>
      </c>
      <c r="J6" s="285">
        <f>-I6*D6</f>
        <v>-574.8049360948645</v>
      </c>
      <c r="K6" s="285">
        <f>J6+I6</f>
        <v>2817.3228881420259</v>
      </c>
    </row>
    <row r="7" spans="1:11">
      <c r="A7" s="287" t="s">
        <v>211</v>
      </c>
      <c r="B7" s="285">
        <f>'Rancho Vista CWIP Balance'!E31</f>
        <v>172918.96012</v>
      </c>
      <c r="C7" s="285">
        <f>B7</f>
        <v>172918.96012</v>
      </c>
      <c r="D7" s="283">
        <f>C7/B7</f>
        <v>1</v>
      </c>
      <c r="E7" s="285">
        <f>'Def Tax'!C517</f>
        <v>3684.7659830337561</v>
      </c>
      <c r="F7" s="285">
        <f>-E7*D7</f>
        <v>-3684.7659830337561</v>
      </c>
      <c r="G7" s="285">
        <f>F7+E7</f>
        <v>0</v>
      </c>
      <c r="H7" s="224"/>
      <c r="I7" s="285">
        <f>'Def Tax'!C446</f>
        <v>9456.4277537031976</v>
      </c>
      <c r="J7" s="285">
        <f>-I7*D7</f>
        <v>-9456.4277537031976</v>
      </c>
      <c r="K7" s="285">
        <f>J7+I7</f>
        <v>0</v>
      </c>
    </row>
    <row r="8" spans="1:11">
      <c r="A8" s="193"/>
      <c r="B8" s="285"/>
      <c r="C8" s="285"/>
      <c r="D8" s="283"/>
      <c r="E8" s="285"/>
      <c r="F8" s="285"/>
      <c r="G8" s="285"/>
      <c r="H8" s="224"/>
      <c r="I8" s="285"/>
      <c r="J8" s="285"/>
      <c r="K8" s="285"/>
    </row>
    <row r="9" spans="1:11">
      <c r="A9" s="288"/>
      <c r="B9" s="285"/>
      <c r="C9" s="285"/>
      <c r="D9" s="283"/>
      <c r="E9" s="285"/>
      <c r="F9" s="285"/>
      <c r="G9" s="285"/>
      <c r="H9" s="224"/>
      <c r="I9" s="285"/>
      <c r="J9" s="285"/>
      <c r="K9" s="285"/>
    </row>
    <row r="10" spans="1:11">
      <c r="A10" s="288"/>
      <c r="B10" s="285"/>
      <c r="C10" s="285"/>
      <c r="D10" s="283"/>
      <c r="E10" s="285"/>
      <c r="F10" s="285"/>
      <c r="G10" s="285"/>
      <c r="H10" s="224"/>
      <c r="I10" s="285"/>
      <c r="J10" s="285"/>
      <c r="K10" s="285"/>
    </row>
    <row r="11" spans="1:11">
      <c r="A11" s="288"/>
      <c r="B11" s="285"/>
      <c r="C11" s="285"/>
      <c r="D11" s="283"/>
      <c r="E11" s="285"/>
      <c r="F11" s="285"/>
      <c r="G11" s="285"/>
      <c r="H11" s="224"/>
      <c r="I11" s="285"/>
      <c r="J11" s="285"/>
      <c r="K11" s="285"/>
    </row>
    <row r="12" spans="1:11">
      <c r="A12" s="284"/>
      <c r="C12" s="224"/>
      <c r="E12" s="224"/>
      <c r="F12" s="224"/>
      <c r="G12" s="224"/>
      <c r="H12" s="224"/>
      <c r="I12" s="285"/>
      <c r="J12" s="285"/>
      <c r="K12" s="285"/>
    </row>
    <row r="13" spans="1:11" s="286" customFormat="1" ht="13.5" thickBot="1">
      <c r="A13" s="292"/>
      <c r="B13" s="293">
        <f>SUM(B6:B12)</f>
        <v>317282.18608999997</v>
      </c>
      <c r="C13" s="293">
        <f>SUM(C6:C12)</f>
        <v>197381.68651999999</v>
      </c>
      <c r="D13" s="294"/>
      <c r="E13" s="293">
        <f>SUM(E6:E12)</f>
        <v>4872.6309725694018</v>
      </c>
      <c r="F13" s="293">
        <f>SUM(F6:F12)</f>
        <v>-3886.0528138308732</v>
      </c>
      <c r="G13" s="293">
        <f>SUM(G6:G12)</f>
        <v>986.57815873852883</v>
      </c>
      <c r="H13" s="295"/>
      <c r="I13" s="293">
        <f>SUM(I6:I12)</f>
        <v>12848.555577940087</v>
      </c>
      <c r="J13" s="293">
        <f>SUM(J6:J12)</f>
        <v>-10031.232689798062</v>
      </c>
      <c r="K13" s="293">
        <f>SUM(K6:K12)</f>
        <v>2817.3228881420259</v>
      </c>
    </row>
    <row r="14" spans="1:11" ht="13.5" thickTop="1"/>
    <row r="16" spans="1:11">
      <c r="I16" s="727" t="s">
        <v>315</v>
      </c>
      <c r="J16" s="727"/>
      <c r="K16" s="727"/>
    </row>
    <row r="17" spans="7:11">
      <c r="I17" s="606" t="s">
        <v>310</v>
      </c>
      <c r="J17" s="606" t="s">
        <v>311</v>
      </c>
      <c r="K17" s="606" t="s">
        <v>115</v>
      </c>
    </row>
    <row r="19" spans="7:11">
      <c r="G19" s="287" t="s">
        <v>219</v>
      </c>
      <c r="I19" s="245">
        <v>0</v>
      </c>
      <c r="J19" s="245">
        <f>1-I19</f>
        <v>1</v>
      </c>
      <c r="K19" s="610">
        <f>-J6*1000</f>
        <v>574804.9360948645</v>
      </c>
    </row>
    <row r="20" spans="7:11">
      <c r="G20" s="287" t="s">
        <v>211</v>
      </c>
      <c r="I20" s="245">
        <v>0</v>
      </c>
      <c r="J20" s="245">
        <f>1-I20</f>
        <v>1</v>
      </c>
      <c r="K20" s="610">
        <f>-J7*1000</f>
        <v>9456427.7537031975</v>
      </c>
    </row>
    <row r="22" spans="7:11">
      <c r="G22" s="287" t="s">
        <v>219</v>
      </c>
      <c r="I22" s="610">
        <f>I19*$K19</f>
        <v>0</v>
      </c>
      <c r="J22" s="610">
        <f>J19*$K19</f>
        <v>574804.9360948645</v>
      </c>
      <c r="K22" s="610">
        <f>SUM(I22:J22)</f>
        <v>574804.9360948645</v>
      </c>
    </row>
    <row r="23" spans="7:11">
      <c r="G23" s="287" t="s">
        <v>211</v>
      </c>
      <c r="I23" s="613">
        <f>I20*$K20</f>
        <v>0</v>
      </c>
      <c r="J23" s="613">
        <f>J20*$K20</f>
        <v>9456427.7537031975</v>
      </c>
      <c r="K23" s="613">
        <f>SUM(I23:J23)</f>
        <v>9456427.7537031975</v>
      </c>
    </row>
    <row r="25" spans="7:11" ht="13.5" thickBot="1">
      <c r="G25" s="615" t="s">
        <v>316</v>
      </c>
      <c r="I25" s="614">
        <f>SUM(I22:I24)</f>
        <v>0</v>
      </c>
      <c r="J25" s="614">
        <f t="shared" ref="J25:K25" si="0">SUM(J22:J24)</f>
        <v>10031232.689798063</v>
      </c>
      <c r="K25" s="614">
        <f t="shared" si="0"/>
        <v>10031232.689798063</v>
      </c>
    </row>
  </sheetData>
  <mergeCells count="1">
    <mergeCell ref="I16:K16"/>
  </mergeCells>
  <phoneticPr fontId="4" type="noConversion"/>
  <pageMargins left="0.75" right="0.75" top="1" bottom="1" header="0.5" footer="0.5"/>
  <pageSetup scale="89" orientation="landscape" r:id="rId1"/>
  <headerFooter alignWithMargins="0">
    <oddHeader>&amp;RAttachment 4
WP-Schedule 3
CWIP Balancing Acct 12-31-11 Balance
&amp;P of &amp;N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A28" sqref="A28:E28"/>
    </sheetView>
  </sheetViews>
  <sheetFormatPr defaultRowHeight="12.75" outlineLevelRow="1"/>
  <cols>
    <col min="1" max="1" width="9.85546875" bestFit="1" customWidth="1"/>
    <col min="2" max="2" width="13.28515625" customWidth="1"/>
    <col min="3" max="3" width="13.5703125" customWidth="1"/>
    <col min="4" max="4" width="11.5703125" bestFit="1" customWidth="1"/>
    <col min="5" max="5" width="14.2851562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265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280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24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38.25" customHeight="1">
      <c r="A14" s="724"/>
      <c r="B14" s="726"/>
      <c r="C14" s="722"/>
      <c r="D14" s="722"/>
      <c r="E14" s="724"/>
    </row>
    <row r="15" spans="1:5" s="355" customFormat="1" ht="15" outlineLevel="1">
      <c r="A15" s="444" t="s">
        <v>276</v>
      </c>
      <c r="B15" s="520">
        <f t="shared" ref="B15:B20" si="0">D15-C15</f>
        <v>250.27377000000001</v>
      </c>
      <c r="C15" s="281">
        <v>0</v>
      </c>
      <c r="D15" s="520">
        <f t="shared" ref="D15:D20" si="1">IF(E15=0,0,E15-E14)</f>
        <v>250.27377000000001</v>
      </c>
      <c r="E15" s="634">
        <v>250.27377000000001</v>
      </c>
    </row>
    <row r="16" spans="1:5" s="355" customFormat="1" ht="15">
      <c r="A16" s="444" t="s">
        <v>227</v>
      </c>
      <c r="B16" s="520">
        <f t="shared" si="0"/>
        <v>270.37236999999993</v>
      </c>
      <c r="C16" s="281">
        <v>0</v>
      </c>
      <c r="D16" s="520">
        <f t="shared" si="1"/>
        <v>270.37236999999993</v>
      </c>
      <c r="E16" s="634">
        <v>520.64613999999995</v>
      </c>
    </row>
    <row r="17" spans="1:5" s="355" customFormat="1" ht="15">
      <c r="A17" s="444" t="s">
        <v>262</v>
      </c>
      <c r="B17" s="275">
        <f t="shared" si="0"/>
        <v>122.4969900000001</v>
      </c>
      <c r="C17" s="281">
        <v>0</v>
      </c>
      <c r="D17" s="520">
        <f t="shared" si="1"/>
        <v>122.4969900000001</v>
      </c>
      <c r="E17" s="634">
        <v>643.14313000000004</v>
      </c>
    </row>
    <row r="18" spans="1:5" s="355" customFormat="1" ht="15">
      <c r="A18" s="274" t="s">
        <v>119</v>
      </c>
      <c r="B18" s="275">
        <f t="shared" si="0"/>
        <v>163.33330999999998</v>
      </c>
      <c r="C18" s="281">
        <v>0</v>
      </c>
      <c r="D18" s="520">
        <f t="shared" si="1"/>
        <v>163.33330999999998</v>
      </c>
      <c r="E18" s="634">
        <v>806.47644000000003</v>
      </c>
    </row>
    <row r="19" spans="1:5" s="355" customFormat="1" ht="15">
      <c r="A19" s="274" t="s">
        <v>120</v>
      </c>
      <c r="B19" s="276">
        <f t="shared" si="0"/>
        <v>391.26891999999987</v>
      </c>
      <c r="C19" s="221">
        <v>0</v>
      </c>
      <c r="D19" s="276">
        <f t="shared" si="1"/>
        <v>391.26891999999987</v>
      </c>
      <c r="E19" s="634">
        <v>1197.7453599999999</v>
      </c>
    </row>
    <row r="20" spans="1:5" s="355" customFormat="1" ht="15">
      <c r="A20" s="274" t="s">
        <v>121</v>
      </c>
      <c r="B20" s="276">
        <f t="shared" si="0"/>
        <v>438.1702600000001</v>
      </c>
      <c r="C20" s="221">
        <v>0</v>
      </c>
      <c r="D20" s="276">
        <f t="shared" si="1"/>
        <v>438.1702600000001</v>
      </c>
      <c r="E20" s="634">
        <v>1635.91562</v>
      </c>
    </row>
    <row r="21" spans="1:5" s="355" customFormat="1" ht="15">
      <c r="A21" s="274" t="s">
        <v>75</v>
      </c>
      <c r="B21" s="275">
        <f t="shared" ref="B21:B28" si="2">D21-C21</f>
        <v>907.18574000000012</v>
      </c>
      <c r="C21" s="221">
        <v>0</v>
      </c>
      <c r="D21" s="276">
        <f t="shared" ref="D21:D28" si="3">IF(E21=0,0,E21-E20)</f>
        <v>907.18574000000012</v>
      </c>
      <c r="E21" s="634">
        <v>2543.1013600000001</v>
      </c>
    </row>
    <row r="22" spans="1:5" s="355" customFormat="1" ht="15">
      <c r="A22" s="274" t="s">
        <v>122</v>
      </c>
      <c r="B22" s="275">
        <f t="shared" si="2"/>
        <v>601.56822000000011</v>
      </c>
      <c r="C22" s="221">
        <v>0</v>
      </c>
      <c r="D22" s="276">
        <f t="shared" si="3"/>
        <v>601.56822000000011</v>
      </c>
      <c r="E22" s="634">
        <v>3144.6695800000002</v>
      </c>
    </row>
    <row r="23" spans="1:5" s="355" customFormat="1" ht="15">
      <c r="A23" s="274" t="s">
        <v>123</v>
      </c>
      <c r="B23" s="275">
        <f t="shared" si="2"/>
        <v>1568.7889300000002</v>
      </c>
      <c r="C23" s="221">
        <v>0</v>
      </c>
      <c r="D23" s="276">
        <f t="shared" si="3"/>
        <v>1568.7889300000002</v>
      </c>
      <c r="E23" s="634">
        <v>4713.4585100000004</v>
      </c>
    </row>
    <row r="24" spans="1:5" s="355" customFormat="1" ht="15">
      <c r="A24" s="274" t="s">
        <v>124</v>
      </c>
      <c r="B24" s="275">
        <f t="shared" si="2"/>
        <v>922.80565999999999</v>
      </c>
      <c r="C24" s="221">
        <v>0</v>
      </c>
      <c r="D24" s="276">
        <f t="shared" si="3"/>
        <v>922.80565999999999</v>
      </c>
      <c r="E24" s="634">
        <v>5636.2641700000004</v>
      </c>
    </row>
    <row r="25" spans="1:5" s="355" customFormat="1" ht="15">
      <c r="A25" s="274" t="s">
        <v>125</v>
      </c>
      <c r="B25" s="275">
        <f t="shared" si="2"/>
        <v>656.05411000000004</v>
      </c>
      <c r="C25" s="221">
        <v>0</v>
      </c>
      <c r="D25" s="276">
        <f t="shared" si="3"/>
        <v>656.05411000000004</v>
      </c>
      <c r="E25" s="634">
        <v>6292.3182800000004</v>
      </c>
    </row>
    <row r="26" spans="1:5" s="355" customFormat="1" ht="15">
      <c r="A26" s="274" t="s">
        <v>126</v>
      </c>
      <c r="B26" s="275">
        <f t="shared" si="2"/>
        <v>1528.14023</v>
      </c>
      <c r="C26" s="221">
        <v>0</v>
      </c>
      <c r="D26" s="276">
        <f t="shared" si="3"/>
        <v>1528.14023</v>
      </c>
      <c r="E26" s="634">
        <v>7820.4585100000004</v>
      </c>
    </row>
    <row r="27" spans="1:5" s="355" customFormat="1" ht="15">
      <c r="A27" s="274" t="s">
        <v>127</v>
      </c>
      <c r="B27" s="275">
        <f t="shared" si="2"/>
        <v>1270.3540199999989</v>
      </c>
      <c r="C27" s="221">
        <v>0</v>
      </c>
      <c r="D27" s="276">
        <f t="shared" si="3"/>
        <v>1270.3540199999989</v>
      </c>
      <c r="E27" s="634">
        <v>9090.8125299999992</v>
      </c>
    </row>
    <row r="28" spans="1:5" s="355" customFormat="1" ht="15">
      <c r="A28" s="629" t="s">
        <v>263</v>
      </c>
      <c r="B28" s="633">
        <f t="shared" si="2"/>
        <v>5587.3908700000011</v>
      </c>
      <c r="C28" s="616">
        <v>0</v>
      </c>
      <c r="D28" s="467">
        <f t="shared" si="3"/>
        <v>5587.3908700000011</v>
      </c>
      <c r="E28" s="675">
        <v>14678.2034</v>
      </c>
    </row>
    <row r="29" spans="1:5" ht="15" hidden="1" outlineLevel="1">
      <c r="A29" s="631" t="s">
        <v>115</v>
      </c>
      <c r="B29" s="276">
        <f>SUM(B15:B28)</f>
        <v>14678.2034</v>
      </c>
      <c r="C29" s="279">
        <f>SUM(C15:C28)</f>
        <v>0</v>
      </c>
      <c r="D29" s="632">
        <f>SUM(D15:D28)</f>
        <v>14678.2034</v>
      </c>
      <c r="E29" s="279">
        <f>SUM(E15:E28)</f>
        <v>58973.486799999999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20"/>
      <c r="B33" s="720"/>
      <c r="C33" s="720"/>
      <c r="D33" s="720"/>
      <c r="E33" s="720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C30" sqref="C30"/>
    </sheetView>
  </sheetViews>
  <sheetFormatPr defaultRowHeight="12.75" outlineLevelRow="1"/>
  <cols>
    <col min="1" max="1" width="9.5703125" customWidth="1"/>
    <col min="2" max="2" width="12.85546875" customWidth="1"/>
    <col min="3" max="3" width="13.140625" customWidth="1"/>
    <col min="4" max="4" width="11.5703125" bestFit="1" customWidth="1"/>
    <col min="5" max="5" width="14.4257812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261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281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28.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23.25" customHeight="1">
      <c r="A14" s="724"/>
      <c r="B14" s="726"/>
      <c r="C14" s="722"/>
      <c r="D14" s="722"/>
      <c r="E14" s="724"/>
    </row>
    <row r="15" spans="1:5" s="355" customFormat="1" ht="15" outlineLevel="1">
      <c r="A15" s="444" t="s">
        <v>276</v>
      </c>
      <c r="B15" s="521">
        <f>D15-C15</f>
        <v>8819.8372099999997</v>
      </c>
      <c r="C15" s="522">
        <v>0</v>
      </c>
      <c r="D15" s="523">
        <f t="shared" ref="D15" si="0">IF(E15=0,0,E15-E14)</f>
        <v>8819.8372099999997</v>
      </c>
      <c r="E15" s="524">
        <v>8819.8372099999997</v>
      </c>
    </row>
    <row r="16" spans="1:5" s="355" customFormat="1" ht="15">
      <c r="A16" s="444" t="s">
        <v>227</v>
      </c>
      <c r="B16" s="523">
        <f t="shared" ref="B16:B20" si="1">D16-C16</f>
        <v>649.37898000000018</v>
      </c>
      <c r="C16" s="522">
        <v>63.113379999999999</v>
      </c>
      <c r="D16" s="523">
        <f>IF(E16=0,0,E16-E15)</f>
        <v>712.49236000000019</v>
      </c>
      <c r="E16" s="524">
        <v>9532.3295699999999</v>
      </c>
    </row>
    <row r="17" spans="1:5" s="355" customFormat="1" ht="15">
      <c r="A17" s="444" t="s">
        <v>262</v>
      </c>
      <c r="B17" s="583">
        <f t="shared" si="1"/>
        <v>224.15829999999991</v>
      </c>
      <c r="C17" s="522">
        <f>73.30949-63.11338</f>
        <v>10.196109999999997</v>
      </c>
      <c r="D17" s="523">
        <f>IF(E17=0,0,E17-E16)</f>
        <v>234.35440999999992</v>
      </c>
      <c r="E17" s="524">
        <v>9766.6839799999998</v>
      </c>
    </row>
    <row r="18" spans="1:5" s="355" customFormat="1" ht="15">
      <c r="A18" s="274" t="s">
        <v>119</v>
      </c>
      <c r="B18" s="583">
        <f t="shared" si="1"/>
        <v>633.78320999999983</v>
      </c>
      <c r="C18" s="522">
        <f>82.67375-73.30949</f>
        <v>9.3642600000000016</v>
      </c>
      <c r="D18" s="523">
        <f>IF(E18=0,0,E18-E17)</f>
        <v>643.14746999999988</v>
      </c>
      <c r="E18" s="524">
        <v>10409.83145</v>
      </c>
    </row>
    <row r="19" spans="1:5" s="355" customFormat="1" ht="15">
      <c r="A19" s="274" t="s">
        <v>120</v>
      </c>
      <c r="B19" s="525">
        <f t="shared" si="1"/>
        <v>752.31111000000124</v>
      </c>
      <c r="C19" s="522">
        <f>89.97168-82.67375</f>
        <v>7.297930000000008</v>
      </c>
      <c r="D19" s="525">
        <f>IF(E19=0,0,E19-E18)</f>
        <v>759.60904000000119</v>
      </c>
      <c r="E19" s="524">
        <v>11169.440490000001</v>
      </c>
    </row>
    <row r="20" spans="1:5" s="355" customFormat="1" ht="15">
      <c r="A20" s="274" t="s">
        <v>121</v>
      </c>
      <c r="B20" s="525">
        <f t="shared" si="1"/>
        <v>1737.2190999999987</v>
      </c>
      <c r="C20" s="522">
        <f>97.15579-89.97168</f>
        <v>7.1841099999999898</v>
      </c>
      <c r="D20" s="525">
        <f>IF(E20=0,0,E20-E19)</f>
        <v>1744.4032099999986</v>
      </c>
      <c r="E20" s="524">
        <v>12913.843699999999</v>
      </c>
    </row>
    <row r="21" spans="1:5" s="355" customFormat="1" ht="15">
      <c r="A21" s="274" t="s">
        <v>75</v>
      </c>
      <c r="B21" s="525">
        <f t="shared" ref="B21:B28" si="2">D21-C21</f>
        <v>704.15960000000121</v>
      </c>
      <c r="C21" s="522">
        <f>107.35019-97.15579</f>
        <v>10.194400000000002</v>
      </c>
      <c r="D21" s="525">
        <f t="shared" ref="D21:D28" si="3">IF(E21=0,0,E21-E20)</f>
        <v>714.35400000000118</v>
      </c>
      <c r="E21" s="524">
        <v>13628.197700000001</v>
      </c>
    </row>
    <row r="22" spans="1:5" s="355" customFormat="1" ht="15">
      <c r="A22" s="274" t="s">
        <v>122</v>
      </c>
      <c r="B22" s="525">
        <f t="shared" si="2"/>
        <v>1012.8863599999989</v>
      </c>
      <c r="C22" s="522">
        <f>107.87257-107.35019</f>
        <v>0.52237999999999829</v>
      </c>
      <c r="D22" s="525">
        <f t="shared" si="3"/>
        <v>1013.4087399999989</v>
      </c>
      <c r="E22" s="524">
        <v>14641.60644</v>
      </c>
    </row>
    <row r="23" spans="1:5" s="355" customFormat="1" ht="15">
      <c r="A23" s="274" t="s">
        <v>123</v>
      </c>
      <c r="B23" s="525">
        <f t="shared" si="2"/>
        <v>1016.7423700000001</v>
      </c>
      <c r="C23" s="522">
        <f>107.95537-107.87257</f>
        <v>8.280000000000598E-2</v>
      </c>
      <c r="D23" s="525">
        <f t="shared" si="3"/>
        <v>1016.8251700000001</v>
      </c>
      <c r="E23" s="524">
        <v>15658.43161</v>
      </c>
    </row>
    <row r="24" spans="1:5" s="355" customFormat="1" ht="15">
      <c r="A24" s="274" t="s">
        <v>124</v>
      </c>
      <c r="B24" s="525">
        <f t="shared" si="2"/>
        <v>1540.6367900000005</v>
      </c>
      <c r="C24" s="522">
        <v>0</v>
      </c>
      <c r="D24" s="525">
        <f t="shared" si="3"/>
        <v>1540.6367900000005</v>
      </c>
      <c r="E24" s="524">
        <v>17199.0684</v>
      </c>
    </row>
    <row r="25" spans="1:5" s="355" customFormat="1" ht="15">
      <c r="A25" s="274" t="s">
        <v>125</v>
      </c>
      <c r="B25" s="525">
        <f t="shared" si="2"/>
        <v>1487.3112900000015</v>
      </c>
      <c r="C25" s="522">
        <v>0</v>
      </c>
      <c r="D25" s="525">
        <f t="shared" si="3"/>
        <v>1487.3112900000015</v>
      </c>
      <c r="E25" s="524">
        <v>18686.379690000002</v>
      </c>
    </row>
    <row r="26" spans="1:5" s="355" customFormat="1" ht="15">
      <c r="A26" s="274" t="s">
        <v>126</v>
      </c>
      <c r="B26" s="525">
        <f t="shared" si="2"/>
        <v>5366.9743999999992</v>
      </c>
      <c r="C26" s="522">
        <v>0</v>
      </c>
      <c r="D26" s="525">
        <f t="shared" si="3"/>
        <v>5366.9743999999992</v>
      </c>
      <c r="E26" s="524">
        <v>24053.354090000001</v>
      </c>
    </row>
    <row r="27" spans="1:5" s="355" customFormat="1" ht="15">
      <c r="A27" s="274" t="s">
        <v>127</v>
      </c>
      <c r="B27" s="525">
        <f t="shared" si="2"/>
        <v>-2857.9581099999996</v>
      </c>
      <c r="C27" s="522">
        <v>0</v>
      </c>
      <c r="D27" s="525">
        <f t="shared" si="3"/>
        <v>-2857.9581099999996</v>
      </c>
      <c r="E27" s="524">
        <v>21195.395980000001</v>
      </c>
    </row>
    <row r="28" spans="1:5" s="355" customFormat="1" ht="15">
      <c r="A28" s="629" t="s">
        <v>263</v>
      </c>
      <c r="B28" s="672">
        <f t="shared" si="2"/>
        <v>9454.9866299999994</v>
      </c>
      <c r="C28" s="673">
        <f>303.56051-110.3111</f>
        <v>193.24941000000001</v>
      </c>
      <c r="D28" s="672">
        <f t="shared" si="3"/>
        <v>9648.2360399999998</v>
      </c>
      <c r="E28" s="674">
        <v>30843.632020000001</v>
      </c>
    </row>
    <row r="29" spans="1:5" ht="15" hidden="1" outlineLevel="1">
      <c r="A29" s="631" t="s">
        <v>115</v>
      </c>
      <c r="B29" s="525">
        <f>SUM(B15:B28)</f>
        <v>30542.427239999997</v>
      </c>
      <c r="C29" s="597">
        <f>SUM(C15:C28)</f>
        <v>301.20478000000003</v>
      </c>
      <c r="D29" s="523">
        <f>SUM(D15:D28)</f>
        <v>30843.632020000001</v>
      </c>
      <c r="E29" s="597">
        <f>SUM(E15:E28)</f>
        <v>218518.03232999999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20"/>
      <c r="B33" s="720"/>
      <c r="C33" s="720"/>
      <c r="D33" s="720"/>
      <c r="E33" s="720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33"/>
  <sheetViews>
    <sheetView view="pageBreakPreview" zoomScale="60" zoomScaleNormal="100" workbookViewId="0">
      <selection activeCell="A28" sqref="A28"/>
    </sheetView>
  </sheetViews>
  <sheetFormatPr defaultRowHeight="12.75" outlineLevelRow="1"/>
  <cols>
    <col min="1" max="1" width="9.85546875" bestFit="1" customWidth="1"/>
    <col min="2" max="2" width="13.42578125" customWidth="1"/>
    <col min="3" max="3" width="13.85546875" customWidth="1"/>
    <col min="4" max="4" width="11.5703125" bestFit="1" customWidth="1"/>
    <col min="5" max="5" width="13.8554687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264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359"/>
      <c r="B5" s="359"/>
      <c r="C5" s="359"/>
      <c r="D5" s="359"/>
      <c r="E5" s="125"/>
    </row>
    <row r="6" spans="1:5">
      <c r="A6" s="359"/>
      <c r="B6" s="359"/>
      <c r="C6" s="359"/>
      <c r="D6" s="359"/>
      <c r="E6" s="359"/>
    </row>
    <row r="7" spans="1:5" ht="15">
      <c r="A7" s="359"/>
      <c r="B7" s="359"/>
      <c r="C7" s="175"/>
      <c r="D7" s="176"/>
      <c r="E7" s="176"/>
    </row>
    <row r="8" spans="1:5" ht="15">
      <c r="A8" s="218" t="s">
        <v>282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359"/>
      <c r="B12" s="359"/>
      <c r="C12" s="359"/>
      <c r="D12" s="359"/>
      <c r="E12" s="359"/>
    </row>
    <row r="13" spans="1:5" ht="30.7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30.75" customHeight="1">
      <c r="A14" s="724"/>
      <c r="B14" s="726"/>
      <c r="C14" s="722"/>
      <c r="D14" s="722"/>
      <c r="E14" s="724"/>
    </row>
    <row r="15" spans="1:5" s="355" customFormat="1" ht="15" outlineLevel="1">
      <c r="A15" s="444" t="s">
        <v>276</v>
      </c>
      <c r="B15" s="523">
        <f t="shared" ref="B15:B20" si="0">D15-C15</f>
        <v>-320.10793000000001</v>
      </c>
      <c r="C15" s="522">
        <v>0</v>
      </c>
      <c r="D15" s="523">
        <f t="shared" ref="D15:D20" si="1">IF(E15=0,0,E15-E14)</f>
        <v>-320.10793000000001</v>
      </c>
      <c r="E15" s="524">
        <v>-320.10793000000001</v>
      </c>
    </row>
    <row r="16" spans="1:5" s="355" customFormat="1" ht="15" outlineLevel="1">
      <c r="A16" s="444" t="s">
        <v>227</v>
      </c>
      <c r="B16" s="523">
        <f t="shared" si="0"/>
        <v>176.23437000000001</v>
      </c>
      <c r="C16" s="522">
        <v>0</v>
      </c>
      <c r="D16" s="523">
        <f t="shared" si="1"/>
        <v>176.23437000000001</v>
      </c>
      <c r="E16" s="524">
        <v>-143.87356</v>
      </c>
    </row>
    <row r="17" spans="1:5" s="355" customFormat="1" ht="15">
      <c r="A17" s="444" t="s">
        <v>262</v>
      </c>
      <c r="B17" s="522">
        <f t="shared" si="0"/>
        <v>93.460809999999995</v>
      </c>
      <c r="C17" s="522">
        <v>0</v>
      </c>
      <c r="D17" s="523">
        <f t="shared" si="1"/>
        <v>93.460809999999995</v>
      </c>
      <c r="E17" s="524">
        <v>-50.412750000000003</v>
      </c>
    </row>
    <row r="18" spans="1:5" s="355" customFormat="1" ht="15">
      <c r="A18" s="274" t="s">
        <v>119</v>
      </c>
      <c r="B18" s="522">
        <f t="shared" si="0"/>
        <v>45.658000000000001</v>
      </c>
      <c r="C18" s="522">
        <v>0</v>
      </c>
      <c r="D18" s="523">
        <f t="shared" si="1"/>
        <v>45.658000000000001</v>
      </c>
      <c r="E18" s="524">
        <v>-4.7547499999999996</v>
      </c>
    </row>
    <row r="19" spans="1:5" s="355" customFormat="1" ht="15">
      <c r="A19" s="274" t="s">
        <v>120</v>
      </c>
      <c r="B19" s="525">
        <f t="shared" si="0"/>
        <v>82.402919999999995</v>
      </c>
      <c r="C19" s="522">
        <v>0</v>
      </c>
      <c r="D19" s="525">
        <f t="shared" si="1"/>
        <v>82.402919999999995</v>
      </c>
      <c r="E19" s="524">
        <v>77.648169999999993</v>
      </c>
    </row>
    <row r="20" spans="1:5" s="355" customFormat="1" ht="15">
      <c r="A20" s="274" t="s">
        <v>121</v>
      </c>
      <c r="B20" s="525">
        <f t="shared" si="0"/>
        <v>-264.49562000000003</v>
      </c>
      <c r="C20" s="522">
        <v>0</v>
      </c>
      <c r="D20" s="525">
        <f t="shared" si="1"/>
        <v>-264.49562000000003</v>
      </c>
      <c r="E20" s="524">
        <v>-186.84745000000001</v>
      </c>
    </row>
    <row r="21" spans="1:5" s="355" customFormat="1" ht="15">
      <c r="A21" s="274" t="s">
        <v>75</v>
      </c>
      <c r="B21" s="525">
        <f t="shared" ref="B21:B28" si="2">D21-C21</f>
        <v>19.924740000000014</v>
      </c>
      <c r="C21" s="522">
        <v>0</v>
      </c>
      <c r="D21" s="525">
        <f t="shared" ref="D21:D28" si="3">IF(E21=0,0,E21-E20)</f>
        <v>19.924740000000014</v>
      </c>
      <c r="E21" s="524">
        <v>-166.92271</v>
      </c>
    </row>
    <row r="22" spans="1:5" s="355" customFormat="1" ht="15">
      <c r="A22" s="274" t="s">
        <v>122</v>
      </c>
      <c r="B22" s="525">
        <f t="shared" si="2"/>
        <v>285.77207999999996</v>
      </c>
      <c r="C22" s="522">
        <v>0</v>
      </c>
      <c r="D22" s="525">
        <f t="shared" si="3"/>
        <v>285.77207999999996</v>
      </c>
      <c r="E22" s="524">
        <v>118.84936999999999</v>
      </c>
    </row>
    <row r="23" spans="1:5" s="355" customFormat="1" ht="15">
      <c r="A23" s="274" t="s">
        <v>123</v>
      </c>
      <c r="B23" s="525">
        <f t="shared" si="2"/>
        <v>-100.40427</v>
      </c>
      <c r="C23" s="522">
        <v>0</v>
      </c>
      <c r="D23" s="525">
        <f t="shared" si="3"/>
        <v>-100.40427</v>
      </c>
      <c r="E23" s="524">
        <v>18.4451</v>
      </c>
    </row>
    <row r="24" spans="1:5" s="355" customFormat="1" ht="15">
      <c r="A24" s="274" t="s">
        <v>124</v>
      </c>
      <c r="B24" s="525">
        <f t="shared" si="2"/>
        <v>41.719049999999996</v>
      </c>
      <c r="C24" s="522">
        <v>0</v>
      </c>
      <c r="D24" s="525">
        <f t="shared" si="3"/>
        <v>41.719049999999996</v>
      </c>
      <c r="E24" s="524">
        <v>60.164149999999999</v>
      </c>
    </row>
    <row r="25" spans="1:5" s="355" customFormat="1" ht="15">
      <c r="A25" s="274" t="s">
        <v>125</v>
      </c>
      <c r="B25" s="525">
        <f t="shared" si="2"/>
        <v>-259.97582999999997</v>
      </c>
      <c r="C25" s="522">
        <v>0</v>
      </c>
      <c r="D25" s="525">
        <f t="shared" si="3"/>
        <v>-259.97582999999997</v>
      </c>
      <c r="E25" s="524">
        <v>-199.81168</v>
      </c>
    </row>
    <row r="26" spans="1:5" s="355" customFormat="1" ht="15">
      <c r="A26" s="274" t="s">
        <v>126</v>
      </c>
      <c r="B26" s="525">
        <f t="shared" si="2"/>
        <v>12.810239999999993</v>
      </c>
      <c r="C26" s="522">
        <v>0</v>
      </c>
      <c r="D26" s="525">
        <f t="shared" si="3"/>
        <v>12.810239999999993</v>
      </c>
      <c r="E26" s="524">
        <v>-187.00144</v>
      </c>
    </row>
    <row r="27" spans="1:5" s="355" customFormat="1" ht="15">
      <c r="A27" s="274" t="s">
        <v>127</v>
      </c>
      <c r="B27" s="525">
        <f t="shared" si="2"/>
        <v>79.398890000000009</v>
      </c>
      <c r="C27" s="522">
        <v>0</v>
      </c>
      <c r="D27" s="525">
        <f t="shared" si="3"/>
        <v>79.398890000000009</v>
      </c>
      <c r="E27" s="524">
        <v>-107.60254999999999</v>
      </c>
    </row>
    <row r="28" spans="1:5" s="355" customFormat="1" ht="15">
      <c r="A28" s="629" t="s">
        <v>263</v>
      </c>
      <c r="B28" s="672">
        <f t="shared" si="2"/>
        <v>34.314609999999988</v>
      </c>
      <c r="C28" s="673">
        <v>0</v>
      </c>
      <c r="D28" s="672">
        <f t="shared" si="3"/>
        <v>34.314609999999988</v>
      </c>
      <c r="E28" s="674">
        <v>-73.287940000000006</v>
      </c>
    </row>
    <row r="29" spans="1:5" ht="15" hidden="1" outlineLevel="1">
      <c r="A29" s="631" t="s">
        <v>115</v>
      </c>
      <c r="B29" s="525">
        <f>SUM(B15:B28)</f>
        <v>-73.287940000000035</v>
      </c>
      <c r="C29" s="525">
        <f>SUM(C15:C28)</f>
        <v>0</v>
      </c>
      <c r="D29" s="525">
        <f>SUM(D15:D28)</f>
        <v>-73.287940000000035</v>
      </c>
      <c r="E29" s="525">
        <f>SUM(E15:E28)</f>
        <v>-1165.5159699999999</v>
      </c>
    </row>
    <row r="30" spans="1:5" ht="15" collapsed="1">
      <c r="A30" s="133"/>
      <c r="B30" s="123"/>
      <c r="C30" s="172"/>
      <c r="D30" s="123"/>
      <c r="E30" s="172"/>
    </row>
    <row r="31" spans="1:5" ht="15">
      <c r="A31" s="133"/>
      <c r="B31" s="123"/>
      <c r="C31" s="172"/>
      <c r="D31" s="123"/>
      <c r="E31" s="123"/>
    </row>
    <row r="32" spans="1:5" ht="15">
      <c r="A32" s="186" t="s">
        <v>163</v>
      </c>
      <c r="B32" s="123"/>
      <c r="C32" s="123"/>
      <c r="D32" s="123"/>
      <c r="E32" s="123"/>
    </row>
    <row r="33" spans="1:5" ht="15">
      <c r="A33" s="720"/>
      <c r="B33" s="720"/>
      <c r="C33" s="720"/>
      <c r="D33" s="720"/>
      <c r="E33" s="720"/>
    </row>
  </sheetData>
  <mergeCells count="10">
    <mergeCell ref="A33:E33"/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B22" sqref="B22"/>
    </sheetView>
  </sheetViews>
  <sheetFormatPr defaultRowHeight="12.75" outlineLevelRow="1"/>
  <cols>
    <col min="1" max="1" width="9.85546875" bestFit="1" customWidth="1"/>
    <col min="2" max="2" width="14.140625" customWidth="1"/>
    <col min="3" max="3" width="13" customWidth="1"/>
    <col min="4" max="4" width="11.5703125" bestFit="1" customWidth="1"/>
    <col min="5" max="5" width="14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295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17.2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28.5" customHeight="1">
      <c r="A14" s="724"/>
      <c r="B14" s="726"/>
      <c r="C14" s="722"/>
      <c r="D14" s="722"/>
      <c r="E14" s="724"/>
    </row>
    <row r="15" spans="1:5" ht="15">
      <c r="A15" s="444" t="s">
        <v>294</v>
      </c>
      <c r="B15" s="523">
        <f t="shared" ref="B15:B24" si="0">D15-C15</f>
        <v>307.04764</v>
      </c>
      <c r="C15" s="522">
        <v>0</v>
      </c>
      <c r="D15" s="523">
        <f t="shared" ref="D15:D24" si="1">IF(E15=0,0,E15-E14)</f>
        <v>307.04764</v>
      </c>
      <c r="E15" s="524">
        <v>307.04764</v>
      </c>
    </row>
    <row r="16" spans="1:5" ht="15">
      <c r="A16" s="444" t="s">
        <v>121</v>
      </c>
      <c r="B16" s="523">
        <f t="shared" si="0"/>
        <v>1171.60238</v>
      </c>
      <c r="C16" s="522">
        <v>0</v>
      </c>
      <c r="D16" s="523">
        <f t="shared" si="1"/>
        <v>1171.60238</v>
      </c>
      <c r="E16" s="524">
        <v>1478.65002</v>
      </c>
    </row>
    <row r="17" spans="1:5" ht="15">
      <c r="A17" s="444" t="s">
        <v>75</v>
      </c>
      <c r="B17" s="522">
        <f t="shared" si="0"/>
        <v>201.98665000000005</v>
      </c>
      <c r="C17" s="522">
        <v>0</v>
      </c>
      <c r="D17" s="523">
        <f t="shared" si="1"/>
        <v>201.98665000000005</v>
      </c>
      <c r="E17" s="524">
        <v>1680.6366700000001</v>
      </c>
    </row>
    <row r="18" spans="1:5" ht="15">
      <c r="A18" s="274" t="s">
        <v>122</v>
      </c>
      <c r="B18" s="522">
        <f t="shared" si="0"/>
        <v>243.46386999999982</v>
      </c>
      <c r="C18" s="522">
        <v>0</v>
      </c>
      <c r="D18" s="523">
        <f t="shared" si="1"/>
        <v>243.46386999999982</v>
      </c>
      <c r="E18" s="524">
        <v>1924.1005399999999</v>
      </c>
    </row>
    <row r="19" spans="1:5" ht="15">
      <c r="A19" s="274" t="s">
        <v>123</v>
      </c>
      <c r="B19" s="525">
        <f t="shared" si="0"/>
        <v>88.533580000000029</v>
      </c>
      <c r="C19" s="522">
        <v>0</v>
      </c>
      <c r="D19" s="525">
        <f t="shared" si="1"/>
        <v>88.533580000000029</v>
      </c>
      <c r="E19" s="524">
        <v>2012.6341199999999</v>
      </c>
    </row>
    <row r="20" spans="1:5" ht="15">
      <c r="A20" s="274" t="s">
        <v>124</v>
      </c>
      <c r="B20" s="525">
        <f t="shared" si="0"/>
        <v>71.645990000000211</v>
      </c>
      <c r="C20" s="522">
        <v>0</v>
      </c>
      <c r="D20" s="525">
        <f t="shared" si="1"/>
        <v>71.645990000000211</v>
      </c>
      <c r="E20" s="524">
        <v>2084.2801100000001</v>
      </c>
    </row>
    <row r="21" spans="1:5" ht="15">
      <c r="A21" s="274" t="s">
        <v>125</v>
      </c>
      <c r="B21" s="525">
        <f t="shared" si="0"/>
        <v>159.09276999999975</v>
      </c>
      <c r="C21" s="522">
        <v>0</v>
      </c>
      <c r="D21" s="525">
        <f t="shared" si="1"/>
        <v>159.09276999999975</v>
      </c>
      <c r="E21" s="524">
        <v>2243.3728799999999</v>
      </c>
    </row>
    <row r="22" spans="1:5" ht="15">
      <c r="A22" s="274" t="s">
        <v>126</v>
      </c>
      <c r="B22" s="525">
        <f t="shared" si="0"/>
        <v>3283.9798300000002</v>
      </c>
      <c r="C22" s="522">
        <v>0</v>
      </c>
      <c r="D22" s="525">
        <f t="shared" si="1"/>
        <v>3283.9798300000002</v>
      </c>
      <c r="E22" s="524">
        <v>5527.3527100000001</v>
      </c>
    </row>
    <row r="23" spans="1:5" ht="15">
      <c r="A23" s="274" t="s">
        <v>127</v>
      </c>
      <c r="B23" s="525">
        <f t="shared" si="0"/>
        <v>3423.3637800000006</v>
      </c>
      <c r="C23" s="522">
        <v>0</v>
      </c>
      <c r="D23" s="525">
        <f t="shared" si="1"/>
        <v>3423.3637800000006</v>
      </c>
      <c r="E23" s="524">
        <v>8950.7164900000007</v>
      </c>
    </row>
    <row r="24" spans="1:5" ht="15">
      <c r="A24" s="629" t="s">
        <v>263</v>
      </c>
      <c r="B24" s="672">
        <f t="shared" si="0"/>
        <v>2009.2573999999986</v>
      </c>
      <c r="C24" s="673">
        <v>0</v>
      </c>
      <c r="D24" s="672">
        <f t="shared" si="1"/>
        <v>2009.2573999999986</v>
      </c>
      <c r="E24" s="674">
        <v>10959.973889999999</v>
      </c>
    </row>
    <row r="25" spans="1:5" ht="15" hidden="1" outlineLevel="1">
      <c r="A25" s="631" t="s">
        <v>115</v>
      </c>
      <c r="B25" s="525">
        <f>SUM(B15:B24)</f>
        <v>10959.973889999999</v>
      </c>
      <c r="C25" s="597">
        <f>SUM(C15:C24)</f>
        <v>0</v>
      </c>
      <c r="D25" s="523">
        <f>SUM(D15:D24)</f>
        <v>10959.973889999999</v>
      </c>
      <c r="E25" s="597">
        <f>SUM(E15:E24)</f>
        <v>37168.765070000001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2" sqref="C22"/>
    </sheetView>
  </sheetViews>
  <sheetFormatPr defaultRowHeight="12.75" outlineLevelRow="1"/>
  <cols>
    <col min="1" max="1" width="9.85546875" bestFit="1" customWidth="1"/>
    <col min="2" max="2" width="13.7109375" customWidth="1"/>
    <col min="3" max="3" width="13" customWidth="1"/>
    <col min="4" max="4" width="11.5703125" bestFit="1" customWidth="1"/>
    <col min="5" max="5" width="14.8554687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297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19.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22.5" customHeight="1">
      <c r="A14" s="724"/>
      <c r="B14" s="726"/>
      <c r="C14" s="722"/>
      <c r="D14" s="722"/>
      <c r="E14" s="724"/>
    </row>
    <row r="15" spans="1:5" ht="15">
      <c r="A15" s="444" t="s">
        <v>294</v>
      </c>
      <c r="B15" s="523">
        <f t="shared" ref="B15:B24" si="0">D15-C15</f>
        <v>1932.15182</v>
      </c>
      <c r="C15" s="522">
        <v>0</v>
      </c>
      <c r="D15" s="523">
        <f t="shared" ref="D15:D24" si="1">IF(E15=0,0,E15-E14)</f>
        <v>1932.15182</v>
      </c>
      <c r="E15" s="524">
        <v>1932.15182</v>
      </c>
    </row>
    <row r="16" spans="1:5" ht="15">
      <c r="A16" s="444" t="s">
        <v>121</v>
      </c>
      <c r="B16" s="523">
        <f t="shared" si="0"/>
        <v>99.662029999999959</v>
      </c>
      <c r="C16" s="522">
        <v>0</v>
      </c>
      <c r="D16" s="523">
        <f t="shared" si="1"/>
        <v>99.662029999999959</v>
      </c>
      <c r="E16" s="524">
        <v>2031.81385</v>
      </c>
    </row>
    <row r="17" spans="1:5" ht="15">
      <c r="A17" s="444" t="s">
        <v>75</v>
      </c>
      <c r="B17" s="522">
        <f t="shared" si="0"/>
        <v>107.49926000000005</v>
      </c>
      <c r="C17" s="522">
        <v>0</v>
      </c>
      <c r="D17" s="523">
        <f t="shared" si="1"/>
        <v>107.49926000000005</v>
      </c>
      <c r="E17" s="524">
        <v>2139.3131100000001</v>
      </c>
    </row>
    <row r="18" spans="1:5" ht="15">
      <c r="A18" s="274" t="s">
        <v>122</v>
      </c>
      <c r="B18" s="522">
        <f t="shared" si="0"/>
        <v>154.98619999999983</v>
      </c>
      <c r="C18" s="522">
        <v>0</v>
      </c>
      <c r="D18" s="523">
        <f t="shared" si="1"/>
        <v>154.98619999999983</v>
      </c>
      <c r="E18" s="524">
        <v>2294.2993099999999</v>
      </c>
    </row>
    <row r="19" spans="1:5" ht="15">
      <c r="A19" s="274" t="s">
        <v>123</v>
      </c>
      <c r="B19" s="525">
        <f t="shared" si="0"/>
        <v>228.30243999999993</v>
      </c>
      <c r="C19" s="522">
        <v>0</v>
      </c>
      <c r="D19" s="525">
        <f t="shared" si="1"/>
        <v>228.30243999999993</v>
      </c>
      <c r="E19" s="524">
        <v>2522.6017499999998</v>
      </c>
    </row>
    <row r="20" spans="1:5" ht="15">
      <c r="A20" s="274" t="s">
        <v>124</v>
      </c>
      <c r="B20" s="525">
        <f t="shared" si="0"/>
        <v>311.95402000000013</v>
      </c>
      <c r="C20" s="522">
        <v>0</v>
      </c>
      <c r="D20" s="525">
        <f t="shared" si="1"/>
        <v>311.95402000000013</v>
      </c>
      <c r="E20" s="524">
        <v>2834.5557699999999</v>
      </c>
    </row>
    <row r="21" spans="1:5" ht="15">
      <c r="A21" s="274" t="s">
        <v>125</v>
      </c>
      <c r="B21" s="525">
        <f t="shared" si="0"/>
        <v>372.36882000000014</v>
      </c>
      <c r="C21" s="522">
        <v>0</v>
      </c>
      <c r="D21" s="525">
        <f t="shared" si="1"/>
        <v>372.36882000000014</v>
      </c>
      <c r="E21" s="524">
        <v>3206.9245900000001</v>
      </c>
    </row>
    <row r="22" spans="1:5" ht="15">
      <c r="A22" s="274" t="s">
        <v>126</v>
      </c>
      <c r="B22" s="525">
        <f t="shared" si="0"/>
        <v>345.10548999999992</v>
      </c>
      <c r="C22" s="522">
        <v>0</v>
      </c>
      <c r="D22" s="525">
        <f t="shared" si="1"/>
        <v>345.10548999999992</v>
      </c>
      <c r="E22" s="524">
        <v>3552.03008</v>
      </c>
    </row>
    <row r="23" spans="1:5" ht="15">
      <c r="A23" s="274" t="s">
        <v>127</v>
      </c>
      <c r="B23" s="525">
        <f t="shared" si="0"/>
        <v>383.11002000000008</v>
      </c>
      <c r="C23" s="522">
        <v>0</v>
      </c>
      <c r="D23" s="525">
        <f t="shared" si="1"/>
        <v>383.11002000000008</v>
      </c>
      <c r="E23" s="524">
        <v>3935.1401000000001</v>
      </c>
    </row>
    <row r="24" spans="1:5" ht="15">
      <c r="A24" s="629" t="s">
        <v>263</v>
      </c>
      <c r="B24" s="672">
        <f t="shared" si="0"/>
        <v>889.31795999999986</v>
      </c>
      <c r="C24" s="673">
        <v>0</v>
      </c>
      <c r="D24" s="672">
        <f t="shared" si="1"/>
        <v>889.31795999999986</v>
      </c>
      <c r="E24" s="674">
        <v>4824.4580599999999</v>
      </c>
    </row>
    <row r="25" spans="1:5" ht="15" hidden="1" outlineLevel="1">
      <c r="A25" s="631" t="s">
        <v>115</v>
      </c>
      <c r="B25" s="525">
        <f>SUM(B15:B24)</f>
        <v>4824.4580599999999</v>
      </c>
      <c r="C25" s="525">
        <f t="shared" ref="C25:E25" si="2">SUM(C15:C24)</f>
        <v>0</v>
      </c>
      <c r="D25" s="525">
        <f t="shared" si="2"/>
        <v>4824.4580599999999</v>
      </c>
      <c r="E25" s="525">
        <f t="shared" si="2"/>
        <v>29273.28844</v>
      </c>
    </row>
    <row r="26" spans="1:5" ht="15" collapsed="1">
      <c r="A26" s="631"/>
      <c r="B26" s="238"/>
      <c r="C26" s="221"/>
      <c r="D26" s="238"/>
      <c r="E26" s="221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C29" sqref="C29"/>
    </sheetView>
  </sheetViews>
  <sheetFormatPr defaultRowHeight="12.75" outlineLevelRow="1"/>
  <cols>
    <col min="1" max="1" width="10.5703125" bestFit="1" customWidth="1"/>
    <col min="2" max="2" width="13" customWidth="1"/>
    <col min="3" max="3" width="13.5703125" customWidth="1"/>
    <col min="4" max="4" width="11.5703125" bestFit="1" customWidth="1"/>
    <col min="5" max="5" width="15.14062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292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31.5" customHeight="1">
      <c r="A14" s="724"/>
      <c r="B14" s="726"/>
      <c r="C14" s="722"/>
      <c r="D14" s="722"/>
      <c r="E14" s="724"/>
    </row>
    <row r="15" spans="1:5" ht="15">
      <c r="A15" s="444" t="s">
        <v>294</v>
      </c>
      <c r="B15" s="523">
        <f t="shared" ref="B15:B24" si="0">D15-C15</f>
        <v>26.16413</v>
      </c>
      <c r="C15" s="522">
        <v>0</v>
      </c>
      <c r="D15" s="523">
        <f t="shared" ref="D15:D24" si="1">IF(E15=0,0,E15-E14)</f>
        <v>26.16413</v>
      </c>
      <c r="E15" s="524">
        <v>26.16413</v>
      </c>
    </row>
    <row r="16" spans="1:5" ht="15">
      <c r="A16" s="444" t="s">
        <v>121</v>
      </c>
      <c r="B16" s="523">
        <f t="shared" si="0"/>
        <v>14.683889999999998</v>
      </c>
      <c r="C16" s="522">
        <v>0</v>
      </c>
      <c r="D16" s="523">
        <f t="shared" si="1"/>
        <v>14.683889999999998</v>
      </c>
      <c r="E16" s="524">
        <v>40.848019999999998</v>
      </c>
    </row>
    <row r="17" spans="1:5" ht="15">
      <c r="A17" s="444" t="s">
        <v>75</v>
      </c>
      <c r="B17" s="522">
        <f t="shared" si="0"/>
        <v>78.955720000000014</v>
      </c>
      <c r="C17" s="522">
        <v>0</v>
      </c>
      <c r="D17" s="523">
        <f t="shared" si="1"/>
        <v>78.955720000000014</v>
      </c>
      <c r="E17" s="524">
        <v>119.80374</v>
      </c>
    </row>
    <row r="18" spans="1:5" ht="15">
      <c r="A18" s="274" t="s">
        <v>122</v>
      </c>
      <c r="B18" s="522">
        <f t="shared" si="0"/>
        <v>98.110600000000005</v>
      </c>
      <c r="C18" s="522">
        <v>0</v>
      </c>
      <c r="D18" s="523">
        <f t="shared" si="1"/>
        <v>98.110600000000005</v>
      </c>
      <c r="E18" s="524">
        <v>217.91434000000001</v>
      </c>
    </row>
    <row r="19" spans="1:5" ht="15">
      <c r="A19" s="274" t="s">
        <v>123</v>
      </c>
      <c r="B19" s="525">
        <f t="shared" si="0"/>
        <v>18.343799999999987</v>
      </c>
      <c r="C19" s="522">
        <v>0</v>
      </c>
      <c r="D19" s="525">
        <f t="shared" si="1"/>
        <v>18.343799999999987</v>
      </c>
      <c r="E19" s="524">
        <v>236.25814</v>
      </c>
    </row>
    <row r="20" spans="1:5" ht="15">
      <c r="A20" s="274" t="s">
        <v>124</v>
      </c>
      <c r="B20" s="525">
        <f t="shared" si="0"/>
        <v>135.00620000000001</v>
      </c>
      <c r="C20" s="522">
        <v>0</v>
      </c>
      <c r="D20" s="525">
        <f t="shared" si="1"/>
        <v>135.00620000000001</v>
      </c>
      <c r="E20" s="524">
        <v>371.26434</v>
      </c>
    </row>
    <row r="21" spans="1:5" ht="15">
      <c r="A21" s="274" t="s">
        <v>125</v>
      </c>
      <c r="B21" s="525">
        <f t="shared" si="0"/>
        <v>258.32729</v>
      </c>
      <c r="C21" s="522">
        <v>0</v>
      </c>
      <c r="D21" s="525">
        <f t="shared" si="1"/>
        <v>258.32729</v>
      </c>
      <c r="E21" s="524">
        <v>629.59163000000001</v>
      </c>
    </row>
    <row r="22" spans="1:5" ht="15">
      <c r="A22" s="274" t="s">
        <v>126</v>
      </c>
      <c r="B22" s="525">
        <f t="shared" si="0"/>
        <v>973.35884999999996</v>
      </c>
      <c r="C22" s="522">
        <v>0</v>
      </c>
      <c r="D22" s="525">
        <f t="shared" si="1"/>
        <v>973.35884999999996</v>
      </c>
      <c r="E22" s="524">
        <v>1602.95048</v>
      </c>
    </row>
    <row r="23" spans="1:5" ht="15">
      <c r="A23" s="274" t="s">
        <v>127</v>
      </c>
      <c r="B23" s="525">
        <f t="shared" si="0"/>
        <v>1014.45226</v>
      </c>
      <c r="C23" s="522">
        <v>0</v>
      </c>
      <c r="D23" s="525">
        <f t="shared" si="1"/>
        <v>1014.45226</v>
      </c>
      <c r="E23" s="524">
        <v>2617.40274</v>
      </c>
    </row>
    <row r="24" spans="1:5" ht="15">
      <c r="A24" s="629" t="s">
        <v>263</v>
      </c>
      <c r="B24" s="672">
        <f t="shared" si="0"/>
        <v>275.80942000000005</v>
      </c>
      <c r="C24" s="673">
        <v>0</v>
      </c>
      <c r="D24" s="672">
        <f t="shared" si="1"/>
        <v>275.80942000000005</v>
      </c>
      <c r="E24" s="674">
        <v>2893.21216</v>
      </c>
    </row>
    <row r="25" spans="1:5" ht="15" hidden="1" outlineLevel="1">
      <c r="A25" s="631" t="s">
        <v>115</v>
      </c>
      <c r="B25" s="525">
        <f>SUM(B15:B24)</f>
        <v>2893.21216</v>
      </c>
      <c r="C25" s="597">
        <f>SUM(C15:C24)</f>
        <v>0</v>
      </c>
      <c r="D25" s="523">
        <f>SUM(D15:D24)</f>
        <v>2893.21216</v>
      </c>
      <c r="E25" s="597">
        <f>SUM(E15:E24)</f>
        <v>8755.4097199999997</v>
      </c>
    </row>
    <row r="26" spans="1:5" ht="15" collapsed="1">
      <c r="A26" s="631"/>
      <c r="B26" s="238"/>
      <c r="C26" s="221"/>
      <c r="D26" s="238"/>
      <c r="E26" s="221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</sheetPr>
  <dimension ref="A1:E28"/>
  <sheetViews>
    <sheetView view="pageBreakPreview" zoomScale="60" zoomScaleNormal="100" workbookViewId="0">
      <selection activeCell="B26" sqref="B26"/>
    </sheetView>
  </sheetViews>
  <sheetFormatPr defaultRowHeight="12.75" outlineLevelRow="1"/>
  <cols>
    <col min="1" max="1" width="9.85546875" bestFit="1" customWidth="1"/>
    <col min="2" max="2" width="13" customWidth="1"/>
    <col min="3" max="3" width="13.42578125" customWidth="1"/>
    <col min="4" max="4" width="11.5703125" bestFit="1" customWidth="1"/>
    <col min="5" max="5" width="14.28515625" customWidth="1"/>
  </cols>
  <sheetData>
    <row r="1" spans="1:5" ht="15.75">
      <c r="A1" s="714" t="s">
        <v>0</v>
      </c>
      <c r="B1" s="714"/>
      <c r="C1" s="714"/>
      <c r="D1" s="714"/>
      <c r="E1" s="714"/>
    </row>
    <row r="2" spans="1:5" ht="15">
      <c r="A2" s="736" t="s">
        <v>296</v>
      </c>
      <c r="B2" s="716"/>
      <c r="C2" s="716"/>
      <c r="D2" s="716"/>
      <c r="E2" s="716"/>
    </row>
    <row r="3" spans="1:5" ht="15">
      <c r="A3" s="717" t="s">
        <v>275</v>
      </c>
      <c r="B3" s="718"/>
      <c r="C3" s="718"/>
      <c r="D3" s="718"/>
      <c r="E3" s="718"/>
    </row>
    <row r="4" spans="1:5">
      <c r="A4" s="719" t="s">
        <v>1</v>
      </c>
      <c r="B4" s="719"/>
      <c r="C4" s="719"/>
      <c r="D4" s="719"/>
      <c r="E4" s="719"/>
    </row>
    <row r="5" spans="1:5">
      <c r="A5" s="570"/>
      <c r="B5" s="570"/>
      <c r="C5" s="570"/>
      <c r="D5" s="570"/>
      <c r="E5" s="125"/>
    </row>
    <row r="6" spans="1:5">
      <c r="A6" s="570"/>
      <c r="B6" s="570"/>
      <c r="C6" s="570"/>
      <c r="D6" s="570"/>
      <c r="E6" s="570"/>
    </row>
    <row r="7" spans="1:5" ht="15">
      <c r="A7" s="570"/>
      <c r="B7" s="570"/>
      <c r="C7" s="175"/>
      <c r="D7" s="176"/>
      <c r="E7" s="176"/>
    </row>
    <row r="8" spans="1:5" ht="15">
      <c r="A8" s="218" t="s">
        <v>293</v>
      </c>
      <c r="B8" s="126"/>
      <c r="C8" s="177"/>
      <c r="D8" s="178"/>
      <c r="E8" s="179"/>
    </row>
    <row r="9" spans="1:5" ht="15">
      <c r="A9" s="123"/>
      <c r="B9" s="126"/>
      <c r="C9" s="177"/>
      <c r="D9" s="178"/>
      <c r="E9" s="180"/>
    </row>
    <row r="10" spans="1:5" ht="15">
      <c r="A10" s="123"/>
      <c r="B10" s="126"/>
      <c r="C10" s="177"/>
      <c r="D10" s="181"/>
      <c r="E10" s="180"/>
    </row>
    <row r="11" spans="1:5" ht="15">
      <c r="A11" s="123"/>
      <c r="B11" s="126"/>
      <c r="C11" s="127"/>
      <c r="D11" s="128"/>
      <c r="E11" s="129"/>
    </row>
    <row r="12" spans="1:5">
      <c r="A12" s="570"/>
      <c r="B12" s="570"/>
      <c r="C12" s="570"/>
      <c r="D12" s="570"/>
      <c r="E12" s="570"/>
    </row>
    <row r="13" spans="1:5" ht="23.25" customHeight="1">
      <c r="A13" s="723" t="s">
        <v>114</v>
      </c>
      <c r="B13" s="725" t="s">
        <v>161</v>
      </c>
      <c r="C13" s="725" t="s">
        <v>162</v>
      </c>
      <c r="D13" s="721" t="s">
        <v>115</v>
      </c>
      <c r="E13" s="723" t="s">
        <v>116</v>
      </c>
    </row>
    <row r="14" spans="1:5" ht="21" customHeight="1">
      <c r="A14" s="724"/>
      <c r="B14" s="726"/>
      <c r="C14" s="722"/>
      <c r="D14" s="722"/>
      <c r="E14" s="724"/>
    </row>
    <row r="15" spans="1:5" ht="15">
      <c r="A15" s="444" t="s">
        <v>294</v>
      </c>
      <c r="B15" s="523">
        <f t="shared" ref="B15:B24" si="0">D15-C15</f>
        <v>266.77069</v>
      </c>
      <c r="C15" s="522">
        <v>0</v>
      </c>
      <c r="D15" s="523">
        <f t="shared" ref="D15:D24" si="1">IF(E15=0,0,E15-E14)</f>
        <v>266.77069</v>
      </c>
      <c r="E15" s="524">
        <v>266.77069</v>
      </c>
    </row>
    <row r="16" spans="1:5" ht="15">
      <c r="A16" s="444" t="s">
        <v>121</v>
      </c>
      <c r="B16" s="523">
        <f t="shared" si="0"/>
        <v>81.714569999999981</v>
      </c>
      <c r="C16" s="522">
        <v>0</v>
      </c>
      <c r="D16" s="523">
        <f t="shared" si="1"/>
        <v>81.714569999999981</v>
      </c>
      <c r="E16" s="524">
        <v>348.48525999999998</v>
      </c>
    </row>
    <row r="17" spans="1:5" ht="15">
      <c r="A17" s="444" t="s">
        <v>75</v>
      </c>
      <c r="B17" s="525">
        <f t="shared" si="0"/>
        <v>94.576810000000023</v>
      </c>
      <c r="C17" s="522">
        <v>0</v>
      </c>
      <c r="D17" s="523">
        <f t="shared" si="1"/>
        <v>94.576810000000023</v>
      </c>
      <c r="E17" s="524">
        <v>443.06207000000001</v>
      </c>
    </row>
    <row r="18" spans="1:5" ht="15">
      <c r="A18" s="274" t="s">
        <v>122</v>
      </c>
      <c r="B18" s="525">
        <f t="shared" si="0"/>
        <v>137.50029999999998</v>
      </c>
      <c r="C18" s="522">
        <v>0</v>
      </c>
      <c r="D18" s="523">
        <f t="shared" si="1"/>
        <v>137.50029999999998</v>
      </c>
      <c r="E18" s="524">
        <v>580.56236999999999</v>
      </c>
    </row>
    <row r="19" spans="1:5" ht="15">
      <c r="A19" s="274" t="s">
        <v>123</v>
      </c>
      <c r="B19" s="525">
        <f t="shared" si="0"/>
        <v>137.39740000000006</v>
      </c>
      <c r="C19" s="522">
        <v>0</v>
      </c>
      <c r="D19" s="525">
        <f t="shared" si="1"/>
        <v>137.39740000000006</v>
      </c>
      <c r="E19" s="524">
        <v>717.95977000000005</v>
      </c>
    </row>
    <row r="20" spans="1:5" ht="15">
      <c r="A20" s="274" t="s">
        <v>124</v>
      </c>
      <c r="B20" s="525">
        <f t="shared" si="0"/>
        <v>235.86306999999999</v>
      </c>
      <c r="C20" s="522">
        <v>0</v>
      </c>
      <c r="D20" s="525">
        <f t="shared" si="1"/>
        <v>235.86306999999999</v>
      </c>
      <c r="E20" s="524">
        <v>953.82284000000004</v>
      </c>
    </row>
    <row r="21" spans="1:5" ht="15">
      <c r="A21" s="274" t="s">
        <v>125</v>
      </c>
      <c r="B21" s="525">
        <f t="shared" si="0"/>
        <v>293.52489999999989</v>
      </c>
      <c r="C21" s="522">
        <v>0</v>
      </c>
      <c r="D21" s="525">
        <f t="shared" si="1"/>
        <v>293.52489999999989</v>
      </c>
      <c r="E21" s="524">
        <v>1247.3477399999999</v>
      </c>
    </row>
    <row r="22" spans="1:5" ht="15">
      <c r="A22" s="274" t="s">
        <v>126</v>
      </c>
      <c r="B22" s="525">
        <f t="shared" si="0"/>
        <v>286.61298000000011</v>
      </c>
      <c r="C22" s="522">
        <v>0</v>
      </c>
      <c r="D22" s="525">
        <f t="shared" si="1"/>
        <v>286.61298000000011</v>
      </c>
      <c r="E22" s="524">
        <v>1533.96072</v>
      </c>
    </row>
    <row r="23" spans="1:5" ht="15">
      <c r="A23" s="274" t="s">
        <v>127</v>
      </c>
      <c r="B23" s="525">
        <f t="shared" si="0"/>
        <v>264.23699999999985</v>
      </c>
      <c r="C23" s="522">
        <v>0</v>
      </c>
      <c r="D23" s="525">
        <f t="shared" si="1"/>
        <v>264.23699999999985</v>
      </c>
      <c r="E23" s="524">
        <v>1798.1977199999999</v>
      </c>
    </row>
    <row r="24" spans="1:5" ht="15">
      <c r="A24" s="629" t="s">
        <v>263</v>
      </c>
      <c r="B24" s="672">
        <f t="shared" si="0"/>
        <v>346.22268000000008</v>
      </c>
      <c r="C24" s="673">
        <v>0</v>
      </c>
      <c r="D24" s="672">
        <f t="shared" si="1"/>
        <v>346.22268000000008</v>
      </c>
      <c r="E24" s="674">
        <v>2144.4204</v>
      </c>
    </row>
    <row r="25" spans="1:5" ht="15" hidden="1" outlineLevel="1">
      <c r="A25" s="631" t="s">
        <v>115</v>
      </c>
      <c r="B25" s="525">
        <f>SUM(B15:B24)</f>
        <v>2144.4204</v>
      </c>
      <c r="C25" s="525">
        <f t="shared" ref="C25:E25" si="2">SUM(C15:C24)</f>
        <v>0</v>
      </c>
      <c r="D25" s="525">
        <f t="shared" si="2"/>
        <v>2144.4204</v>
      </c>
      <c r="E25" s="525">
        <f t="shared" si="2"/>
        <v>10034.58958</v>
      </c>
    </row>
    <row r="26" spans="1:5" ht="15" collapsed="1">
      <c r="A26" s="133"/>
      <c r="B26" s="123"/>
      <c r="C26" s="172"/>
      <c r="D26" s="123"/>
      <c r="E26" s="172"/>
    </row>
    <row r="27" spans="1:5" ht="15">
      <c r="A27" s="133"/>
      <c r="B27" s="123"/>
      <c r="C27" s="172"/>
      <c r="D27" s="123"/>
      <c r="E27" s="123"/>
    </row>
    <row r="28" spans="1:5" ht="15">
      <c r="A28" s="186" t="s">
        <v>163</v>
      </c>
      <c r="B28" s="123"/>
      <c r="C28" s="123"/>
      <c r="D28" s="123"/>
      <c r="E28" s="123"/>
    </row>
  </sheetData>
  <mergeCells count="9">
    <mergeCell ref="A1:E1"/>
    <mergeCell ref="A2:E2"/>
    <mergeCell ref="A3:E3"/>
    <mergeCell ref="A4:E4"/>
    <mergeCell ref="A13:A14"/>
    <mergeCell ref="B13:B14"/>
    <mergeCell ref="C13:C14"/>
    <mergeCell ref="D13:D14"/>
    <mergeCell ref="E13:E14"/>
  </mergeCells>
  <pageMargins left="0.7" right="0.7" top="0.75" bottom="0.75" header="0.3" footer="0.3"/>
  <pageSetup orientation="portrait" verticalDpi="0" r:id="rId1"/>
  <headerFooter>
    <oddHeader>&amp;RAttachment 4
WP-Schedule 3
CWIP Balancing Acct 12-31-11 Balance
&amp;P of &amp;N</oddHeader>
  </headerFooter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5"/>
  </sheetPr>
  <dimension ref="A1:I914"/>
  <sheetViews>
    <sheetView view="pageBreakPreview" zoomScaleNormal="100" zoomScaleSheetLayoutView="100" workbookViewId="0">
      <selection activeCell="A34" sqref="A34"/>
    </sheetView>
  </sheetViews>
  <sheetFormatPr defaultColWidth="11.42578125" defaultRowHeight="14.25" outlineLevelRow="2"/>
  <cols>
    <col min="1" max="1" width="39.7109375" style="135" customWidth="1"/>
    <col min="2" max="4" width="16.42578125" style="135" customWidth="1"/>
    <col min="5" max="5" width="14.140625" style="167" customWidth="1"/>
    <col min="6" max="6" width="13.85546875" style="135" customWidth="1"/>
    <col min="7" max="7" width="14.140625" style="135" bestFit="1" customWidth="1"/>
    <col min="8" max="16384" width="11.42578125" style="135"/>
  </cols>
  <sheetData>
    <row r="1" spans="1:9" ht="15">
      <c r="A1" s="770" t="s">
        <v>0</v>
      </c>
      <c r="B1" s="770"/>
      <c r="C1" s="770"/>
      <c r="D1" s="770"/>
      <c r="E1" s="770"/>
      <c r="F1" s="770"/>
    </row>
    <row r="2" spans="1:9">
      <c r="A2" s="771" t="s">
        <v>133</v>
      </c>
      <c r="B2" s="771"/>
      <c r="C2" s="771"/>
      <c r="D2" s="771"/>
      <c r="E2" s="771"/>
      <c r="F2" s="771"/>
    </row>
    <row r="3" spans="1:9" ht="15">
      <c r="A3" s="717" t="s">
        <v>275</v>
      </c>
      <c r="B3" s="718"/>
      <c r="C3" s="718"/>
      <c r="D3" s="718"/>
      <c r="E3" s="718"/>
      <c r="F3" s="718"/>
      <c r="H3" s="137"/>
      <c r="I3" s="138"/>
    </row>
    <row r="4" spans="1:9">
      <c r="A4" s="719" t="s">
        <v>1</v>
      </c>
      <c r="B4" s="719"/>
      <c r="C4" s="719"/>
      <c r="D4" s="719"/>
      <c r="E4" s="719"/>
      <c r="F4" s="719"/>
    </row>
    <row r="7" spans="1:9" ht="18.75" thickBot="1">
      <c r="A7" s="757" t="s">
        <v>3</v>
      </c>
      <c r="B7" s="757"/>
      <c r="C7" s="757"/>
      <c r="D7" s="757"/>
      <c r="E7" s="757"/>
      <c r="F7" s="757"/>
    </row>
    <row r="8" spans="1:9" hidden="1" outlineLevel="2">
      <c r="A8" s="194" t="s">
        <v>191</v>
      </c>
      <c r="B8" s="197">
        <v>6.2199999999999998E-2</v>
      </c>
      <c r="C8" s="157" t="s">
        <v>153</v>
      </c>
    </row>
    <row r="9" spans="1:9" hidden="1" outlineLevel="2">
      <c r="A9" s="194" t="s">
        <v>168</v>
      </c>
      <c r="B9" s="197">
        <v>5.5E-2</v>
      </c>
    </row>
    <row r="10" spans="1:9" hidden="1" outlineLevel="2">
      <c r="A10" s="194" t="s">
        <v>169</v>
      </c>
      <c r="B10" s="197">
        <v>5.5E-2</v>
      </c>
    </row>
    <row r="11" spans="1:9" hidden="1" outlineLevel="2">
      <c r="A11" s="194" t="s">
        <v>170</v>
      </c>
      <c r="B11" s="237">
        <v>5.5E-2</v>
      </c>
    </row>
    <row r="12" spans="1:9" hidden="1" outlineLevel="2">
      <c r="A12" s="137" t="s">
        <v>195</v>
      </c>
      <c r="B12" s="138">
        <f>'Income Tax Rates'!C19</f>
        <v>0.40588299999999994</v>
      </c>
    </row>
    <row r="13" spans="1:9" hidden="1" outlineLevel="1">
      <c r="A13" s="194" t="s">
        <v>235</v>
      </c>
      <c r="B13" s="237">
        <v>6.1600000000000002E-2</v>
      </c>
    </row>
    <row r="14" spans="1:9" hidden="1" outlineLevel="1">
      <c r="A14" s="194" t="s">
        <v>168</v>
      </c>
      <c r="B14" s="237">
        <v>6.1600000000000002E-2</v>
      </c>
    </row>
    <row r="15" spans="1:9" hidden="1" outlineLevel="1">
      <c r="A15" s="194" t="s">
        <v>169</v>
      </c>
      <c r="B15" s="237">
        <v>6.1600000000000002E-2</v>
      </c>
    </row>
    <row r="16" spans="1:9" hidden="1" outlineLevel="1">
      <c r="A16" s="194" t="s">
        <v>170</v>
      </c>
      <c r="B16" s="237">
        <v>6.1600000000000002E-2</v>
      </c>
    </row>
    <row r="17" spans="1:7" hidden="1" outlineLevel="1">
      <c r="A17" s="137" t="s">
        <v>196</v>
      </c>
      <c r="B17" s="138">
        <f>'Income Tax Rates'!C36</f>
        <v>0.40669976930000001</v>
      </c>
    </row>
    <row r="18" spans="1:7" collapsed="1">
      <c r="A18" s="407" t="s">
        <v>236</v>
      </c>
      <c r="B18" s="237">
        <v>6.25E-2</v>
      </c>
      <c r="C18" s="579" t="s">
        <v>153</v>
      </c>
    </row>
    <row r="19" spans="1:7">
      <c r="A19" s="194" t="s">
        <v>168</v>
      </c>
      <c r="B19" s="237">
        <v>6.25E-2</v>
      </c>
    </row>
    <row r="20" spans="1:7">
      <c r="A20" s="194" t="s">
        <v>169</v>
      </c>
      <c r="B20" s="237">
        <v>6.25E-2</v>
      </c>
    </row>
    <row r="21" spans="1:7">
      <c r="A21" s="194" t="s">
        <v>170</v>
      </c>
      <c r="B21" s="237">
        <v>6.25E-2</v>
      </c>
    </row>
    <row r="22" spans="1:7">
      <c r="A22" s="137" t="s">
        <v>229</v>
      </c>
      <c r="B22" s="138">
        <f>'Income Tax Rates'!C56</f>
        <v>0.40720000000000001</v>
      </c>
    </row>
    <row r="23" spans="1:7">
      <c r="A23" s="407" t="s">
        <v>272</v>
      </c>
      <c r="B23" s="237">
        <v>6.25E-2</v>
      </c>
      <c r="C23" s="579"/>
    </row>
    <row r="24" spans="1:7">
      <c r="A24" s="406" t="s">
        <v>168</v>
      </c>
      <c r="B24" s="237">
        <v>6.25E-2</v>
      </c>
    </row>
    <row r="25" spans="1:7">
      <c r="A25" s="406" t="s">
        <v>169</v>
      </c>
      <c r="B25" s="237">
        <v>6.25E-2</v>
      </c>
    </row>
    <row r="26" spans="1:7">
      <c r="A26" s="406" t="s">
        <v>170</v>
      </c>
      <c r="B26" s="237">
        <v>6.25E-2</v>
      </c>
    </row>
    <row r="27" spans="1:7">
      <c r="A27" s="408" t="s">
        <v>273</v>
      </c>
      <c r="B27" s="138">
        <v>0.40739999999999998</v>
      </c>
    </row>
    <row r="28" spans="1:7">
      <c r="A28" s="137"/>
      <c r="B28" s="138"/>
    </row>
    <row r="30" spans="1:7" ht="15">
      <c r="A30" s="139" t="s">
        <v>135</v>
      </c>
      <c r="B30" s="140"/>
    </row>
    <row r="31" spans="1:7" ht="66.75" customHeight="1">
      <c r="A31" s="767" t="str">
        <f>A7</f>
        <v>DPV2</v>
      </c>
      <c r="B31" s="768" t="s">
        <v>180</v>
      </c>
      <c r="C31" s="768" t="s">
        <v>181</v>
      </c>
      <c r="D31" s="768" t="s">
        <v>182</v>
      </c>
      <c r="E31" s="773" t="s">
        <v>144</v>
      </c>
      <c r="F31" s="326" t="s">
        <v>136</v>
      </c>
      <c r="G31" s="153" t="s">
        <v>197</v>
      </c>
    </row>
    <row r="32" spans="1:7" hidden="1" outlineLevel="2">
      <c r="A32" s="767"/>
      <c r="B32" s="768"/>
      <c r="C32" s="768"/>
      <c r="D32" s="769"/>
      <c r="E32" s="773"/>
      <c r="F32" s="267">
        <f>B12</f>
        <v>0.40588299999999994</v>
      </c>
      <c r="G32" s="268">
        <v>39448</v>
      </c>
    </row>
    <row r="33" spans="1:7" ht="15" hidden="1" outlineLevel="1" collapsed="1">
      <c r="A33" s="323"/>
      <c r="B33" s="322"/>
      <c r="C33" s="322"/>
      <c r="D33" s="325"/>
      <c r="E33" s="324"/>
      <c r="F33" s="154">
        <f>B17</f>
        <v>0.40669976930000001</v>
      </c>
      <c r="G33" s="268">
        <v>39814</v>
      </c>
    </row>
    <row r="34" spans="1:7" ht="15" collapsed="1">
      <c r="A34" s="323"/>
      <c r="B34" s="322"/>
      <c r="C34" s="322"/>
      <c r="D34" s="325"/>
      <c r="E34" s="324"/>
      <c r="F34" s="267">
        <f>B22</f>
        <v>0.40720000000000001</v>
      </c>
      <c r="G34" s="268">
        <v>40179</v>
      </c>
    </row>
    <row r="35" spans="1:7" ht="15">
      <c r="A35" s="263"/>
      <c r="B35" s="264"/>
      <c r="C35" s="264"/>
      <c r="D35" s="265"/>
      <c r="E35" s="617"/>
      <c r="F35" s="267">
        <f>B27</f>
        <v>0.40739999999999998</v>
      </c>
      <c r="G35" s="268">
        <v>40544</v>
      </c>
    </row>
    <row r="36" spans="1:7" ht="15">
      <c r="A36" s="263"/>
      <c r="B36" s="264"/>
      <c r="C36" s="264"/>
      <c r="D36" s="265"/>
      <c r="E36" s="266"/>
      <c r="F36" s="304"/>
      <c r="G36" s="305"/>
    </row>
    <row r="37" spans="1:7" hidden="1" outlineLevel="1">
      <c r="A37" s="141" t="s">
        <v>137</v>
      </c>
    </row>
    <row r="38" spans="1:7" hidden="1" outlineLevel="1">
      <c r="A38" s="141" t="s">
        <v>117</v>
      </c>
    </row>
    <row r="39" spans="1:7" ht="15" hidden="1" outlineLevel="1" thickBot="1">
      <c r="A39" s="141"/>
      <c r="E39" s="168"/>
      <c r="F39" s="142"/>
    </row>
    <row r="40" spans="1:7" ht="15" hidden="1" outlineLevel="1" thickTop="1">
      <c r="A40" s="141"/>
    </row>
    <row r="41" spans="1:7" hidden="1" outlineLevel="1">
      <c r="A41" s="141" t="s">
        <v>117</v>
      </c>
    </row>
    <row r="42" spans="1:7" hidden="1" outlineLevel="1">
      <c r="A42" s="141" t="s">
        <v>118</v>
      </c>
    </row>
    <row r="43" spans="1:7" hidden="1" outlineLevel="1">
      <c r="A43" s="141" t="s">
        <v>119</v>
      </c>
      <c r="B43" s="135">
        <f>'DPV2 CWIP Balance'!E17-'Beg int cap'!B5</f>
        <v>18408.62773</v>
      </c>
      <c r="C43" s="145">
        <f>'Beg int cap'!E5</f>
        <v>2609.2640000000001</v>
      </c>
      <c r="D43" s="135">
        <f>SUM(B43:C43)</f>
        <v>21017.891729999999</v>
      </c>
      <c r="F43" s="135">
        <f>(C$43*F$32)-('Beg int cap'!D$18*'Def Tax'!F$32)</f>
        <v>603.8318368389298</v>
      </c>
    </row>
    <row r="44" spans="1:7" hidden="1" outlineLevel="1">
      <c r="A44" s="141" t="s">
        <v>120</v>
      </c>
      <c r="B44" s="135">
        <f>B43+'DPV2 CWIP Balance'!D18</f>
        <v>18478.215079999998</v>
      </c>
      <c r="C44" s="135">
        <f>C43+E44</f>
        <v>2718.2067388005003</v>
      </c>
      <c r="D44" s="135">
        <f>SUM(B44:C44)</f>
        <v>21196.4218188005</v>
      </c>
      <c r="E44" s="167">
        <f>D43*($B$8/12)</f>
        <v>108.9427388005</v>
      </c>
      <c r="F44" s="135">
        <f t="shared" ref="F44:F53" si="0">+E44*$F$32</f>
        <v>44.218005652563335</v>
      </c>
    </row>
    <row r="45" spans="1:7" hidden="1" outlineLevel="1">
      <c r="A45" s="141" t="s">
        <v>121</v>
      </c>
      <c r="B45" s="135">
        <f>B44+'DPV2 CWIP Balance'!D19</f>
        <v>18936.164859999997</v>
      </c>
      <c r="C45" s="135">
        <f>C44+E45</f>
        <v>2815.3570054700026</v>
      </c>
      <c r="D45" s="135">
        <f>SUM(B45:C45)</f>
        <v>21751.52186547</v>
      </c>
      <c r="E45" s="167">
        <f>D44*($B$9/12)</f>
        <v>97.150266669502287</v>
      </c>
      <c r="F45" s="135">
        <f t="shared" si="0"/>
        <v>39.431641686617589</v>
      </c>
    </row>
    <row r="46" spans="1:7" hidden="1" outlineLevel="1">
      <c r="A46" s="141" t="s">
        <v>75</v>
      </c>
      <c r="B46" s="135">
        <f>B45+'DPV2 CWIP Balance'!D20</f>
        <v>19257.406579999999</v>
      </c>
      <c r="C46" s="135">
        <f t="shared" ref="C46:C68" si="1">C45+E46</f>
        <v>2915.05148068674</v>
      </c>
      <c r="D46" s="135">
        <f t="shared" ref="D46:D78" si="2">SUM(B46:C46)</f>
        <v>22172.458060686738</v>
      </c>
      <c r="E46" s="167">
        <f>D45*($B$9/12)</f>
        <v>99.694475216737501</v>
      </c>
      <c r="F46" s="135">
        <f t="shared" si="0"/>
        <v>40.464292684395062</v>
      </c>
    </row>
    <row r="47" spans="1:7" hidden="1" outlineLevel="1">
      <c r="A47" s="141" t="s">
        <v>122</v>
      </c>
      <c r="B47" s="135">
        <f>B46+'DPV2 CWIP Balance'!D21</f>
        <v>19775.495759999998</v>
      </c>
      <c r="C47" s="135">
        <f t="shared" si="1"/>
        <v>3016.675246798221</v>
      </c>
      <c r="D47" s="135">
        <f t="shared" si="2"/>
        <v>22792.17100679822</v>
      </c>
      <c r="E47" s="167">
        <f>D46*($B$9/12)</f>
        <v>101.62376611148089</v>
      </c>
      <c r="F47" s="135">
        <f t="shared" si="0"/>
        <v>41.247359060626195</v>
      </c>
    </row>
    <row r="48" spans="1:7" hidden="1" outlineLevel="1">
      <c r="A48" s="141" t="s">
        <v>123</v>
      </c>
      <c r="B48" s="135">
        <f>B47+'DPV2 CWIP Balance'!D22</f>
        <v>19984.218219999999</v>
      </c>
      <c r="C48" s="135">
        <f t="shared" si="1"/>
        <v>3121.1393639127127</v>
      </c>
      <c r="D48" s="135">
        <f t="shared" si="2"/>
        <v>23105.357583912712</v>
      </c>
      <c r="E48" s="167">
        <f>D47*($B$10/12)</f>
        <v>104.46411711449184</v>
      </c>
      <c r="F48" s="135">
        <f t="shared" si="0"/>
        <v>42.400209246781287</v>
      </c>
    </row>
    <row r="49" spans="1:6" hidden="1" outlineLevel="1">
      <c r="A49" s="141" t="s">
        <v>124</v>
      </c>
      <c r="B49" s="135">
        <f>B48+'DPV2 CWIP Balance'!D23</f>
        <v>20346.05689</v>
      </c>
      <c r="C49" s="135">
        <f t="shared" si="1"/>
        <v>3227.0389195056459</v>
      </c>
      <c r="D49" s="135">
        <f t="shared" si="2"/>
        <v>23573.095809505645</v>
      </c>
      <c r="E49" s="167">
        <f>D48*($B$10/12)</f>
        <v>105.89955559293327</v>
      </c>
      <c r="F49" s="135">
        <f t="shared" si="0"/>
        <v>42.982829322726531</v>
      </c>
    </row>
    <row r="50" spans="1:6" hidden="1" outlineLevel="1">
      <c r="A50" s="141" t="s">
        <v>125</v>
      </c>
      <c r="B50" s="135">
        <f>B49+'DPV2 CWIP Balance'!D24</f>
        <v>21033.720529999999</v>
      </c>
      <c r="C50" s="135">
        <f t="shared" si="1"/>
        <v>3335.0822752992135</v>
      </c>
      <c r="D50" s="135">
        <f t="shared" si="2"/>
        <v>24368.802805299212</v>
      </c>
      <c r="E50" s="167">
        <f>D49*($B$10/12)</f>
        <v>108.04335579356754</v>
      </c>
      <c r="F50" s="135">
        <f t="shared" si="0"/>
        <v>43.852961379560568</v>
      </c>
    </row>
    <row r="51" spans="1:6" hidden="1" outlineLevel="1">
      <c r="A51" s="141" t="s">
        <v>126</v>
      </c>
      <c r="B51" s="135">
        <f>B50+'DPV2 CWIP Balance'!D25</f>
        <v>21362.96775</v>
      </c>
      <c r="C51" s="135">
        <f t="shared" si="1"/>
        <v>3446.7726214901681</v>
      </c>
      <c r="D51" s="135">
        <f t="shared" si="2"/>
        <v>24809.740371490167</v>
      </c>
      <c r="E51" s="167">
        <f>D50*($B$11/12)</f>
        <v>111.69034619095473</v>
      </c>
      <c r="F51" s="135">
        <f t="shared" si="0"/>
        <v>45.333212783023271</v>
      </c>
    </row>
    <row r="52" spans="1:6" hidden="1" outlineLevel="1">
      <c r="A52" s="141" t="s">
        <v>127</v>
      </c>
      <c r="B52" s="135">
        <f>B51+'DPV2 CWIP Balance'!D26</f>
        <v>21514.4728</v>
      </c>
      <c r="C52" s="135">
        <f t="shared" si="1"/>
        <v>3560.4839315261647</v>
      </c>
      <c r="D52" s="135">
        <f t="shared" si="2"/>
        <v>25074.956731526163</v>
      </c>
      <c r="E52" s="167">
        <f>D51*($B$11/12)</f>
        <v>113.7113100359966</v>
      </c>
      <c r="F52" s="135">
        <f t="shared" si="0"/>
        <v>46.153487651340406</v>
      </c>
    </row>
    <row r="53" spans="1:6" hidden="1" outlineLevel="1">
      <c r="A53" s="141" t="s">
        <v>128</v>
      </c>
      <c r="B53" s="135">
        <f>B52+'DPV2 CWIP Balance'!D27</f>
        <v>22619.64286</v>
      </c>
      <c r="C53" s="135">
        <f t="shared" si="1"/>
        <v>3675.4108165456596</v>
      </c>
      <c r="D53" s="135">
        <f t="shared" si="2"/>
        <v>26295.05367654566</v>
      </c>
      <c r="E53" s="167">
        <f>D52*($B$11/12)</f>
        <v>114.92688501949492</v>
      </c>
      <c r="F53" s="135">
        <f t="shared" si="0"/>
        <v>46.646868872367648</v>
      </c>
    </row>
    <row r="54" spans="1:6" ht="15" hidden="1" outlineLevel="1" thickBot="1">
      <c r="A54" s="141"/>
      <c r="E54" s="168"/>
      <c r="F54" s="142"/>
    </row>
    <row r="55" spans="1:6" ht="15" hidden="1" outlineLevel="1" thickTop="1">
      <c r="A55" s="141"/>
    </row>
    <row r="56" spans="1:6" ht="21.75" hidden="1" customHeight="1" outlineLevel="1">
      <c r="A56" s="141" t="s">
        <v>189</v>
      </c>
      <c r="B56" s="135">
        <f>B53+'DPV2 CWIP Balance'!D28</f>
        <v>22998.20984</v>
      </c>
      <c r="C56" s="135">
        <f>C53+E56</f>
        <v>3810.3920920852606</v>
      </c>
      <c r="D56" s="135">
        <f t="shared" si="2"/>
        <v>26808.601932085261</v>
      </c>
      <c r="E56" s="167">
        <f>D53*($B$13/12)</f>
        <v>134.98127553960106</v>
      </c>
      <c r="F56" s="135">
        <f>+E56*$F$33</f>
        <v>54.896853621775485</v>
      </c>
    </row>
    <row r="57" spans="1:6" hidden="1" outlineLevel="1">
      <c r="A57" s="141" t="s">
        <v>119</v>
      </c>
      <c r="B57" s="135">
        <f>B56+'DPV2 CWIP Balance'!D29</f>
        <v>23395.35817</v>
      </c>
      <c r="C57" s="135">
        <f t="shared" si="1"/>
        <v>3948.0095820032984</v>
      </c>
      <c r="D57" s="135">
        <f t="shared" si="2"/>
        <v>27343.367752003298</v>
      </c>
      <c r="E57" s="167">
        <f>D56*($B$13/12)</f>
        <v>137.61748991803768</v>
      </c>
      <c r="F57" s="135">
        <f t="shared" ref="F57:F78" si="3">+E57*$F$33</f>
        <v>55.969001401311004</v>
      </c>
    </row>
    <row r="58" spans="1:6" hidden="1" outlineLevel="1">
      <c r="A58" s="141" t="s">
        <v>120</v>
      </c>
      <c r="B58" s="135">
        <f>B57+'DPV2 CWIP Balance'!D30</f>
        <v>24418.3037</v>
      </c>
      <c r="C58" s="135">
        <f t="shared" si="1"/>
        <v>4088.3722031302486</v>
      </c>
      <c r="D58" s="135">
        <f t="shared" si="2"/>
        <v>28506.67590313025</v>
      </c>
      <c r="E58" s="167">
        <f>D57*($B$13/12)</f>
        <v>140.36262112695027</v>
      </c>
      <c r="F58" s="135">
        <f t="shared" si="3"/>
        <v>57.085445630673981</v>
      </c>
    </row>
    <row r="59" spans="1:6" hidden="1" outlineLevel="1">
      <c r="A59" s="141" t="s">
        <v>121</v>
      </c>
      <c r="B59" s="135">
        <f>B58+'DPV2 CWIP Balance'!D31</f>
        <v>25570.22422</v>
      </c>
      <c r="C59" s="135">
        <f t="shared" si="1"/>
        <v>4234.7064727663173</v>
      </c>
      <c r="D59" s="135">
        <f t="shared" si="2"/>
        <v>29804.930692766316</v>
      </c>
      <c r="E59" s="167">
        <f>D58*($B$14/12)</f>
        <v>146.33426963606863</v>
      </c>
      <c r="F59" s="135">
        <f t="shared" si="3"/>
        <v>59.514113701673104</v>
      </c>
    </row>
    <row r="60" spans="1:6" hidden="1" outlineLevel="1">
      <c r="A60" s="141" t="s">
        <v>75</v>
      </c>
      <c r="B60" s="135">
        <f>B59+'DPV2 CWIP Balance'!D32</f>
        <v>27925.86292</v>
      </c>
      <c r="C60" s="135">
        <f t="shared" si="1"/>
        <v>4387.7051169891847</v>
      </c>
      <c r="D60" s="135">
        <f t="shared" si="2"/>
        <v>32313.568036989185</v>
      </c>
      <c r="E60" s="167">
        <f>D59*($B$14/12)</f>
        <v>152.99864422286709</v>
      </c>
      <c r="F60" s="135">
        <f t="shared" si="3"/>
        <v>62.224513308652824</v>
      </c>
    </row>
    <row r="61" spans="1:6" hidden="1" outlineLevel="1">
      <c r="A61" s="141"/>
    </row>
    <row r="62" spans="1:6" hidden="1" outlineLevel="1">
      <c r="A62" s="141" t="s">
        <v>122</v>
      </c>
      <c r="B62" s="135">
        <f>B60-'DPV2 CWIP Balance'!C33</f>
        <v>27925.86292</v>
      </c>
      <c r="C62" s="135">
        <f>C60+E62</f>
        <v>4553.5814329123959</v>
      </c>
      <c r="D62" s="135">
        <f t="shared" si="2"/>
        <v>32479.444352912396</v>
      </c>
      <c r="E62" s="167">
        <f>D60*($B$14/12)</f>
        <v>165.87631592321117</v>
      </c>
      <c r="F62" s="135">
        <f t="shared" si="3"/>
        <v>67.461859418303902</v>
      </c>
    </row>
    <row r="63" spans="1:6" hidden="1" outlineLevel="1">
      <c r="A63" s="141" t="s">
        <v>215</v>
      </c>
      <c r="B63" s="289">
        <f>-'DPV2 Transfer'!C6</f>
        <v>-430.03729000000021</v>
      </c>
      <c r="C63" s="289">
        <f>'DPV2 Transfer'!J6</f>
        <v>-62.688303238884608</v>
      </c>
      <c r="D63" s="289">
        <f>B63+C63</f>
        <v>-492.72559323888481</v>
      </c>
      <c r="E63" s="290"/>
      <c r="F63" s="289"/>
    </row>
    <row r="64" spans="1:6" hidden="1" outlineLevel="1">
      <c r="A64" s="141" t="s">
        <v>216</v>
      </c>
      <c r="B64" s="135">
        <f>SUM(B62:B63)</f>
        <v>27495.825629999999</v>
      </c>
      <c r="C64" s="135">
        <f>SUM(C62:C63)</f>
        <v>4490.8931296735109</v>
      </c>
      <c r="D64" s="135">
        <f>SUM(D62:D63)</f>
        <v>31986.718759673513</v>
      </c>
      <c r="E64" s="135">
        <f>SUM(E62:E63)</f>
        <v>165.87631592321117</v>
      </c>
      <c r="F64" s="135">
        <f>SUM(F62:F63)</f>
        <v>67.461859418303902</v>
      </c>
    </row>
    <row r="65" spans="1:6" hidden="1" outlineLevel="1">
      <c r="A65" s="141"/>
    </row>
    <row r="66" spans="1:6" hidden="1" outlineLevel="1">
      <c r="A66" s="141" t="s">
        <v>123</v>
      </c>
      <c r="B66" s="135">
        <f>B64+'DPV2 CWIP Balance'!D34</f>
        <v>30562.758029999997</v>
      </c>
      <c r="C66" s="135">
        <f>C64+E66</f>
        <v>4655.0916193065013</v>
      </c>
      <c r="D66" s="135">
        <f t="shared" si="2"/>
        <v>35217.849649306496</v>
      </c>
      <c r="E66" s="167">
        <f>D64*($B$15/12)</f>
        <v>164.19848963299071</v>
      </c>
      <c r="F66" s="135">
        <f t="shared" si="3"/>
        <v>66.779487853145767</v>
      </c>
    </row>
    <row r="67" spans="1:6" hidden="1" outlineLevel="1">
      <c r="A67" s="141" t="s">
        <v>124</v>
      </c>
      <c r="B67" s="135">
        <f>B66+'DPV2 CWIP Balance'!D35</f>
        <v>33299.596639999996</v>
      </c>
      <c r="C67" s="135">
        <f t="shared" si="1"/>
        <v>4835.8765808396083</v>
      </c>
      <c r="D67" s="135">
        <f t="shared" si="2"/>
        <v>38135.473220839602</v>
      </c>
      <c r="E67" s="167">
        <f>D66*($B$15/12)</f>
        <v>180.7849615331067</v>
      </c>
      <c r="F67" s="135">
        <f t="shared" si="3"/>
        <v>73.525202148423872</v>
      </c>
    </row>
    <row r="68" spans="1:6" hidden="1" outlineLevel="1">
      <c r="A68" s="141" t="s">
        <v>125</v>
      </c>
      <c r="B68" s="135">
        <f>B67+'DPV2 CWIP Balance'!D36</f>
        <v>36269.692849999999</v>
      </c>
      <c r="C68" s="135">
        <f t="shared" si="1"/>
        <v>5031.6386767065851</v>
      </c>
      <c r="D68" s="135">
        <f t="shared" si="2"/>
        <v>41301.331526706585</v>
      </c>
      <c r="E68" s="167">
        <f>D67*($B$15/12)</f>
        <v>195.76209586697664</v>
      </c>
      <c r="F68" s="135">
        <f t="shared" si="3"/>
        <v>79.616399226783884</v>
      </c>
    </row>
    <row r="69" spans="1:6" hidden="1" outlineLevel="1">
      <c r="A69" s="141"/>
    </row>
    <row r="70" spans="1:6" hidden="1" outlineLevel="1">
      <c r="A70" s="141" t="s">
        <v>126</v>
      </c>
      <c r="B70" s="135">
        <f>B68</f>
        <v>36269.692849999999</v>
      </c>
      <c r="C70" s="135">
        <f>C68+E70</f>
        <v>5243.6521785436789</v>
      </c>
      <c r="D70" s="135">
        <f t="shared" si="2"/>
        <v>41513.345028543677</v>
      </c>
      <c r="E70" s="167">
        <f>D68*($B$16/12)</f>
        <v>212.0135018370938</v>
      </c>
      <c r="F70" s="135">
        <f t="shared" si="3"/>
        <v>86.225842285631174</v>
      </c>
    </row>
    <row r="71" spans="1:6" hidden="1" outlineLevel="1">
      <c r="A71" s="141" t="s">
        <v>222</v>
      </c>
      <c r="B71" s="289">
        <f>-'DPV2 Transfer'!C7</f>
        <v>-1865.0869999999995</v>
      </c>
      <c r="C71" s="289">
        <f>'DPV2 Transfer'!J7</f>
        <v>-247.08444110905526</v>
      </c>
      <c r="D71" s="289">
        <f>B71+C71</f>
        <v>-2112.1714411090547</v>
      </c>
      <c r="E71" s="290"/>
      <c r="F71" s="289"/>
    </row>
    <row r="72" spans="1:6" hidden="1" outlineLevel="1">
      <c r="A72" s="141" t="s">
        <v>223</v>
      </c>
      <c r="B72" s="135">
        <f>SUM(B70:B71)</f>
        <v>34404.60585</v>
      </c>
      <c r="C72" s="135">
        <f>SUM(C70:C71)</f>
        <v>4996.5677374346233</v>
      </c>
      <c r="D72" s="135">
        <f>SUM(D70:D71)</f>
        <v>39401.17358743462</v>
      </c>
      <c r="E72" s="135">
        <f>SUM(E70:E71)</f>
        <v>212.0135018370938</v>
      </c>
      <c r="F72" s="135">
        <f>SUM(F70:F71)</f>
        <v>86.225842285631174</v>
      </c>
    </row>
    <row r="73" spans="1:6" hidden="1" outlineLevel="1">
      <c r="A73" s="141"/>
    </row>
    <row r="74" spans="1:6" hidden="1" outlineLevel="2">
      <c r="A74" s="141" t="s">
        <v>127</v>
      </c>
      <c r="B74" s="135">
        <f>B72</f>
        <v>34404.60585</v>
      </c>
      <c r="C74" s="135">
        <f>C72+E74</f>
        <v>5198.8270951834547</v>
      </c>
      <c r="D74" s="135">
        <f t="shared" si="2"/>
        <v>39603.432945183456</v>
      </c>
      <c r="E74" s="167">
        <f>D72*($B$16/12)</f>
        <v>202.25935774883106</v>
      </c>
      <c r="F74" s="135">
        <f t="shared" si="3"/>
        <v>82.258834135215764</v>
      </c>
    </row>
    <row r="75" spans="1:6" hidden="1" outlineLevel="2">
      <c r="A75" s="141" t="s">
        <v>224</v>
      </c>
      <c r="B75" s="289">
        <f>-'DPV2 Transfer'!C8</f>
        <v>-2133.2712299999985</v>
      </c>
      <c r="C75" s="289">
        <f>'DPV2 Transfer'!J8</f>
        <v>-294.05324368171284</v>
      </c>
      <c r="D75" s="289">
        <f>B75+C75</f>
        <v>-2427.3244736817114</v>
      </c>
      <c r="E75" s="290"/>
      <c r="F75" s="289"/>
    </row>
    <row r="76" spans="1:6" hidden="1" outlineLevel="2">
      <c r="A76" s="141" t="s">
        <v>225</v>
      </c>
      <c r="B76" s="135">
        <f>SUM(B74:B75)</f>
        <v>32271.334620000001</v>
      </c>
      <c r="C76" s="135">
        <f>SUM(C74:C75)</f>
        <v>4904.7738515017418</v>
      </c>
      <c r="D76" s="135">
        <f>SUM(D74:D75)</f>
        <v>37176.108471501742</v>
      </c>
      <c r="E76" s="135">
        <f>SUM(E74:E75)</f>
        <v>202.25935774883106</v>
      </c>
      <c r="F76" s="135">
        <f>SUM(F74:F75)</f>
        <v>82.258834135215764</v>
      </c>
    </row>
    <row r="77" spans="1:6" hidden="1" outlineLevel="2">
      <c r="A77" s="141"/>
    </row>
    <row r="78" spans="1:6" hidden="1" outlineLevel="1">
      <c r="A78" s="141" t="s">
        <v>190</v>
      </c>
      <c r="B78" s="135">
        <f>B76+'DPV2 CWIP Balance'!D39</f>
        <v>35309.874929999998</v>
      </c>
      <c r="C78" s="135">
        <f>C76+E78</f>
        <v>5095.6112083221178</v>
      </c>
      <c r="D78" s="135">
        <f t="shared" si="2"/>
        <v>40405.486138322114</v>
      </c>
      <c r="E78" s="307">
        <f>D76*($B$16/12)</f>
        <v>190.83735682037562</v>
      </c>
      <c r="F78" s="308">
        <f t="shared" si="3"/>
        <v>77.613508992668542</v>
      </c>
    </row>
    <row r="79" spans="1:6" ht="15" hidden="1" outlineLevel="1" thickBot="1">
      <c r="A79" s="141"/>
      <c r="E79" s="168"/>
      <c r="F79" s="142"/>
    </row>
    <row r="80" spans="1:6" ht="15" hidden="1" outlineLevel="1" thickTop="1">
      <c r="E80" s="306"/>
      <c r="F80" s="140"/>
    </row>
    <row r="81" spans="1:8" hidden="1" outlineLevel="1">
      <c r="A81" s="141" t="s">
        <v>226</v>
      </c>
      <c r="B81" s="167">
        <f>B78+'DPV2 CWIP Balance'!D40</f>
        <v>35125.76773</v>
      </c>
      <c r="C81" s="167">
        <f>C78+E81</f>
        <v>5306.0564486258791</v>
      </c>
      <c r="D81" s="167">
        <f>SUM(B81:C81)</f>
        <v>40431.82417862588</v>
      </c>
      <c r="E81" s="167">
        <f>D78*($B$18/12)</f>
        <v>210.44524030376101</v>
      </c>
      <c r="F81" s="167">
        <f t="shared" ref="F81:F96" si="4">+E81*$F$34</f>
        <v>85.693301851691487</v>
      </c>
    </row>
    <row r="82" spans="1:8" hidden="1" outlineLevel="1">
      <c r="A82" s="141" t="s">
        <v>119</v>
      </c>
      <c r="B82" s="167">
        <f>B81+'DPV2 CWIP Balance'!D41</f>
        <v>35241.018830000001</v>
      </c>
      <c r="C82" s="167">
        <f>C81+E82</f>
        <v>5516.6388662228892</v>
      </c>
      <c r="D82" s="167">
        <f>SUM(B82:C82)</f>
        <v>40757.657696222886</v>
      </c>
      <c r="E82" s="167">
        <f>D81*($B$18/12)</f>
        <v>210.58241759700979</v>
      </c>
      <c r="F82" s="167">
        <f t="shared" si="4"/>
        <v>85.749160445502383</v>
      </c>
    </row>
    <row r="83" spans="1:8" s="167" customFormat="1" hidden="1" outlineLevel="1">
      <c r="A83" s="261" t="s">
        <v>120</v>
      </c>
      <c r="B83" s="167">
        <f>B82+'DPV2 CWIP Balance'!D42</f>
        <v>36464.013469999998</v>
      </c>
      <c r="C83" s="167">
        <f>C82+E83</f>
        <v>5728.9183333907167</v>
      </c>
      <c r="D83" s="167">
        <f>SUM(B83:C83)</f>
        <v>42192.931803390718</v>
      </c>
      <c r="E83" s="167">
        <f>D82*($B$18/12)</f>
        <v>212.27946716782753</v>
      </c>
      <c r="F83" s="167">
        <f>+E83*$F$34</f>
        <v>86.440199030739379</v>
      </c>
    </row>
    <row r="84" spans="1:8" s="167" customFormat="1" hidden="1" outlineLevel="1">
      <c r="A84" s="261" t="s">
        <v>121</v>
      </c>
      <c r="B84" s="167">
        <f>B83+'DPV2 CWIP Balance'!D43</f>
        <v>37285.696459999999</v>
      </c>
      <c r="C84" s="167">
        <f>C83+E84</f>
        <v>5948.6731865333768</v>
      </c>
      <c r="D84" s="167">
        <f>SUM(B84:C84)</f>
        <v>43234.369646533378</v>
      </c>
      <c r="E84" s="167">
        <f>D83*($B$19/12)</f>
        <v>219.75485314265998</v>
      </c>
      <c r="F84" s="167">
        <f t="shared" si="4"/>
        <v>89.484176199691149</v>
      </c>
    </row>
    <row r="85" spans="1:8" s="167" customFormat="1" hidden="1" outlineLevel="1">
      <c r="A85" s="261" t="s">
        <v>75</v>
      </c>
      <c r="B85" s="167">
        <f>B84+'DPV2 CWIP Balance'!D44</f>
        <v>38629.911679999997</v>
      </c>
      <c r="C85" s="167">
        <f>C84+E85</f>
        <v>6173.8521951090715</v>
      </c>
      <c r="D85" s="167">
        <f>SUM(B85:C85)</f>
        <v>44803.763875109071</v>
      </c>
      <c r="E85" s="167">
        <f>D84*($B$19/12)</f>
        <v>225.17900857569467</v>
      </c>
      <c r="F85" s="167">
        <f t="shared" si="4"/>
        <v>91.692892292022876</v>
      </c>
    </row>
    <row r="86" spans="1:8" s="167" customFormat="1" hidden="1" outlineLevel="1">
      <c r="A86" s="261"/>
    </row>
    <row r="87" spans="1:8" s="167" customFormat="1" hidden="1" outlineLevel="1">
      <c r="A87" s="261" t="s">
        <v>122</v>
      </c>
      <c r="B87" s="167">
        <f>B85</f>
        <v>38629.911679999997</v>
      </c>
      <c r="C87" s="167">
        <f>C85+E87</f>
        <v>6407.205131958598</v>
      </c>
      <c r="D87" s="167">
        <f t="shared" ref="D87:D95" si="5">SUM(B87:C87)</f>
        <v>45037.116811958593</v>
      </c>
      <c r="E87" s="167">
        <f>D85*($B$19/12)</f>
        <v>233.3529368495264</v>
      </c>
      <c r="F87" s="167">
        <f t="shared" si="4"/>
        <v>95.021315885127152</v>
      </c>
    </row>
    <row r="88" spans="1:8" s="167" customFormat="1" hidden="1" outlineLevel="1">
      <c r="A88" s="358" t="s">
        <v>215</v>
      </c>
      <c r="B88" s="290">
        <f>-'DPV2 Transfer'!C9</f>
        <v>-7081.623679999997</v>
      </c>
      <c r="C88" s="290">
        <f>'DPV2 Transfer'!J9</f>
        <v>-1081.8315956849881</v>
      </c>
      <c r="D88" s="290">
        <f t="shared" si="5"/>
        <v>-8163.4552756849853</v>
      </c>
      <c r="E88" s="290"/>
      <c r="F88" s="290"/>
    </row>
    <row r="89" spans="1:8" s="167" customFormat="1" hidden="1" outlineLevel="1">
      <c r="A89" s="358" t="s">
        <v>216</v>
      </c>
      <c r="B89" s="167">
        <f>SUM(B87:B88)</f>
        <v>31548.288</v>
      </c>
      <c r="C89" s="167">
        <f>SUM(C87:C88)</f>
        <v>5325.3735362736097</v>
      </c>
      <c r="D89" s="167">
        <f>SUM(D87:D88)</f>
        <v>36873.661536273605</v>
      </c>
      <c r="E89" s="167">
        <f t="shared" ref="E89:F89" si="6">SUM(E87:E88)</f>
        <v>233.3529368495264</v>
      </c>
      <c r="F89" s="167">
        <f t="shared" si="6"/>
        <v>95.021315885127152</v>
      </c>
    </row>
    <row r="90" spans="1:8" s="167" customFormat="1" hidden="1" outlineLevel="1">
      <c r="A90" s="357"/>
    </row>
    <row r="91" spans="1:8" s="167" customFormat="1" hidden="1" outlineLevel="1">
      <c r="A91" s="261" t="s">
        <v>123</v>
      </c>
      <c r="B91" s="167">
        <f>B89+'DPV2 CWIP Balance'!D46</f>
        <v>32483.904569999999</v>
      </c>
      <c r="C91" s="167">
        <f>C89+E91</f>
        <v>5517.4238567750344</v>
      </c>
      <c r="D91" s="167">
        <f t="shared" si="5"/>
        <v>38001.328426775035</v>
      </c>
      <c r="E91" s="167">
        <f>D89*($B$20/12)</f>
        <v>192.05032050142501</v>
      </c>
      <c r="F91" s="167">
        <f t="shared" si="4"/>
        <v>78.202890508180261</v>
      </c>
      <c r="H91" s="309"/>
    </row>
    <row r="92" spans="1:8" s="167" customFormat="1" hidden="1" outlineLevel="1">
      <c r="A92" s="261" t="s">
        <v>124</v>
      </c>
      <c r="B92" s="167">
        <f>B91+'DPV2 CWIP Balance'!D47</f>
        <v>33684.951589999997</v>
      </c>
      <c r="C92" s="167">
        <f t="shared" ref="C92:C95" si="7">C91+E92</f>
        <v>5715.3474423311545</v>
      </c>
      <c r="D92" s="167">
        <f t="shared" si="5"/>
        <v>39400.299032331153</v>
      </c>
      <c r="E92" s="167">
        <f>D91*($B$20/12)</f>
        <v>197.92358555611997</v>
      </c>
      <c r="F92" s="167">
        <f>+E92*$F$34</f>
        <v>80.594484038452052</v>
      </c>
      <c r="H92" s="309"/>
    </row>
    <row r="93" spans="1:8" s="167" customFormat="1" hidden="1" outlineLevel="1">
      <c r="A93" s="261" t="s">
        <v>125</v>
      </c>
      <c r="B93" s="167">
        <f>B92+'DPV2 CWIP Balance'!D48</f>
        <v>35587.184139999998</v>
      </c>
      <c r="C93" s="167">
        <f t="shared" si="7"/>
        <v>5920.5573331245459</v>
      </c>
      <c r="D93" s="167">
        <f t="shared" si="5"/>
        <v>41507.741473124544</v>
      </c>
      <c r="E93" s="167">
        <f>D92*($B$20/12)</f>
        <v>205.20989079339142</v>
      </c>
      <c r="F93" s="167">
        <f t="shared" si="4"/>
        <v>83.561467531068985</v>
      </c>
      <c r="H93" s="309"/>
    </row>
    <row r="94" spans="1:8" s="167" customFormat="1" collapsed="1">
      <c r="A94" s="261" t="s">
        <v>126</v>
      </c>
      <c r="B94" s="167">
        <f>B93+'DPV2 CWIP Balance'!D49</f>
        <v>39251.100149999998</v>
      </c>
      <c r="C94" s="167">
        <f t="shared" si="7"/>
        <v>6136.7434866304029</v>
      </c>
      <c r="D94" s="167">
        <f t="shared" si="5"/>
        <v>45387.843636630401</v>
      </c>
      <c r="E94" s="167">
        <f>D93*($B$21/12)</f>
        <v>216.18615350585699</v>
      </c>
      <c r="F94" s="167">
        <f t="shared" si="4"/>
        <v>88.031001707584963</v>
      </c>
      <c r="H94" s="309"/>
    </row>
    <row r="95" spans="1:8" s="167" customFormat="1">
      <c r="A95" s="261" t="s">
        <v>127</v>
      </c>
      <c r="B95" s="167">
        <f>B94+'DPV2 CWIP Balance'!D50</f>
        <v>39973.755039999996</v>
      </c>
      <c r="C95" s="167">
        <f t="shared" si="7"/>
        <v>6373.1385055711862</v>
      </c>
      <c r="D95" s="167">
        <f t="shared" si="5"/>
        <v>46346.893545571183</v>
      </c>
      <c r="E95" s="167">
        <f>D94*($B$21/12)</f>
        <v>236.39501894078333</v>
      </c>
      <c r="F95" s="167">
        <f t="shared" si="4"/>
        <v>96.260051712686973</v>
      </c>
      <c r="H95" s="309"/>
    </row>
    <row r="96" spans="1:8">
      <c r="A96" s="141" t="s">
        <v>227</v>
      </c>
      <c r="B96" s="167">
        <f>B95+'DPV2 CWIP Balance'!D51</f>
        <v>42832.3842</v>
      </c>
      <c r="C96" s="167">
        <f>C95+E96</f>
        <v>6614.5285761210362</v>
      </c>
      <c r="D96" s="167">
        <f>SUM(B96:C96)</f>
        <v>49446.91277612104</v>
      </c>
      <c r="E96" s="170">
        <f>D95*($B$21/12)</f>
        <v>241.3900705498499</v>
      </c>
      <c r="F96" s="167">
        <f t="shared" si="4"/>
        <v>98.294036727898884</v>
      </c>
      <c r="H96" s="148"/>
    </row>
    <row r="97" spans="1:8" ht="15" thickBot="1">
      <c r="E97" s="168"/>
      <c r="F97" s="142"/>
      <c r="H97" s="148"/>
    </row>
    <row r="98" spans="1:8" ht="15" thickTop="1">
      <c r="H98" s="148"/>
    </row>
    <row r="99" spans="1:8">
      <c r="A99" s="749"/>
      <c r="B99" s="766"/>
      <c r="C99" s="766"/>
      <c r="D99" s="766"/>
      <c r="E99" s="766"/>
      <c r="F99" s="766"/>
      <c r="H99" s="148"/>
    </row>
    <row r="100" spans="1:8" s="167" customFormat="1">
      <c r="A100" s="358" t="s">
        <v>262</v>
      </c>
      <c r="B100" s="167">
        <f>B96+'DPV2 CWIP Balance'!D52</f>
        <v>44161.591039999999</v>
      </c>
      <c r="C100" s="167">
        <f>C96+E100</f>
        <v>6872.0645801633336</v>
      </c>
      <c r="D100" s="167">
        <f>SUM(B100:C100)</f>
        <v>51033.655620163336</v>
      </c>
      <c r="E100" s="167">
        <f>D96*($B$23/12)</f>
        <v>257.53600404229707</v>
      </c>
      <c r="F100" s="167">
        <f>+E100*$F$35</f>
        <v>104.92016804683182</v>
      </c>
    </row>
    <row r="101" spans="1:8" s="167" customFormat="1">
      <c r="A101" s="261" t="s">
        <v>119</v>
      </c>
      <c r="B101" s="167">
        <f>B100+'DPV2 CWIP Balance'!D53</f>
        <v>46028.803800000002</v>
      </c>
      <c r="C101" s="167">
        <f t="shared" ref="C101:C115" si="8">C100+E101</f>
        <v>7137.8648698516845</v>
      </c>
      <c r="D101" s="167">
        <f>SUM(B101:C101)</f>
        <v>53166.668669851686</v>
      </c>
      <c r="E101" s="167">
        <f>D100*($B$23/12)</f>
        <v>265.80028968835069</v>
      </c>
      <c r="F101" s="167">
        <f>+E101*$F$35</f>
        <v>108.28703801903407</v>
      </c>
    </row>
    <row r="102" spans="1:8" s="167" customFormat="1">
      <c r="A102" s="261" t="s">
        <v>120</v>
      </c>
      <c r="B102" s="167">
        <f>B101+'DPV2 CWIP Balance'!D54</f>
        <v>49068.947970000001</v>
      </c>
      <c r="C102" s="167">
        <f t="shared" si="8"/>
        <v>7414.7746025071619</v>
      </c>
      <c r="D102" s="167">
        <f t="shared" ref="D102:D115" si="9">SUM(B102:C102)</f>
        <v>56483.722572507162</v>
      </c>
      <c r="E102" s="167">
        <f>D101*($B$23/12)</f>
        <v>276.90973265547751</v>
      </c>
      <c r="F102" s="167">
        <f t="shared" ref="F102:F115" si="10">+E102*$F$35</f>
        <v>112.81302508384154</v>
      </c>
    </row>
    <row r="103" spans="1:8" s="167" customFormat="1">
      <c r="A103" s="261"/>
    </row>
    <row r="104" spans="1:8" s="167" customFormat="1">
      <c r="A104" s="261" t="s">
        <v>121</v>
      </c>
      <c r="B104" s="167">
        <f>B102+'DPV2 CWIP Balance'!B55</f>
        <v>50931.524389999991</v>
      </c>
      <c r="C104" s="167">
        <f>C102+E104</f>
        <v>7708.9606575723037</v>
      </c>
      <c r="D104" s="167">
        <f t="shared" si="9"/>
        <v>58640.485047572292</v>
      </c>
      <c r="E104" s="167">
        <f>D102*($B$24/12)</f>
        <v>294.18605506514143</v>
      </c>
      <c r="F104" s="167">
        <f t="shared" si="10"/>
        <v>119.85139883353861</v>
      </c>
    </row>
    <row r="105" spans="1:8" s="167" customFormat="1">
      <c r="A105" s="358" t="s">
        <v>308</v>
      </c>
      <c r="B105" s="290">
        <f>-'DPV2 Transfer'!C10</f>
        <v>-118.27867999999944</v>
      </c>
      <c r="C105" s="290">
        <f>'DPV2 Transfer'!J10</f>
        <v>-16.809676476468322</v>
      </c>
      <c r="D105" s="290">
        <f t="shared" ref="D105" si="11">SUM(B105:C105)</f>
        <v>-135.08835647646777</v>
      </c>
      <c r="E105" s="290"/>
      <c r="F105" s="290"/>
    </row>
    <row r="106" spans="1:8" s="167" customFormat="1">
      <c r="A106" s="358" t="s">
        <v>309</v>
      </c>
      <c r="B106" s="167">
        <f>SUM(B104:B105)</f>
        <v>50813.245709999988</v>
      </c>
      <c r="C106" s="167">
        <f>SUM(C104:C105)</f>
        <v>7692.150981095835</v>
      </c>
      <c r="D106" s="167">
        <f>SUM(D104:D105)</f>
        <v>58505.396691095826</v>
      </c>
      <c r="E106" s="167">
        <f t="shared" ref="E106:F106" si="12">SUM(E104:E105)</f>
        <v>294.18605506514143</v>
      </c>
      <c r="F106" s="167">
        <f t="shared" si="12"/>
        <v>119.85139883353861</v>
      </c>
    </row>
    <row r="107" spans="1:8" s="167" customFormat="1">
      <c r="A107" s="261"/>
    </row>
    <row r="108" spans="1:8" s="167" customFormat="1">
      <c r="A108" s="261" t="s">
        <v>75</v>
      </c>
      <c r="B108" s="167">
        <f>B106+'DPV2 CWIP Balance'!D56</f>
        <v>53637.18875999999</v>
      </c>
      <c r="C108" s="167">
        <f>C106+E108</f>
        <v>7996.8665888619589</v>
      </c>
      <c r="D108" s="167">
        <f t="shared" si="9"/>
        <v>61634.055348861948</v>
      </c>
      <c r="E108" s="167">
        <f>D106*($B$24/12)</f>
        <v>304.71560776612409</v>
      </c>
      <c r="F108" s="167">
        <f t="shared" si="10"/>
        <v>124.14113860391895</v>
      </c>
    </row>
    <row r="109" spans="1:8" s="167" customFormat="1">
      <c r="A109" s="261" t="s">
        <v>122</v>
      </c>
      <c r="B109" s="167">
        <f>B108+'DPV2 CWIP Balance'!D57</f>
        <v>59181.948899999988</v>
      </c>
      <c r="C109" s="167">
        <f t="shared" si="8"/>
        <v>8317.8772938039474</v>
      </c>
      <c r="D109" s="167">
        <f t="shared" si="9"/>
        <v>67499.826193803936</v>
      </c>
      <c r="E109" s="167">
        <f>D108*($B$24/12)</f>
        <v>321.01070494198927</v>
      </c>
      <c r="F109" s="167">
        <f t="shared" si="10"/>
        <v>130.77976119336643</v>
      </c>
    </row>
    <row r="110" spans="1:8" s="167" customFormat="1">
      <c r="A110" s="261" t="s">
        <v>123</v>
      </c>
      <c r="B110" s="167">
        <f>B109+'DPV2 CWIP Balance'!D58</f>
        <v>63663.133939999985</v>
      </c>
      <c r="C110" s="167">
        <f t="shared" si="8"/>
        <v>8669.4388885633434</v>
      </c>
      <c r="D110" s="167">
        <f t="shared" si="9"/>
        <v>72332.572828563323</v>
      </c>
      <c r="E110" s="167">
        <f>D109*($B$25/12)</f>
        <v>351.56159475939546</v>
      </c>
      <c r="F110" s="167">
        <f t="shared" si="10"/>
        <v>143.2261937049777</v>
      </c>
    </row>
    <row r="111" spans="1:8" s="167" customFormat="1">
      <c r="A111" s="261" t="s">
        <v>124</v>
      </c>
      <c r="B111" s="167">
        <f>B110+'DPV2 CWIP Balance'!D59</f>
        <v>70301.749679999994</v>
      </c>
      <c r="C111" s="167">
        <f t="shared" si="8"/>
        <v>9046.1710387121111</v>
      </c>
      <c r="D111" s="167">
        <f t="shared" si="9"/>
        <v>79347.920718712106</v>
      </c>
      <c r="E111" s="167">
        <f>D110*($B$25/12)</f>
        <v>376.73215014876729</v>
      </c>
      <c r="F111" s="167">
        <f t="shared" si="10"/>
        <v>153.48067797060779</v>
      </c>
    </row>
    <row r="112" spans="1:8" s="167" customFormat="1">
      <c r="A112" s="261" t="s">
        <v>125</v>
      </c>
      <c r="B112" s="167">
        <f>B111+'DPV2 CWIP Balance'!D60</f>
        <v>83243.872709999996</v>
      </c>
      <c r="C112" s="167">
        <f t="shared" si="8"/>
        <v>9459.4414591220702</v>
      </c>
      <c r="D112" s="167">
        <f t="shared" si="9"/>
        <v>92703.314169122066</v>
      </c>
      <c r="E112" s="167">
        <f>D111*($B$25/12)</f>
        <v>413.27042040995889</v>
      </c>
      <c r="F112" s="167">
        <f t="shared" si="10"/>
        <v>168.36636927501723</v>
      </c>
    </row>
    <row r="113" spans="1:8" s="167" customFormat="1">
      <c r="A113" s="261" t="s">
        <v>126</v>
      </c>
      <c r="B113" s="167">
        <f>B112+'DPV2 CWIP Balance'!D61</f>
        <v>98995.346199999985</v>
      </c>
      <c r="C113" s="167">
        <f t="shared" si="8"/>
        <v>9942.2712204195814</v>
      </c>
      <c r="D113" s="167">
        <f t="shared" si="9"/>
        <v>108937.61742041957</v>
      </c>
      <c r="E113" s="167">
        <f>D112*($B$26/12)</f>
        <v>482.82976129751074</v>
      </c>
      <c r="F113" s="167">
        <f t="shared" si="10"/>
        <v>196.70484475260588</v>
      </c>
    </row>
    <row r="114" spans="1:8" s="167" customFormat="1">
      <c r="A114" s="261" t="s">
        <v>127</v>
      </c>
      <c r="B114" s="167">
        <f>B113+'DPV2 CWIP Balance'!D62</f>
        <v>122557.80519999999</v>
      </c>
      <c r="C114" s="167">
        <f t="shared" si="8"/>
        <v>10509.654644484266</v>
      </c>
      <c r="D114" s="167">
        <f t="shared" si="9"/>
        <v>133067.45984448426</v>
      </c>
      <c r="E114" s="167">
        <f>D113*($B$26/12)</f>
        <v>567.38342406468519</v>
      </c>
      <c r="F114" s="167">
        <f t="shared" si="10"/>
        <v>231.15200696395274</v>
      </c>
      <c r="H114" s="309"/>
    </row>
    <row r="115" spans="1:8" s="167" customFormat="1">
      <c r="A115" s="358" t="s">
        <v>263</v>
      </c>
      <c r="B115" s="167">
        <f>B114+'DPV2 CWIP Balance'!D63</f>
        <v>148049.66506999999</v>
      </c>
      <c r="C115" s="167">
        <f t="shared" si="8"/>
        <v>11202.714331174288</v>
      </c>
      <c r="D115" s="167">
        <f t="shared" si="9"/>
        <v>159252.37940117429</v>
      </c>
      <c r="E115" s="167">
        <f>D114*($B$26/12)</f>
        <v>693.05968669002209</v>
      </c>
      <c r="F115" s="167">
        <f t="shared" si="10"/>
        <v>282.35251635751501</v>
      </c>
      <c r="H115" s="309"/>
    </row>
    <row r="116" spans="1:8" s="167" customFormat="1" ht="15" thickBot="1">
      <c r="E116" s="168"/>
      <c r="F116" s="168"/>
      <c r="H116" s="526"/>
    </row>
    <row r="117" spans="1:8" s="167" customFormat="1" ht="16.5" thickTop="1">
      <c r="A117" s="737" t="s">
        <v>145</v>
      </c>
      <c r="B117" s="772"/>
      <c r="C117" s="772"/>
      <c r="D117" s="772"/>
      <c r="E117" s="772"/>
      <c r="F117" s="772"/>
      <c r="H117" s="526"/>
    </row>
    <row r="118" spans="1:8">
      <c r="A118" s="749"/>
      <c r="B118" s="766"/>
      <c r="C118" s="766"/>
      <c r="D118" s="766"/>
      <c r="E118" s="766"/>
      <c r="F118" s="766"/>
      <c r="H118" s="148"/>
    </row>
    <row r="119" spans="1:8">
      <c r="H119" s="148"/>
    </row>
    <row r="120" spans="1:8" ht="15">
      <c r="A120" s="139" t="s">
        <v>138</v>
      </c>
      <c r="H120" s="148"/>
    </row>
    <row r="121" spans="1:8" ht="28.5">
      <c r="A121" s="143" t="str">
        <f>A7</f>
        <v>DPV2</v>
      </c>
      <c r="B121" s="144" t="s">
        <v>139</v>
      </c>
      <c r="C121" s="144" t="s">
        <v>140</v>
      </c>
      <c r="D121" s="144" t="s">
        <v>141</v>
      </c>
      <c r="E121" s="169" t="s">
        <v>142</v>
      </c>
      <c r="F121" s="144" t="s">
        <v>143</v>
      </c>
      <c r="H121" s="148"/>
    </row>
    <row r="122" spans="1:8" hidden="1" outlineLevel="1">
      <c r="A122" s="141" t="s">
        <v>117</v>
      </c>
      <c r="B122" s="135">
        <f>F43</f>
        <v>603.8318368389298</v>
      </c>
      <c r="C122" s="145">
        <f>B122</f>
        <v>603.8318368389298</v>
      </c>
      <c r="D122" s="146">
        <v>1</v>
      </c>
      <c r="E122" s="170"/>
      <c r="F122" s="145">
        <f>+C122*D122</f>
        <v>603.8318368389298</v>
      </c>
      <c r="H122" s="148"/>
    </row>
    <row r="123" spans="1:8" hidden="1" outlineLevel="1">
      <c r="A123" s="141" t="s">
        <v>118</v>
      </c>
      <c r="B123" s="145">
        <v>0</v>
      </c>
      <c r="C123" s="145">
        <f>+C122+B123</f>
        <v>603.8318368389298</v>
      </c>
      <c r="D123" s="146">
        <f t="shared" ref="D123:D134" si="13">D122-(1/12)</f>
        <v>0.91666666666666663</v>
      </c>
      <c r="E123" s="170">
        <f>+B123*D123</f>
        <v>0</v>
      </c>
      <c r="F123" s="145">
        <f>+F122+E123</f>
        <v>603.8318368389298</v>
      </c>
      <c r="H123" s="148"/>
    </row>
    <row r="124" spans="1:8" hidden="1" outlineLevel="1">
      <c r="A124" s="141" t="s">
        <v>119</v>
      </c>
      <c r="B124" s="145">
        <v>0</v>
      </c>
      <c r="C124" s="145">
        <f>+C123+B124</f>
        <v>603.8318368389298</v>
      </c>
      <c r="D124" s="146">
        <f t="shared" si="13"/>
        <v>0.83333333333333326</v>
      </c>
      <c r="E124" s="170">
        <f>+B124*D124</f>
        <v>0</v>
      </c>
      <c r="F124" s="145">
        <f>+F123+E124</f>
        <v>603.8318368389298</v>
      </c>
      <c r="H124" s="148"/>
    </row>
    <row r="125" spans="1:8" hidden="1" outlineLevel="1">
      <c r="A125" s="141" t="s">
        <v>120</v>
      </c>
      <c r="B125" s="145">
        <f t="shared" ref="B125:B134" si="14">+F44</f>
        <v>44.218005652563335</v>
      </c>
      <c r="C125" s="145">
        <f>+C124+B125</f>
        <v>648.04984249149311</v>
      </c>
      <c r="D125" s="146">
        <f t="shared" si="13"/>
        <v>0.74999999999999989</v>
      </c>
      <c r="E125" s="170">
        <f>+B125*D125</f>
        <v>33.163504239422494</v>
      </c>
      <c r="F125" s="145">
        <f>+F124+E125</f>
        <v>636.99534107835234</v>
      </c>
      <c r="H125" s="148"/>
    </row>
    <row r="126" spans="1:8" hidden="1" outlineLevel="1">
      <c r="A126" s="141" t="s">
        <v>121</v>
      </c>
      <c r="B126" s="145">
        <f t="shared" si="14"/>
        <v>39.431641686617589</v>
      </c>
      <c r="C126" s="145">
        <f>+C125+B126</f>
        <v>687.48148417811069</v>
      </c>
      <c r="D126" s="146">
        <f t="shared" si="13"/>
        <v>0.66666666666666652</v>
      </c>
      <c r="E126" s="170">
        <f>+B126*D126</f>
        <v>26.28776112441172</v>
      </c>
      <c r="F126" s="145">
        <f>+F125+E126</f>
        <v>663.2831022027641</v>
      </c>
      <c r="H126" s="148"/>
    </row>
    <row r="127" spans="1:8" hidden="1" outlineLevel="1">
      <c r="A127" s="141" t="s">
        <v>75</v>
      </c>
      <c r="B127" s="145">
        <f t="shared" si="14"/>
        <v>40.464292684395062</v>
      </c>
      <c r="C127" s="145">
        <f t="shared" ref="C127:C149" si="15">+C126+B127</f>
        <v>727.9457768625058</v>
      </c>
      <c r="D127" s="146">
        <f t="shared" si="13"/>
        <v>0.58333333333333315</v>
      </c>
      <c r="E127" s="170">
        <f t="shared" ref="E127:E159" si="16">+B127*D127</f>
        <v>23.60417073256378</v>
      </c>
      <c r="F127" s="145">
        <f t="shared" ref="F127:F149" si="17">+F126+E127</f>
        <v>686.88727293532793</v>
      </c>
      <c r="H127" s="148"/>
    </row>
    <row r="128" spans="1:8" hidden="1" outlineLevel="1">
      <c r="A128" s="141" t="s">
        <v>122</v>
      </c>
      <c r="B128" s="145">
        <f t="shared" si="14"/>
        <v>41.247359060626195</v>
      </c>
      <c r="C128" s="145">
        <f t="shared" si="15"/>
        <v>769.19313592313199</v>
      </c>
      <c r="D128" s="146">
        <f t="shared" si="13"/>
        <v>0.49999999999999983</v>
      </c>
      <c r="E128" s="170">
        <f t="shared" si="16"/>
        <v>20.62367953031309</v>
      </c>
      <c r="F128" s="145">
        <f t="shared" si="17"/>
        <v>707.51095246564103</v>
      </c>
      <c r="H128" s="148"/>
    </row>
    <row r="129" spans="1:8" hidden="1" outlineLevel="1">
      <c r="A129" s="141" t="s">
        <v>123</v>
      </c>
      <c r="B129" s="145">
        <f t="shared" si="14"/>
        <v>42.400209246781287</v>
      </c>
      <c r="C129" s="145">
        <f t="shared" si="15"/>
        <v>811.59334516991328</v>
      </c>
      <c r="D129" s="146">
        <f t="shared" si="13"/>
        <v>0.41666666666666652</v>
      </c>
      <c r="E129" s="170">
        <f t="shared" si="16"/>
        <v>17.666753852825529</v>
      </c>
      <c r="F129" s="145">
        <f t="shared" si="17"/>
        <v>725.17770631846656</v>
      </c>
      <c r="H129" s="148"/>
    </row>
    <row r="130" spans="1:8" hidden="1" outlineLevel="1">
      <c r="A130" s="141" t="s">
        <v>124</v>
      </c>
      <c r="B130" s="145">
        <f t="shared" si="14"/>
        <v>42.982829322726531</v>
      </c>
      <c r="C130" s="145">
        <f t="shared" si="15"/>
        <v>854.57617449263978</v>
      </c>
      <c r="D130" s="146">
        <f t="shared" si="13"/>
        <v>0.3333333333333332</v>
      </c>
      <c r="E130" s="170">
        <f t="shared" si="16"/>
        <v>14.327609774242172</v>
      </c>
      <c r="F130" s="145">
        <f t="shared" si="17"/>
        <v>739.50531609270877</v>
      </c>
      <c r="H130" s="148"/>
    </row>
    <row r="131" spans="1:8" hidden="1" outlineLevel="1">
      <c r="A131" s="141" t="s">
        <v>125</v>
      </c>
      <c r="B131" s="145">
        <f t="shared" si="14"/>
        <v>43.852961379560568</v>
      </c>
      <c r="C131" s="145">
        <f t="shared" si="15"/>
        <v>898.42913587220039</v>
      </c>
      <c r="D131" s="146">
        <f t="shared" si="13"/>
        <v>0.24999999999999989</v>
      </c>
      <c r="E131" s="170">
        <f t="shared" si="16"/>
        <v>10.963240344890137</v>
      </c>
      <c r="F131" s="145">
        <f t="shared" si="17"/>
        <v>750.46855643759886</v>
      </c>
      <c r="H131" s="148"/>
    </row>
    <row r="132" spans="1:8" hidden="1" outlineLevel="1">
      <c r="A132" s="141" t="s">
        <v>126</v>
      </c>
      <c r="B132" s="145">
        <f t="shared" si="14"/>
        <v>45.333212783023271</v>
      </c>
      <c r="C132" s="145">
        <f t="shared" si="15"/>
        <v>943.7623486552236</v>
      </c>
      <c r="D132" s="146">
        <f t="shared" si="13"/>
        <v>0.16666666666666657</v>
      </c>
      <c r="E132" s="170">
        <f t="shared" si="16"/>
        <v>7.5555354638372076</v>
      </c>
      <c r="F132" s="145">
        <f t="shared" si="17"/>
        <v>758.02409190143612</v>
      </c>
      <c r="H132" s="148"/>
    </row>
    <row r="133" spans="1:8" hidden="1" outlineLevel="1">
      <c r="A133" s="141" t="s">
        <v>127</v>
      </c>
      <c r="B133" s="145">
        <f t="shared" si="14"/>
        <v>46.153487651340406</v>
      </c>
      <c r="C133" s="145">
        <f t="shared" si="15"/>
        <v>989.91583630656396</v>
      </c>
      <c r="D133" s="146">
        <f t="shared" si="13"/>
        <v>8.3333333333333245E-2</v>
      </c>
      <c r="E133" s="170">
        <f t="shared" si="16"/>
        <v>3.8461239709450297</v>
      </c>
      <c r="F133" s="243">
        <f t="shared" si="17"/>
        <v>761.8702158723811</v>
      </c>
      <c r="H133" s="148"/>
    </row>
    <row r="134" spans="1:8" hidden="1" outlineLevel="1">
      <c r="A134" s="141" t="s">
        <v>128</v>
      </c>
      <c r="B134" s="145">
        <f t="shared" si="14"/>
        <v>46.646868872367648</v>
      </c>
      <c r="C134" s="145">
        <f t="shared" si="15"/>
        <v>1036.5627051789315</v>
      </c>
      <c r="D134" s="146">
        <f t="shared" si="13"/>
        <v>0</v>
      </c>
      <c r="E134" s="170">
        <f t="shared" si="16"/>
        <v>0</v>
      </c>
      <c r="F134" s="243">
        <f t="shared" si="17"/>
        <v>761.8702158723811</v>
      </c>
    </row>
    <row r="135" spans="1:8" ht="15.75" hidden="1" customHeight="1" outlineLevel="1" thickBot="1">
      <c r="A135" s="141" t="s">
        <v>200</v>
      </c>
      <c r="B135" s="150">
        <f>SUM(B122:B134)</f>
        <v>1036.5627051789315</v>
      </c>
      <c r="D135" s="759" t="s">
        <v>193</v>
      </c>
      <c r="E135" s="759"/>
      <c r="F135" s="142">
        <f>SUM(F122:F134)/13</f>
        <v>692.54525243798821</v>
      </c>
    </row>
    <row r="136" spans="1:8" ht="15.75" hidden="1" customHeight="1" outlineLevel="1" thickTop="1">
      <c r="A136" s="141"/>
      <c r="B136" s="243"/>
      <c r="D136" s="552"/>
      <c r="E136" s="552"/>
      <c r="F136" s="140"/>
    </row>
    <row r="137" spans="1:8" ht="15.75" hidden="1" customHeight="1" outlineLevel="1" collapsed="1">
      <c r="A137" s="261" t="s">
        <v>189</v>
      </c>
      <c r="B137" s="170">
        <f>+F56</f>
        <v>54.896853621775485</v>
      </c>
      <c r="C137" s="170">
        <f>+C134+B137</f>
        <v>1091.4595588007071</v>
      </c>
      <c r="D137" s="271">
        <f>D123</f>
        <v>0.91666666666666663</v>
      </c>
      <c r="E137" s="170">
        <f t="shared" si="16"/>
        <v>50.322115819960857</v>
      </c>
      <c r="F137" s="272">
        <f>+F134+E137</f>
        <v>812.1923316923419</v>
      </c>
      <c r="G137" s="167"/>
    </row>
    <row r="138" spans="1:8" ht="15.75" hidden="1" customHeight="1" outlineLevel="1">
      <c r="A138" s="141" t="s">
        <v>119</v>
      </c>
      <c r="B138" s="145">
        <f>+F57</f>
        <v>55.969001401311004</v>
      </c>
      <c r="C138" s="145">
        <f t="shared" si="15"/>
        <v>1147.4285602020182</v>
      </c>
      <c r="D138" s="146">
        <f t="shared" ref="D138:D149" si="18">D137-(1/12)</f>
        <v>0.83333333333333326</v>
      </c>
      <c r="E138" s="170">
        <f t="shared" si="16"/>
        <v>46.640834501092499</v>
      </c>
      <c r="F138" s="243">
        <f t="shared" si="17"/>
        <v>858.83316619343441</v>
      </c>
    </row>
    <row r="139" spans="1:8" hidden="1" outlineLevel="1">
      <c r="A139" s="141" t="s">
        <v>120</v>
      </c>
      <c r="B139" s="145">
        <f>+F58</f>
        <v>57.085445630673981</v>
      </c>
      <c r="C139" s="145">
        <f t="shared" si="15"/>
        <v>1204.5140058326922</v>
      </c>
      <c r="D139" s="146">
        <f t="shared" si="18"/>
        <v>0.74999999999999989</v>
      </c>
      <c r="E139" s="170">
        <f t="shared" si="16"/>
        <v>42.81408422300548</v>
      </c>
      <c r="F139" s="243">
        <f t="shared" si="17"/>
        <v>901.64725041643987</v>
      </c>
    </row>
    <row r="140" spans="1:8" ht="15.75" hidden="1" customHeight="1" outlineLevel="1">
      <c r="A140" s="141" t="s">
        <v>121</v>
      </c>
      <c r="B140" s="145">
        <f>+F59</f>
        <v>59.514113701673104</v>
      </c>
      <c r="C140" s="145">
        <f t="shared" si="15"/>
        <v>1264.0281195343653</v>
      </c>
      <c r="D140" s="146">
        <f t="shared" si="18"/>
        <v>0.66666666666666652</v>
      </c>
      <c r="E140" s="170">
        <f t="shared" si="16"/>
        <v>39.676075801115395</v>
      </c>
      <c r="F140" s="243">
        <f t="shared" si="17"/>
        <v>941.32332621755529</v>
      </c>
    </row>
    <row r="141" spans="1:8" ht="15.75" hidden="1" customHeight="1" outlineLevel="1">
      <c r="A141" s="141" t="s">
        <v>75</v>
      </c>
      <c r="B141" s="145">
        <f>+F60</f>
        <v>62.224513308652824</v>
      </c>
      <c r="C141" s="145">
        <f t="shared" si="15"/>
        <v>1326.2526328430181</v>
      </c>
      <c r="D141" s="146">
        <f t="shared" si="18"/>
        <v>0.58333333333333315</v>
      </c>
      <c r="E141" s="170">
        <f t="shared" si="16"/>
        <v>36.297632763380804</v>
      </c>
      <c r="F141" s="243">
        <f t="shared" si="17"/>
        <v>977.62095898093605</v>
      </c>
    </row>
    <row r="142" spans="1:8" ht="15.75" hidden="1" customHeight="1" outlineLevel="1">
      <c r="A142" s="141"/>
      <c r="B142" s="145"/>
      <c r="C142" s="145"/>
      <c r="D142" s="146"/>
      <c r="E142" s="170"/>
      <c r="F142" s="243"/>
    </row>
    <row r="143" spans="1:8" ht="15.75" hidden="1" customHeight="1" outlineLevel="1">
      <c r="A143" s="141" t="s">
        <v>122</v>
      </c>
      <c r="B143" s="145">
        <f>+F62</f>
        <v>67.461859418303902</v>
      </c>
      <c r="C143" s="145">
        <f>+C141+B143</f>
        <v>1393.714492261322</v>
      </c>
      <c r="D143" s="146">
        <f>D141-(1/12)</f>
        <v>0.49999999999999983</v>
      </c>
      <c r="E143" s="170">
        <f t="shared" si="16"/>
        <v>33.730929709151937</v>
      </c>
      <c r="F143" s="243">
        <f>+F141+E143</f>
        <v>1011.351888690088</v>
      </c>
    </row>
    <row r="144" spans="1:8" ht="15.75" hidden="1" customHeight="1" outlineLevel="1">
      <c r="A144" s="141" t="s">
        <v>215</v>
      </c>
      <c r="B144" s="289">
        <f>'DPV2 Transfer'!F6</f>
        <v>-19.187006536836147</v>
      </c>
      <c r="C144" s="289">
        <f>B144</f>
        <v>-19.187006536836147</v>
      </c>
      <c r="D144" s="136">
        <f>D143</f>
        <v>0.49999999999999983</v>
      </c>
      <c r="E144" s="290">
        <f t="shared" si="16"/>
        <v>-9.5935032684180701</v>
      </c>
      <c r="F144" s="289">
        <f>E144</f>
        <v>-9.5935032684180701</v>
      </c>
    </row>
    <row r="145" spans="1:6" ht="15" hidden="1" customHeight="1" outlineLevel="1">
      <c r="A145" s="141" t="s">
        <v>216</v>
      </c>
      <c r="B145" s="145">
        <f>SUM(B143:B144)</f>
        <v>48.274852881467751</v>
      </c>
      <c r="C145" s="145">
        <f>SUM(C143:C144)</f>
        <v>1374.5274857244858</v>
      </c>
      <c r="D145" s="146">
        <f>D144</f>
        <v>0.49999999999999983</v>
      </c>
      <c r="E145" s="145">
        <f>SUM(E143:E144)</f>
        <v>24.137426440733869</v>
      </c>
      <c r="F145" s="145">
        <f>SUM(F143:F144)</f>
        <v>1001.7583854216699</v>
      </c>
    </row>
    <row r="146" spans="1:6" ht="15.75" hidden="1" customHeight="1" outlineLevel="1">
      <c r="A146" s="141"/>
      <c r="B146" s="145"/>
      <c r="C146" s="145"/>
      <c r="D146" s="146"/>
      <c r="E146" s="170"/>
      <c r="F146" s="243"/>
    </row>
    <row r="147" spans="1:6" ht="15.75" hidden="1" customHeight="1" outlineLevel="1">
      <c r="A147" s="141" t="s">
        <v>123</v>
      </c>
      <c r="B147" s="145">
        <f>+F66</f>
        <v>66.779487853145767</v>
      </c>
      <c r="C147" s="145">
        <f>+C145+B147</f>
        <v>1441.3069735776317</v>
      </c>
      <c r="D147" s="146">
        <f>D143-(1/12)</f>
        <v>0.41666666666666652</v>
      </c>
      <c r="E147" s="170">
        <f t="shared" si="16"/>
        <v>27.824786605477392</v>
      </c>
      <c r="F147" s="243">
        <f>+F145+E147</f>
        <v>1029.5831720271474</v>
      </c>
    </row>
    <row r="148" spans="1:6" ht="15.75" hidden="1" customHeight="1" outlineLevel="1">
      <c r="A148" s="141" t="s">
        <v>124</v>
      </c>
      <c r="B148" s="145">
        <f>+F67</f>
        <v>73.525202148423872</v>
      </c>
      <c r="C148" s="145">
        <f t="shared" si="15"/>
        <v>1514.8321757260555</v>
      </c>
      <c r="D148" s="146">
        <f t="shared" si="18"/>
        <v>0.3333333333333332</v>
      </c>
      <c r="E148" s="170">
        <f t="shared" si="16"/>
        <v>24.508400716141281</v>
      </c>
      <c r="F148" s="243">
        <f t="shared" si="17"/>
        <v>1054.0915727432887</v>
      </c>
    </row>
    <row r="149" spans="1:6" ht="15.75" hidden="1" customHeight="1" outlineLevel="1">
      <c r="A149" s="141" t="s">
        <v>125</v>
      </c>
      <c r="B149" s="145">
        <f>+F68</f>
        <v>79.616399226783884</v>
      </c>
      <c r="C149" s="145">
        <f t="shared" si="15"/>
        <v>1594.4485749528394</v>
      </c>
      <c r="D149" s="146">
        <f t="shared" si="18"/>
        <v>0.24999999999999989</v>
      </c>
      <c r="E149" s="170">
        <f t="shared" si="16"/>
        <v>19.904099806695964</v>
      </c>
      <c r="F149" s="243">
        <f t="shared" si="17"/>
        <v>1073.9956725499846</v>
      </c>
    </row>
    <row r="150" spans="1:6" ht="15.75" hidden="1" customHeight="1" outlineLevel="1">
      <c r="A150" s="141"/>
      <c r="B150" s="145"/>
      <c r="C150" s="145"/>
      <c r="D150" s="146"/>
      <c r="E150" s="170"/>
      <c r="F150" s="243"/>
    </row>
    <row r="151" spans="1:6" ht="15.75" hidden="1" customHeight="1" outlineLevel="1">
      <c r="A151" s="141" t="s">
        <v>126</v>
      </c>
      <c r="B151" s="145">
        <f>+F70</f>
        <v>86.225842285631174</v>
      </c>
      <c r="C151" s="145">
        <f>+C149+B151</f>
        <v>1680.6744172384706</v>
      </c>
      <c r="D151" s="146">
        <f>D149-(1/12)</f>
        <v>0.16666666666666657</v>
      </c>
      <c r="E151" s="170">
        <f t="shared" si="16"/>
        <v>14.370973714271855</v>
      </c>
      <c r="F151" s="243">
        <f>+F149+E151</f>
        <v>1088.3666462642566</v>
      </c>
    </row>
    <row r="152" spans="1:6" ht="15.75" hidden="1" customHeight="1" outlineLevel="1">
      <c r="A152" s="141" t="s">
        <v>222</v>
      </c>
      <c r="B152" s="289">
        <f>'DPV2 Transfer'!F7</f>
        <v>-79.194516518253749</v>
      </c>
      <c r="C152" s="289">
        <f>B152</f>
        <v>-79.194516518253749</v>
      </c>
      <c r="D152" s="136">
        <f>D151</f>
        <v>0.16666666666666657</v>
      </c>
      <c r="E152" s="290">
        <f>+B152*D152</f>
        <v>-13.199086086375617</v>
      </c>
      <c r="F152" s="289">
        <f>E152</f>
        <v>-13.199086086375617</v>
      </c>
    </row>
    <row r="153" spans="1:6" hidden="1" outlineLevel="1">
      <c r="A153" s="141" t="s">
        <v>223</v>
      </c>
      <c r="B153" s="145">
        <f>SUM(B151:B152)</f>
        <v>7.0313257673774245</v>
      </c>
      <c r="C153" s="145">
        <f>SUM(C151:C152)</f>
        <v>1601.4799007202168</v>
      </c>
      <c r="D153" s="146">
        <f>D152</f>
        <v>0.16666666666666657</v>
      </c>
      <c r="E153" s="145">
        <f>SUM(E151:E152)</f>
        <v>1.171887627896238</v>
      </c>
      <c r="F153" s="145">
        <f>SUM(F151:F152)</f>
        <v>1075.1675601778809</v>
      </c>
    </row>
    <row r="154" spans="1:6" ht="15.75" hidden="1" customHeight="1" outlineLevel="2">
      <c r="A154" s="141"/>
      <c r="B154" s="145"/>
      <c r="C154" s="145"/>
      <c r="D154" s="146"/>
      <c r="E154" s="170"/>
      <c r="F154" s="243"/>
    </row>
    <row r="155" spans="1:6" ht="15.75" hidden="1" customHeight="1" outlineLevel="2">
      <c r="A155" s="141" t="s">
        <v>127</v>
      </c>
      <c r="B155" s="298">
        <f>+F74</f>
        <v>82.258834135215764</v>
      </c>
      <c r="C155" s="298">
        <f>+C153+B155</f>
        <v>1683.7387348554325</v>
      </c>
      <c r="D155" s="146">
        <f>D151-(1/12)</f>
        <v>8.3333333333333245E-2</v>
      </c>
      <c r="E155" s="299">
        <f t="shared" si="16"/>
        <v>6.8549028446013063</v>
      </c>
      <c r="F155" s="300">
        <f>+F153+E155</f>
        <v>1082.0224630224823</v>
      </c>
    </row>
    <row r="156" spans="1:6" ht="15.75" hidden="1" customHeight="1" outlineLevel="2">
      <c r="A156" s="141" t="s">
        <v>224</v>
      </c>
      <c r="B156" s="289">
        <f>'DPV2 Transfer'!F8</f>
        <v>-95.234718799454924</v>
      </c>
      <c r="C156" s="289">
        <f>B156</f>
        <v>-95.234718799454924</v>
      </c>
      <c r="D156" s="136">
        <f>D155</f>
        <v>8.3333333333333245E-2</v>
      </c>
      <c r="E156" s="290">
        <f t="shared" si="16"/>
        <v>-7.9362265666212357</v>
      </c>
      <c r="F156" s="289">
        <f>E156</f>
        <v>-7.9362265666212357</v>
      </c>
    </row>
    <row r="157" spans="1:6" ht="15.75" hidden="1" customHeight="1" outlineLevel="2">
      <c r="A157" s="141" t="s">
        <v>225</v>
      </c>
      <c r="B157" s="298">
        <f>SUM(B155:B156)</f>
        <v>-12.97588466423916</v>
      </c>
      <c r="C157" s="298">
        <f>SUM(C155:C156)</f>
        <v>1588.5040160559777</v>
      </c>
      <c r="D157" s="146">
        <f>D156</f>
        <v>8.3333333333333245E-2</v>
      </c>
      <c r="E157" s="298">
        <f>SUM(E155:E156)</f>
        <v>-1.0813237220199294</v>
      </c>
      <c r="F157" s="298">
        <f>SUM(F155:F156)</f>
        <v>1074.0862364558611</v>
      </c>
    </row>
    <row r="158" spans="1:6" ht="15.75" hidden="1" customHeight="1" outlineLevel="2">
      <c r="A158" s="141"/>
      <c r="B158" s="145"/>
      <c r="C158" s="145"/>
      <c r="D158" s="146"/>
      <c r="E158" s="170"/>
      <c r="F158" s="243"/>
    </row>
    <row r="159" spans="1:6" ht="15.75" hidden="1" customHeight="1" outlineLevel="1">
      <c r="A159" s="141" t="s">
        <v>190</v>
      </c>
      <c r="B159" s="145">
        <f>+F78</f>
        <v>77.613508992668542</v>
      </c>
      <c r="C159" s="145">
        <f>+C157+B159</f>
        <v>1666.1175250486463</v>
      </c>
      <c r="D159" s="146">
        <f>D155-(1/12)</f>
        <v>0</v>
      </c>
      <c r="E159" s="170">
        <f t="shared" si="16"/>
        <v>0</v>
      </c>
      <c r="F159" s="147">
        <f>+F157+E159</f>
        <v>1074.0862364558611</v>
      </c>
    </row>
    <row r="160" spans="1:6" ht="15.75" hidden="1" customHeight="1" outlineLevel="1" thickBot="1">
      <c r="A160" s="357" t="s">
        <v>283</v>
      </c>
      <c r="B160" s="150">
        <f>SUM(B137:B141)+B145+SUM(B147:B149)+B153+B157+B159</f>
        <v>629.55481986971449</v>
      </c>
      <c r="D160" s="758" t="s">
        <v>284</v>
      </c>
      <c r="E160" s="759"/>
      <c r="F160" s="151">
        <f>(SUM(F137:F141)+F145+SUM(F147:F149)+F153+F157+F159)/12</f>
        <v>989.53215577770015</v>
      </c>
    </row>
    <row r="161" spans="1:7" ht="15.75" hidden="1" customHeight="1" outlineLevel="1" thickTop="1">
      <c r="A161" s="149"/>
      <c r="B161" s="272"/>
      <c r="C161" s="167"/>
      <c r="D161" s="330"/>
      <c r="E161" s="330"/>
      <c r="F161" s="306"/>
    </row>
    <row r="162" spans="1:7" ht="15.75" hidden="1" customHeight="1" outlineLevel="1">
      <c r="A162" s="141" t="s">
        <v>226</v>
      </c>
      <c r="B162" s="170">
        <f>+F81</f>
        <v>85.693301851691487</v>
      </c>
      <c r="C162" s="170">
        <f>+C159+B162</f>
        <v>1751.8108269003378</v>
      </c>
      <c r="D162" s="271">
        <f>D123</f>
        <v>0.91666666666666663</v>
      </c>
      <c r="E162" s="170">
        <f>+B162*D162</f>
        <v>78.552193364050524</v>
      </c>
      <c r="F162" s="170">
        <f>+F159+E162</f>
        <v>1152.6384298199116</v>
      </c>
    </row>
    <row r="163" spans="1:7" ht="15.75" hidden="1" customHeight="1" outlineLevel="1">
      <c r="A163" s="141" t="s">
        <v>119</v>
      </c>
      <c r="B163" s="170">
        <f>+F82</f>
        <v>85.749160445502383</v>
      </c>
      <c r="C163" s="170">
        <f>+C162+B163</f>
        <v>1837.5599873458402</v>
      </c>
      <c r="D163" s="271">
        <f t="shared" ref="D163:D177" si="19">D162-(1/12)</f>
        <v>0.83333333333333326</v>
      </c>
      <c r="E163" s="170">
        <f>+B163*D163</f>
        <v>71.457633704585319</v>
      </c>
      <c r="F163" s="170">
        <f>+F162+E163</f>
        <v>1224.0960635244969</v>
      </c>
      <c r="G163" s="152"/>
    </row>
    <row r="164" spans="1:7" ht="15.75" hidden="1" customHeight="1" outlineLevel="1">
      <c r="A164" s="141" t="s">
        <v>120</v>
      </c>
      <c r="B164" s="170">
        <f>+F83</f>
        <v>86.440199030739379</v>
      </c>
      <c r="C164" s="170">
        <f>+C163+B164</f>
        <v>1924.0001863765797</v>
      </c>
      <c r="D164" s="271">
        <f t="shared" si="19"/>
        <v>0.74999999999999989</v>
      </c>
      <c r="E164" s="170">
        <f>+B164*D164</f>
        <v>64.830149273054531</v>
      </c>
      <c r="F164" s="170">
        <f>+F163+E164</f>
        <v>1288.9262127975514</v>
      </c>
    </row>
    <row r="165" spans="1:7" ht="15.75" hidden="1" customHeight="1" outlineLevel="1">
      <c r="A165" s="141" t="s">
        <v>121</v>
      </c>
      <c r="B165" s="170">
        <f>+F84</f>
        <v>89.484176199691149</v>
      </c>
      <c r="C165" s="170">
        <f>+C164+B165</f>
        <v>2013.4843625762708</v>
      </c>
      <c r="D165" s="271">
        <f t="shared" si="19"/>
        <v>0.66666666666666652</v>
      </c>
      <c r="E165" s="170">
        <f>+B165*D165</f>
        <v>59.656117466460749</v>
      </c>
      <c r="F165" s="170">
        <f>+F164+E165</f>
        <v>1348.5823302640122</v>
      </c>
    </row>
    <row r="166" spans="1:7" ht="15.75" hidden="1" customHeight="1" outlineLevel="1">
      <c r="A166" s="141" t="s">
        <v>75</v>
      </c>
      <c r="B166" s="170">
        <f>+F85</f>
        <v>91.692892292022876</v>
      </c>
      <c r="C166" s="170">
        <f t="shared" ref="C166:C176" si="20">+C165+B166</f>
        <v>2105.1772548682939</v>
      </c>
      <c r="D166" s="271">
        <f t="shared" si="19"/>
        <v>0.58333333333333315</v>
      </c>
      <c r="E166" s="170">
        <f t="shared" ref="E166:E175" si="21">+B166*D166</f>
        <v>53.487520503679995</v>
      </c>
      <c r="F166" s="170">
        <f t="shared" ref="F166:F177" si="22">+F165+E166</f>
        <v>1402.0698507676921</v>
      </c>
    </row>
    <row r="167" spans="1:7" ht="15.75" hidden="1" customHeight="1" outlineLevel="1">
      <c r="A167" s="141"/>
      <c r="B167" s="170"/>
      <c r="C167" s="170"/>
      <c r="D167" s="271"/>
      <c r="E167" s="170"/>
      <c r="F167" s="170"/>
    </row>
    <row r="168" spans="1:7" ht="15.75" hidden="1" customHeight="1" outlineLevel="1">
      <c r="A168" s="261" t="s">
        <v>122</v>
      </c>
      <c r="B168" s="170">
        <f>+F87</f>
        <v>95.021315885127152</v>
      </c>
      <c r="C168" s="170">
        <f>+C166+B168</f>
        <v>2200.1985707534209</v>
      </c>
      <c r="D168" s="271">
        <f>D166-(1/12)</f>
        <v>0.49999999999999983</v>
      </c>
      <c r="E168" s="170">
        <f t="shared" si="21"/>
        <v>47.510657942563562</v>
      </c>
      <c r="F168" s="170">
        <f>+F166+E168</f>
        <v>1449.5805087102556</v>
      </c>
    </row>
    <row r="169" spans="1:7" ht="15.75" hidden="1" customHeight="1" outlineLevel="1">
      <c r="A169" s="358" t="s">
        <v>215</v>
      </c>
      <c r="B169" s="290">
        <f>'DPV2 Transfer'!F9</f>
        <v>-371.49494695425716</v>
      </c>
      <c r="C169" s="290">
        <f>B169</f>
        <v>-371.49494695425716</v>
      </c>
      <c r="D169" s="271">
        <f>D168</f>
        <v>0.49999999999999983</v>
      </c>
      <c r="E169" s="290">
        <f t="shared" si="21"/>
        <v>-185.74747347712852</v>
      </c>
      <c r="F169" s="290">
        <f>E169</f>
        <v>-185.74747347712852</v>
      </c>
    </row>
    <row r="170" spans="1:7" ht="15.75" hidden="1" customHeight="1" outlineLevel="1">
      <c r="A170" s="358" t="s">
        <v>216</v>
      </c>
      <c r="B170" s="299">
        <f>SUM(B168:B169)</f>
        <v>-276.47363106913002</v>
      </c>
      <c r="C170" s="299">
        <f>SUM(C168:C169)</f>
        <v>1828.7036237991638</v>
      </c>
      <c r="D170" s="271">
        <f>D168</f>
        <v>0.49999999999999983</v>
      </c>
      <c r="E170" s="299">
        <f>SUM(E168:E169)</f>
        <v>-138.23681553456495</v>
      </c>
      <c r="F170" s="299">
        <f>SUM(F168:F169)</f>
        <v>1263.833035233127</v>
      </c>
    </row>
    <row r="171" spans="1:7" ht="15.75" hidden="1" customHeight="1" outlineLevel="1">
      <c r="A171" s="357"/>
      <c r="B171" s="170"/>
      <c r="C171" s="170"/>
      <c r="D171" s="271"/>
      <c r="E171" s="170"/>
      <c r="F171" s="170"/>
    </row>
    <row r="172" spans="1:7" ht="15.75" hidden="1" customHeight="1" outlineLevel="1">
      <c r="A172" s="141" t="s">
        <v>123</v>
      </c>
      <c r="B172" s="170">
        <f t="shared" ref="B172:B177" si="23">+F91</f>
        <v>78.202890508180261</v>
      </c>
      <c r="C172" s="170">
        <f>+C168+B172</f>
        <v>2278.4014612616011</v>
      </c>
      <c r="D172" s="271">
        <f>D168-(1/12)</f>
        <v>0.41666666666666652</v>
      </c>
      <c r="E172" s="170">
        <f t="shared" si="21"/>
        <v>32.584537711741767</v>
      </c>
      <c r="F172" s="170">
        <f>+F168+E172</f>
        <v>1482.1650464219974</v>
      </c>
    </row>
    <row r="173" spans="1:7" s="167" customFormat="1" hidden="1" outlineLevel="1">
      <c r="A173" s="141" t="s">
        <v>124</v>
      </c>
      <c r="B173" s="170">
        <f t="shared" si="23"/>
        <v>80.594484038452052</v>
      </c>
      <c r="C173" s="170">
        <f t="shared" si="20"/>
        <v>2358.9959453000533</v>
      </c>
      <c r="D173" s="271">
        <f t="shared" si="19"/>
        <v>0.3333333333333332</v>
      </c>
      <c r="E173" s="170">
        <f t="shared" si="21"/>
        <v>26.864828012817341</v>
      </c>
      <c r="F173" s="170">
        <f t="shared" si="22"/>
        <v>1509.0298744348147</v>
      </c>
      <c r="G173" s="135"/>
    </row>
    <row r="174" spans="1:7" ht="15.75" hidden="1" customHeight="1" outlineLevel="1">
      <c r="A174" s="141" t="s">
        <v>125</v>
      </c>
      <c r="B174" s="170">
        <f t="shared" si="23"/>
        <v>83.561467531068985</v>
      </c>
      <c r="C174" s="170">
        <f t="shared" si="20"/>
        <v>2442.5574128311223</v>
      </c>
      <c r="D174" s="271">
        <f t="shared" si="19"/>
        <v>0.24999999999999989</v>
      </c>
      <c r="E174" s="170">
        <f t="shared" si="21"/>
        <v>20.890366882767236</v>
      </c>
      <c r="F174" s="170">
        <f t="shared" si="22"/>
        <v>1529.9202413175819</v>
      </c>
    </row>
    <row r="175" spans="1:7" ht="15.75" customHeight="1" collapsed="1">
      <c r="A175" s="141" t="s">
        <v>126</v>
      </c>
      <c r="B175" s="170">
        <f t="shared" si="23"/>
        <v>88.031001707584963</v>
      </c>
      <c r="C175" s="170">
        <f t="shared" si="20"/>
        <v>2530.5884145387072</v>
      </c>
      <c r="D175" s="271">
        <f t="shared" si="19"/>
        <v>0.16666666666666657</v>
      </c>
      <c r="E175" s="170">
        <f t="shared" si="21"/>
        <v>14.671833617930819</v>
      </c>
      <c r="F175" s="170">
        <f t="shared" si="22"/>
        <v>1544.5920749355128</v>
      </c>
    </row>
    <row r="176" spans="1:7" ht="15.75" customHeight="1">
      <c r="A176" s="141" t="s">
        <v>127</v>
      </c>
      <c r="B176" s="170">
        <f t="shared" si="23"/>
        <v>96.260051712686973</v>
      </c>
      <c r="C176" s="170">
        <f t="shared" si="20"/>
        <v>2626.8484662513943</v>
      </c>
      <c r="D176" s="271">
        <f t="shared" si="19"/>
        <v>8.3333333333333245E-2</v>
      </c>
      <c r="E176" s="170">
        <f>+B176*D176</f>
        <v>8.0216709760572389</v>
      </c>
      <c r="F176" s="272">
        <f t="shared" si="22"/>
        <v>1552.61374591157</v>
      </c>
    </row>
    <row r="177" spans="1:7" ht="15.75" customHeight="1">
      <c r="A177" s="141" t="s">
        <v>227</v>
      </c>
      <c r="B177" s="170">
        <f t="shared" si="23"/>
        <v>98.294036727898884</v>
      </c>
      <c r="C177" s="170">
        <f>+C176+B177</f>
        <v>2725.1425029792931</v>
      </c>
      <c r="D177" s="271">
        <f t="shared" si="19"/>
        <v>0</v>
      </c>
      <c r="E177" s="170">
        <f>+B177*D177</f>
        <v>0</v>
      </c>
      <c r="F177" s="405">
        <f t="shared" si="22"/>
        <v>1552.61374591157</v>
      </c>
    </row>
    <row r="178" spans="1:7" s="167" customFormat="1" ht="15.75" customHeight="1" thickBot="1">
      <c r="A178" s="357" t="s">
        <v>283</v>
      </c>
      <c r="B178" s="150">
        <f>SUM(B162:B166)+B170+SUM(B172:B177)</f>
        <v>687.5300309763893</v>
      </c>
      <c r="C178" s="135"/>
      <c r="D178" s="758" t="s">
        <v>284</v>
      </c>
      <c r="E178" s="759"/>
      <c r="F178" s="151">
        <f>(SUM(F162:F166)+F170+SUM(F172:F177))/12</f>
        <v>1404.2567209449865</v>
      </c>
      <c r="G178" s="135"/>
    </row>
    <row r="179" spans="1:7" ht="15.75" customHeight="1" thickTop="1">
      <c r="A179" s="149"/>
    </row>
    <row r="180" spans="1:7" s="167" customFormat="1" ht="15.75" customHeight="1">
      <c r="A180" s="358" t="s">
        <v>262</v>
      </c>
      <c r="B180" s="170">
        <f>+F100</f>
        <v>104.92016804683182</v>
      </c>
      <c r="C180" s="170">
        <f>+C177+B180</f>
        <v>2830.0626710261249</v>
      </c>
      <c r="D180" s="271">
        <f>D123</f>
        <v>0.91666666666666663</v>
      </c>
      <c r="E180" s="170">
        <f>+B180*D180</f>
        <v>96.17682070959583</v>
      </c>
      <c r="F180" s="170">
        <f>+F177+E180</f>
        <v>1648.7905666211659</v>
      </c>
    </row>
    <row r="181" spans="1:7" s="167" customFormat="1" ht="15.75" customHeight="1">
      <c r="A181" s="261" t="s">
        <v>119</v>
      </c>
      <c r="B181" s="170">
        <f>+F101</f>
        <v>108.28703801903407</v>
      </c>
      <c r="C181" s="170">
        <f t="shared" ref="C181:C195" si="24">+C180+B181</f>
        <v>2938.3497090451592</v>
      </c>
      <c r="D181" s="271">
        <f t="shared" ref="D181:D195" si="25">D180-(1/12)</f>
        <v>0.83333333333333326</v>
      </c>
      <c r="E181" s="170">
        <f>+B181*D181</f>
        <v>90.23919834919505</v>
      </c>
      <c r="F181" s="170">
        <f>+F180+E181</f>
        <v>1739.0297649703609</v>
      </c>
      <c r="G181" s="527"/>
    </row>
    <row r="182" spans="1:7" s="167" customFormat="1" ht="15.75" customHeight="1">
      <c r="A182" s="261" t="s">
        <v>120</v>
      </c>
      <c r="B182" s="170">
        <f>+F102</f>
        <v>112.81302508384154</v>
      </c>
      <c r="C182" s="170">
        <f t="shared" si="24"/>
        <v>3051.1627341290009</v>
      </c>
      <c r="D182" s="271">
        <f t="shared" si="25"/>
        <v>0.74999999999999989</v>
      </c>
      <c r="E182" s="170">
        <f>+B182*D182</f>
        <v>84.609768812881143</v>
      </c>
      <c r="F182" s="170">
        <f>+F181+E182</f>
        <v>1823.6395337832421</v>
      </c>
    </row>
    <row r="183" spans="1:7" s="167" customFormat="1" ht="15.75" customHeight="1">
      <c r="A183" s="261"/>
      <c r="B183" s="170"/>
      <c r="C183" s="170"/>
      <c r="D183" s="271"/>
      <c r="E183" s="170"/>
      <c r="F183" s="170"/>
    </row>
    <row r="184" spans="1:7" s="167" customFormat="1" ht="15.75" customHeight="1">
      <c r="A184" s="261" t="s">
        <v>121</v>
      </c>
      <c r="B184" s="170">
        <f>+F104</f>
        <v>119.85139883353861</v>
      </c>
      <c r="C184" s="170">
        <f>+C182+B184</f>
        <v>3171.0141329625394</v>
      </c>
      <c r="D184" s="271">
        <f>D182-(1/12)</f>
        <v>0.66666666666666652</v>
      </c>
      <c r="E184" s="170">
        <f>+B184*D184</f>
        <v>79.900932555692393</v>
      </c>
      <c r="F184" s="170">
        <f>+F182+E184</f>
        <v>1903.5404663389345</v>
      </c>
    </row>
    <row r="185" spans="1:7" s="167" customFormat="1" ht="15.75" customHeight="1">
      <c r="A185" s="358" t="s">
        <v>215</v>
      </c>
      <c r="B185" s="290">
        <f>'DPV2 Transfer'!F10</f>
        <v>-6.9145146855886708</v>
      </c>
      <c r="C185" s="290">
        <f>B185</f>
        <v>-6.9145146855886708</v>
      </c>
      <c r="D185" s="271">
        <f>D184</f>
        <v>0.66666666666666652</v>
      </c>
      <c r="E185" s="290">
        <f t="shared" ref="E185" si="26">+B185*D185</f>
        <v>-4.6096764570591127</v>
      </c>
      <c r="F185" s="290">
        <f>E185</f>
        <v>-4.6096764570591127</v>
      </c>
    </row>
    <row r="186" spans="1:7" s="167" customFormat="1" ht="15.75" customHeight="1">
      <c r="A186" s="358" t="s">
        <v>216</v>
      </c>
      <c r="B186" s="299">
        <f>SUM(B184:B185)</f>
        <v>112.93688414794994</v>
      </c>
      <c r="C186" s="299">
        <f>SUM(C184:C185)</f>
        <v>3164.0996182769509</v>
      </c>
      <c r="D186" s="271">
        <f>D184</f>
        <v>0.66666666666666652</v>
      </c>
      <c r="E186" s="299">
        <f>SUM(E184:E185)</f>
        <v>75.291256098633284</v>
      </c>
      <c r="F186" s="299">
        <f>SUM(F184:F185)</f>
        <v>1898.9307898818754</v>
      </c>
    </row>
    <row r="187" spans="1:7" s="167" customFormat="1" ht="15.75" customHeight="1">
      <c r="A187" s="261"/>
      <c r="B187" s="170"/>
      <c r="C187" s="170"/>
      <c r="D187" s="271"/>
      <c r="E187" s="170"/>
      <c r="F187" s="170"/>
    </row>
    <row r="188" spans="1:7" s="167" customFormat="1" ht="15.75" customHeight="1">
      <c r="A188" s="261" t="s">
        <v>75</v>
      </c>
      <c r="B188" s="170">
        <f t="shared" ref="B188:B195" si="27">+F108</f>
        <v>124.14113860391895</v>
      </c>
      <c r="C188" s="599">
        <f>+C186+B188</f>
        <v>3288.2407568808699</v>
      </c>
      <c r="D188" s="271">
        <f>D184-(1/12)</f>
        <v>0.58333333333333315</v>
      </c>
      <c r="E188" s="170">
        <f>+B188*D188</f>
        <v>72.415664185619363</v>
      </c>
      <c r="F188" s="599">
        <f>+F186+E188</f>
        <v>1971.3464540674947</v>
      </c>
    </row>
    <row r="189" spans="1:7" s="167" customFormat="1" ht="15.75" customHeight="1">
      <c r="A189" s="358" t="s">
        <v>122</v>
      </c>
      <c r="B189" s="170">
        <f t="shared" si="27"/>
        <v>130.77976119336643</v>
      </c>
      <c r="C189" s="170">
        <f t="shared" si="24"/>
        <v>3419.0205180742364</v>
      </c>
      <c r="D189" s="271">
        <f t="shared" si="25"/>
        <v>0.49999999999999983</v>
      </c>
      <c r="E189" s="170">
        <f t="shared" ref="E189:E195" si="28">+B189*D189</f>
        <v>65.389880596683184</v>
      </c>
      <c r="F189" s="170">
        <f t="shared" ref="F189:F195" si="29">+F188+E189</f>
        <v>2036.736334664178</v>
      </c>
    </row>
    <row r="190" spans="1:7" s="167" customFormat="1" ht="15.75" customHeight="1">
      <c r="A190" s="261" t="s">
        <v>123</v>
      </c>
      <c r="B190" s="170">
        <f t="shared" si="27"/>
        <v>143.2261937049777</v>
      </c>
      <c r="C190" s="170">
        <f t="shared" si="24"/>
        <v>3562.2467117792139</v>
      </c>
      <c r="D190" s="271">
        <f t="shared" si="25"/>
        <v>0.41666666666666652</v>
      </c>
      <c r="E190" s="170">
        <f t="shared" si="28"/>
        <v>59.677580710407355</v>
      </c>
      <c r="F190" s="170">
        <f t="shared" si="29"/>
        <v>2096.4139153745855</v>
      </c>
    </row>
    <row r="191" spans="1:7" s="167" customFormat="1" ht="15.75" customHeight="1">
      <c r="A191" s="358" t="s">
        <v>124</v>
      </c>
      <c r="B191" s="170">
        <f t="shared" si="27"/>
        <v>153.48067797060779</v>
      </c>
      <c r="C191" s="170">
        <f t="shared" si="24"/>
        <v>3715.7273897498217</v>
      </c>
      <c r="D191" s="271">
        <f t="shared" si="25"/>
        <v>0.3333333333333332</v>
      </c>
      <c r="E191" s="170">
        <f t="shared" si="28"/>
        <v>51.160225990202576</v>
      </c>
      <c r="F191" s="170">
        <f t="shared" si="29"/>
        <v>2147.5741413647879</v>
      </c>
    </row>
    <row r="192" spans="1:7" s="167" customFormat="1" ht="15.75" customHeight="1">
      <c r="A192" s="261" t="s">
        <v>125</v>
      </c>
      <c r="B192" s="170">
        <f t="shared" si="27"/>
        <v>168.36636927501723</v>
      </c>
      <c r="C192" s="170">
        <f t="shared" si="24"/>
        <v>3884.0937590248391</v>
      </c>
      <c r="D192" s="271">
        <f t="shared" si="25"/>
        <v>0.24999999999999989</v>
      </c>
      <c r="E192" s="170">
        <f t="shared" si="28"/>
        <v>42.091592318754287</v>
      </c>
      <c r="F192" s="170">
        <f t="shared" si="29"/>
        <v>2189.6657336835424</v>
      </c>
    </row>
    <row r="193" spans="1:7" s="167" customFormat="1" ht="15.75" customHeight="1">
      <c r="A193" s="358" t="s">
        <v>126</v>
      </c>
      <c r="B193" s="170">
        <f t="shared" si="27"/>
        <v>196.70484475260588</v>
      </c>
      <c r="C193" s="170">
        <f t="shared" si="24"/>
        <v>4080.7986037774449</v>
      </c>
      <c r="D193" s="271">
        <f t="shared" si="25"/>
        <v>0.16666666666666657</v>
      </c>
      <c r="E193" s="170">
        <f t="shared" si="28"/>
        <v>32.784140792100963</v>
      </c>
      <c r="F193" s="170">
        <f t="shared" si="29"/>
        <v>2222.4498744756434</v>
      </c>
    </row>
    <row r="194" spans="1:7" s="167" customFormat="1" ht="15.75" customHeight="1">
      <c r="A194" s="261" t="s">
        <v>127</v>
      </c>
      <c r="B194" s="170">
        <f t="shared" si="27"/>
        <v>231.15200696395274</v>
      </c>
      <c r="C194" s="170">
        <f t="shared" si="24"/>
        <v>4311.9506107413972</v>
      </c>
      <c r="D194" s="271">
        <f t="shared" si="25"/>
        <v>8.3333333333333245E-2</v>
      </c>
      <c r="E194" s="170">
        <f t="shared" si="28"/>
        <v>19.262667246996042</v>
      </c>
      <c r="F194" s="170">
        <f t="shared" si="29"/>
        <v>2241.7125417226393</v>
      </c>
    </row>
    <row r="195" spans="1:7" s="167" customFormat="1">
      <c r="A195" s="358" t="s">
        <v>263</v>
      </c>
      <c r="B195" s="170">
        <f t="shared" si="27"/>
        <v>282.35251635751501</v>
      </c>
      <c r="C195" s="170">
        <f t="shared" si="24"/>
        <v>4594.3031270989122</v>
      </c>
      <c r="D195" s="271">
        <f t="shared" si="25"/>
        <v>0</v>
      </c>
      <c r="E195" s="170">
        <f t="shared" si="28"/>
        <v>0</v>
      </c>
      <c r="F195" s="170">
        <f t="shared" si="29"/>
        <v>2241.7125417226393</v>
      </c>
    </row>
    <row r="196" spans="1:7" s="167" customFormat="1" ht="15.75" customHeight="1" thickBot="1">
      <c r="A196" s="358" t="s">
        <v>283</v>
      </c>
      <c r="B196" s="528">
        <f>SUM(B180:B195)</f>
        <v>1982.0975082675691</v>
      </c>
      <c r="D196" s="738" t="s">
        <v>284</v>
      </c>
      <c r="E196" s="739"/>
      <c r="F196" s="168">
        <f>SUM(F180:F195)/12</f>
        <v>2179.744415184502</v>
      </c>
    </row>
    <row r="197" spans="1:7" s="167" customFormat="1" ht="15.75" customHeight="1" thickTop="1">
      <c r="A197" s="149"/>
      <c r="B197" s="243"/>
      <c r="C197" s="135"/>
      <c r="D197" s="442"/>
      <c r="E197" s="442"/>
      <c r="F197" s="140"/>
      <c r="G197" s="135"/>
    </row>
    <row r="198" spans="1:7" ht="15.75" customHeight="1">
      <c r="A198" s="149"/>
    </row>
    <row r="199" spans="1:7" ht="15.75" customHeight="1" thickBot="1">
      <c r="A199" s="757" t="s">
        <v>4</v>
      </c>
      <c r="B199" s="757"/>
      <c r="C199" s="757"/>
      <c r="D199" s="757"/>
      <c r="E199" s="757"/>
      <c r="F199" s="757"/>
    </row>
    <row r="200" spans="1:7" hidden="1" outlineLevel="2">
      <c r="A200" s="194" t="s">
        <v>191</v>
      </c>
      <c r="B200" s="136">
        <f>B8</f>
        <v>6.2199999999999998E-2</v>
      </c>
      <c r="C200" s="157" t="s">
        <v>153</v>
      </c>
    </row>
    <row r="201" spans="1:7" ht="15.75" hidden="1" customHeight="1" outlineLevel="2">
      <c r="A201" s="194" t="s">
        <v>168</v>
      </c>
      <c r="B201" s="136">
        <f>B9</f>
        <v>5.5E-2</v>
      </c>
    </row>
    <row r="202" spans="1:7" ht="15.75" hidden="1" customHeight="1" outlineLevel="2">
      <c r="A202" s="194" t="s">
        <v>169</v>
      </c>
      <c r="B202" s="136">
        <f>B10</f>
        <v>5.5E-2</v>
      </c>
    </row>
    <row r="203" spans="1:7" ht="15.75" hidden="1" customHeight="1" outlineLevel="2">
      <c r="A203" s="194" t="s">
        <v>170</v>
      </c>
      <c r="B203" s="136">
        <f>B11</f>
        <v>5.5E-2</v>
      </c>
    </row>
    <row r="204" spans="1:7" ht="15.75" hidden="1" customHeight="1" outlineLevel="2">
      <c r="A204" s="137" t="s">
        <v>195</v>
      </c>
      <c r="B204" s="138">
        <f>+B12</f>
        <v>0.40588299999999994</v>
      </c>
    </row>
    <row r="205" spans="1:7" ht="15.75" hidden="1" customHeight="1" outlineLevel="1">
      <c r="A205" s="194" t="s">
        <v>192</v>
      </c>
      <c r="B205" s="136">
        <f>B13</f>
        <v>6.1600000000000002E-2</v>
      </c>
    </row>
    <row r="206" spans="1:7" ht="15.75" hidden="1" customHeight="1" outlineLevel="1">
      <c r="A206" s="194" t="s">
        <v>168</v>
      </c>
      <c r="B206" s="136">
        <f>B14</f>
        <v>6.1600000000000002E-2</v>
      </c>
    </row>
    <row r="207" spans="1:7" ht="15.75" hidden="1" customHeight="1" outlineLevel="1">
      <c r="A207" s="194" t="s">
        <v>169</v>
      </c>
      <c r="B207" s="136">
        <f>B15</f>
        <v>6.1600000000000002E-2</v>
      </c>
    </row>
    <row r="208" spans="1:7" ht="15.75" hidden="1" customHeight="1" outlineLevel="1">
      <c r="A208" s="194" t="s">
        <v>170</v>
      </c>
      <c r="B208" s="136">
        <f>B16</f>
        <v>6.1600000000000002E-2</v>
      </c>
    </row>
    <row r="209" spans="1:7" ht="15.75" hidden="1" customHeight="1" outlineLevel="1">
      <c r="A209" s="137" t="s">
        <v>196</v>
      </c>
      <c r="B209" s="138">
        <f>+B17</f>
        <v>0.40669976930000001</v>
      </c>
    </row>
    <row r="210" spans="1:7" ht="15.75" customHeight="1" collapsed="1">
      <c r="A210" s="194" t="s">
        <v>228</v>
      </c>
      <c r="B210" s="136">
        <f>B18</f>
        <v>6.25E-2</v>
      </c>
    </row>
    <row r="211" spans="1:7" ht="15.75" customHeight="1">
      <c r="A211" s="194" t="s">
        <v>168</v>
      </c>
      <c r="B211" s="136">
        <f>B19</f>
        <v>6.25E-2</v>
      </c>
    </row>
    <row r="212" spans="1:7" ht="15.75" customHeight="1">
      <c r="A212" s="194" t="s">
        <v>169</v>
      </c>
      <c r="B212" s="136">
        <f>B20</f>
        <v>6.25E-2</v>
      </c>
    </row>
    <row r="213" spans="1:7" ht="15.75" customHeight="1">
      <c r="A213" s="194" t="s">
        <v>170</v>
      </c>
      <c r="B213" s="136">
        <f>B21</f>
        <v>6.25E-2</v>
      </c>
    </row>
    <row r="214" spans="1:7" ht="15.75" customHeight="1">
      <c r="A214" s="137" t="s">
        <v>229</v>
      </c>
      <c r="B214" s="138">
        <f>+B22</f>
        <v>0.40720000000000001</v>
      </c>
    </row>
    <row r="215" spans="1:7" s="167" customFormat="1" ht="15.75" customHeight="1">
      <c r="A215" s="529" t="s">
        <v>268</v>
      </c>
      <c r="B215" s="530">
        <f>B23</f>
        <v>6.25E-2</v>
      </c>
    </row>
    <row r="216" spans="1:7" s="167" customFormat="1" ht="15.75" customHeight="1">
      <c r="A216" s="330" t="s">
        <v>168</v>
      </c>
      <c r="B216" s="530">
        <f>B24</f>
        <v>6.25E-2</v>
      </c>
    </row>
    <row r="217" spans="1:7" s="167" customFormat="1" ht="15.75" customHeight="1">
      <c r="A217" s="330" t="s">
        <v>169</v>
      </c>
      <c r="B217" s="530">
        <f>B25</f>
        <v>6.25E-2</v>
      </c>
    </row>
    <row r="218" spans="1:7" s="167" customFormat="1" ht="15.75" customHeight="1">
      <c r="A218" s="330" t="s">
        <v>170</v>
      </c>
      <c r="B218" s="530">
        <f>B26</f>
        <v>6.25E-2</v>
      </c>
    </row>
    <row r="219" spans="1:7" s="167" customFormat="1" ht="15.75" customHeight="1">
      <c r="A219" s="531" t="s">
        <v>273</v>
      </c>
      <c r="B219" s="532">
        <f>+B27</f>
        <v>0.40739999999999998</v>
      </c>
    </row>
    <row r="220" spans="1:7" ht="15.75" customHeight="1"/>
    <row r="221" spans="1:7" ht="15.75" customHeight="1">
      <c r="A221" s="139" t="s">
        <v>135</v>
      </c>
    </row>
    <row r="222" spans="1:7" ht="63.75" customHeight="1">
      <c r="A222" s="767" t="str">
        <f>A199</f>
        <v>Tehachapi</v>
      </c>
      <c r="B222" s="768" t="s">
        <v>180</v>
      </c>
      <c r="C222" s="768" t="s">
        <v>181</v>
      </c>
      <c r="D222" s="768" t="s">
        <v>182</v>
      </c>
      <c r="E222" s="773" t="s">
        <v>144</v>
      </c>
      <c r="F222" s="326" t="s">
        <v>136</v>
      </c>
      <c r="G222" s="153" t="s">
        <v>197</v>
      </c>
    </row>
    <row r="223" spans="1:7" hidden="1" outlineLevel="2">
      <c r="A223" s="767"/>
      <c r="B223" s="768"/>
      <c r="C223" s="768"/>
      <c r="D223" s="769"/>
      <c r="E223" s="773"/>
      <c r="F223" s="267">
        <f>B204</f>
        <v>0.40588299999999994</v>
      </c>
      <c r="G223" s="268">
        <v>39448</v>
      </c>
    </row>
    <row r="224" spans="1:7" ht="15.75" hidden="1" customHeight="1" outlineLevel="1">
      <c r="A224" s="323"/>
      <c r="B224" s="322"/>
      <c r="C224" s="322"/>
      <c r="D224" s="325"/>
      <c r="E224" s="324"/>
      <c r="F224" s="154">
        <f>B209</f>
        <v>0.40669976930000001</v>
      </c>
      <c r="G224" s="268">
        <v>39814</v>
      </c>
    </row>
    <row r="225" spans="1:7" ht="15.75" customHeight="1" collapsed="1">
      <c r="A225" s="323"/>
      <c r="B225" s="322"/>
      <c r="C225" s="322"/>
      <c r="D225" s="325"/>
      <c r="E225" s="324"/>
      <c r="F225" s="267">
        <f>B214</f>
        <v>0.40720000000000001</v>
      </c>
      <c r="G225" s="268">
        <v>40179</v>
      </c>
    </row>
    <row r="226" spans="1:7" ht="15.75" customHeight="1">
      <c r="A226" s="263"/>
      <c r="B226" s="264"/>
      <c r="C226" s="264"/>
      <c r="D226" s="265"/>
      <c r="E226" s="617"/>
      <c r="F226" s="267">
        <f>B219</f>
        <v>0.40739999999999998</v>
      </c>
      <c r="G226" s="268">
        <v>40544</v>
      </c>
    </row>
    <row r="227" spans="1:7" ht="15.75" customHeight="1">
      <c r="A227" s="263"/>
      <c r="B227" s="264"/>
      <c r="C227" s="264"/>
      <c r="D227" s="265"/>
      <c r="E227" s="266"/>
      <c r="F227" s="304"/>
      <c r="G227" s="305"/>
    </row>
    <row r="228" spans="1:7" ht="15.75" hidden="1" customHeight="1" outlineLevel="1">
      <c r="A228" s="141" t="s">
        <v>137</v>
      </c>
      <c r="G228" s="167"/>
    </row>
    <row r="229" spans="1:7" ht="15.75" hidden="1" customHeight="1" outlineLevel="1">
      <c r="A229" s="141" t="s">
        <v>117</v>
      </c>
    </row>
    <row r="230" spans="1:7" ht="15.75" hidden="1" customHeight="1" outlineLevel="1" thickBot="1">
      <c r="A230" s="141"/>
      <c r="E230" s="168"/>
      <c r="F230" s="142"/>
    </row>
    <row r="231" spans="1:7" ht="15.75" hidden="1" customHeight="1" outlineLevel="1" thickTop="1">
      <c r="A231" s="141"/>
    </row>
    <row r="232" spans="1:7" ht="15.75" hidden="1" customHeight="1" outlineLevel="1">
      <c r="A232" s="141" t="s">
        <v>117</v>
      </c>
      <c r="G232" s="167"/>
    </row>
    <row r="233" spans="1:7" ht="15.75" hidden="1" customHeight="1" outlineLevel="1">
      <c r="A233" s="141" t="s">
        <v>118</v>
      </c>
    </row>
    <row r="234" spans="1:7" ht="15.75" hidden="1" customHeight="1" outlineLevel="1">
      <c r="A234" s="141" t="s">
        <v>119</v>
      </c>
      <c r="B234" s="135">
        <f>'Tehachapi CWIP Balance'!E17-'Beg int cap'!B6</f>
        <v>49773.845230000006</v>
      </c>
      <c r="C234" s="145">
        <f>'Beg int cap'!E6</f>
        <v>2165.3119999999999</v>
      </c>
      <c r="D234" s="135">
        <f>SUM(B234:C234)</f>
        <v>51939.157230000004</v>
      </c>
      <c r="F234" s="135">
        <f>(C234*F$223)-('Beg int cap'!D$19*'Def Tax'!F$223)</f>
        <v>501.09323896007913</v>
      </c>
    </row>
    <row r="235" spans="1:7" ht="15.75" hidden="1" customHeight="1" outlineLevel="1">
      <c r="A235" s="141" t="s">
        <v>120</v>
      </c>
      <c r="B235" s="135">
        <f>B234+'Tehachapi CWIP Balance'!D18</f>
        <v>58278.296679999999</v>
      </c>
      <c r="C235" s="135">
        <f>C234+E235</f>
        <v>2434.5299649754998</v>
      </c>
      <c r="D235" s="135">
        <f>SUM(B235:C235)</f>
        <v>60712.826644975503</v>
      </c>
      <c r="E235" s="167">
        <f>D234*($B$200/12)</f>
        <v>269.21796497550002</v>
      </c>
      <c r="F235" s="135">
        <f>+E235*$F$223</f>
        <v>109.27099527815086</v>
      </c>
    </row>
    <row r="236" spans="1:7" ht="15.75" hidden="1" customHeight="1" outlineLevel="1">
      <c r="A236" s="141" t="s">
        <v>121</v>
      </c>
      <c r="B236" s="135">
        <f>B235+'Tehachapi CWIP Balance'!D19</f>
        <v>66543.466220000002</v>
      </c>
      <c r="C236" s="135">
        <f>C235+E236</f>
        <v>2712.797087098304</v>
      </c>
      <c r="D236" s="135">
        <f>SUM(B236:C236)</f>
        <v>69256.263307098299</v>
      </c>
      <c r="E236" s="167">
        <f>D235*($B$201/12)</f>
        <v>278.26712212280438</v>
      </c>
      <c r="F236" s="135">
        <f t="shared" ref="F236:F244" si="30">+E236*$F$223</f>
        <v>112.9438943285702</v>
      </c>
    </row>
    <row r="237" spans="1:7" ht="15.75" hidden="1" customHeight="1" outlineLevel="1">
      <c r="A237" s="141" t="s">
        <v>75</v>
      </c>
      <c r="B237" s="135">
        <f>B236+'Tehachapi CWIP Balance'!D20</f>
        <v>78125.174449999991</v>
      </c>
      <c r="C237" s="135">
        <f t="shared" ref="C237:C259" si="31">C236+E237</f>
        <v>3030.221627255838</v>
      </c>
      <c r="D237" s="135">
        <f t="shared" ref="D237:D265" si="32">SUM(B237:C237)</f>
        <v>81155.396077255835</v>
      </c>
      <c r="E237" s="167">
        <f>D236*($B$201/12)</f>
        <v>317.4245401575339</v>
      </c>
      <c r="F237" s="135">
        <f t="shared" si="30"/>
        <v>128.83722463276032</v>
      </c>
    </row>
    <row r="238" spans="1:7" ht="15.75" hidden="1" customHeight="1" outlineLevel="1">
      <c r="A238" s="141" t="s">
        <v>122</v>
      </c>
      <c r="B238" s="135">
        <f>B237+'Tehachapi CWIP Balance'!D21</f>
        <v>98157.308799999999</v>
      </c>
      <c r="C238" s="135">
        <f t="shared" si="31"/>
        <v>3402.1838592765939</v>
      </c>
      <c r="D238" s="135">
        <f t="shared" si="32"/>
        <v>101559.4926592766</v>
      </c>
      <c r="E238" s="167">
        <f>D237*($B$201/12)</f>
        <v>371.96223202075589</v>
      </c>
      <c r="F238" s="135">
        <f t="shared" si="30"/>
        <v>150.97314661928044</v>
      </c>
    </row>
    <row r="239" spans="1:7" ht="15.75" hidden="1" customHeight="1" outlineLevel="1">
      <c r="A239" s="141" t="s">
        <v>123</v>
      </c>
      <c r="B239" s="135">
        <f>B238+'Tehachapi CWIP Balance'!D22</f>
        <v>111027.41395</v>
      </c>
      <c r="C239" s="135">
        <f t="shared" si="31"/>
        <v>3867.6648672982783</v>
      </c>
      <c r="D239" s="135">
        <f t="shared" si="32"/>
        <v>114895.07881729829</v>
      </c>
      <c r="E239" s="167">
        <f>D238*($B$202/12)</f>
        <v>465.48100802168443</v>
      </c>
      <c r="F239" s="135">
        <f t="shared" si="30"/>
        <v>188.93082797886532</v>
      </c>
    </row>
    <row r="240" spans="1:7" ht="15.75" hidden="1" customHeight="1" outlineLevel="1">
      <c r="A240" s="141" t="s">
        <v>124</v>
      </c>
      <c r="B240" s="135">
        <f>B239+'Tehachapi CWIP Balance'!D23</f>
        <v>132178.04701000001</v>
      </c>
      <c r="C240" s="135">
        <f t="shared" si="31"/>
        <v>4394.267311877562</v>
      </c>
      <c r="D240" s="135">
        <f t="shared" si="32"/>
        <v>136572.31432187758</v>
      </c>
      <c r="E240" s="167">
        <f>D239*($B$202/12)</f>
        <v>526.60244457928377</v>
      </c>
      <c r="F240" s="135">
        <f t="shared" si="30"/>
        <v>213.7389800131734</v>
      </c>
    </row>
    <row r="241" spans="1:7" ht="15.75" hidden="1" customHeight="1" outlineLevel="1">
      <c r="A241" s="261" t="s">
        <v>125</v>
      </c>
      <c r="B241" s="167">
        <f>B240+'Tehachapi CWIP Balance'!D24</f>
        <v>140746.70684999999</v>
      </c>
      <c r="C241" s="167">
        <f t="shared" si="31"/>
        <v>5020.2237525195005</v>
      </c>
      <c r="D241" s="167">
        <f t="shared" si="32"/>
        <v>145766.93060251948</v>
      </c>
      <c r="E241" s="167">
        <f>D240*($B$202/12)</f>
        <v>625.95644064193891</v>
      </c>
      <c r="F241" s="167">
        <f t="shared" si="30"/>
        <v>254.06507799707205</v>
      </c>
    </row>
    <row r="242" spans="1:7" ht="15.75" hidden="1" customHeight="1" outlineLevel="1">
      <c r="A242" s="141" t="s">
        <v>126</v>
      </c>
      <c r="B242" s="167">
        <f>B241+'Tehachapi CWIP Balance'!D25</f>
        <v>166268.87586</v>
      </c>
      <c r="C242" s="135">
        <f t="shared" si="31"/>
        <v>5688.3221844477148</v>
      </c>
      <c r="D242" s="135">
        <f t="shared" si="32"/>
        <v>171957.19804444772</v>
      </c>
      <c r="E242" s="167">
        <f>D241*($B$203/12)</f>
        <v>668.09843192821427</v>
      </c>
      <c r="F242" s="135">
        <f t="shared" si="30"/>
        <v>271.16979584631935</v>
      </c>
    </row>
    <row r="243" spans="1:7" ht="15.75" hidden="1" customHeight="1" outlineLevel="1">
      <c r="A243" s="141" t="s">
        <v>127</v>
      </c>
      <c r="B243" s="167">
        <f>B242+'Tehachapi CWIP Balance'!D26</f>
        <v>173335.94748</v>
      </c>
      <c r="C243" s="135">
        <f t="shared" si="31"/>
        <v>6476.4593421514337</v>
      </c>
      <c r="D243" s="135">
        <f t="shared" si="32"/>
        <v>179812.40682215145</v>
      </c>
      <c r="E243" s="167">
        <f>D242*($B$203/12)</f>
        <v>788.13715770371869</v>
      </c>
      <c r="F243" s="135">
        <f t="shared" si="30"/>
        <v>319.89147398025841</v>
      </c>
    </row>
    <row r="244" spans="1:7" ht="15.75" hidden="1" customHeight="1" outlineLevel="1">
      <c r="A244" s="141" t="s">
        <v>128</v>
      </c>
      <c r="B244" s="167">
        <f>B243+'Tehachapi CWIP Balance'!D27</f>
        <v>208723.56052</v>
      </c>
      <c r="C244" s="135">
        <f t="shared" si="31"/>
        <v>7300.5995400862948</v>
      </c>
      <c r="D244" s="135">
        <f t="shared" si="32"/>
        <v>216024.16006008629</v>
      </c>
      <c r="E244" s="167">
        <f>D243*($B$203/12)</f>
        <v>824.14019793486079</v>
      </c>
      <c r="F244" s="135">
        <f t="shared" si="30"/>
        <v>334.50449595839507</v>
      </c>
    </row>
    <row r="245" spans="1:7" ht="15.75" hidden="1" customHeight="1" outlineLevel="1" thickBot="1">
      <c r="A245" s="141"/>
      <c r="B245" s="167"/>
      <c r="E245" s="168"/>
      <c r="F245" s="142"/>
    </row>
    <row r="246" spans="1:7" ht="15.75" hidden="1" customHeight="1" outlineLevel="1" thickTop="1">
      <c r="A246" s="141"/>
      <c r="B246" s="167"/>
    </row>
    <row r="247" spans="1:7" hidden="1" outlineLevel="1" collapsed="1">
      <c r="A247" s="261" t="s">
        <v>189</v>
      </c>
      <c r="B247" s="167">
        <f>B244+'Tehachapi CWIP Balance'!D28</f>
        <v>213290.28639999998</v>
      </c>
      <c r="C247" s="167">
        <f>C244+E247</f>
        <v>8409.5235617280705</v>
      </c>
      <c r="D247" s="167">
        <f t="shared" si="32"/>
        <v>221699.80996172805</v>
      </c>
      <c r="E247" s="167">
        <f>D244*($B$205/12)</f>
        <v>1108.9240216417763</v>
      </c>
      <c r="F247" s="167">
        <f>+E247*$F$224</f>
        <v>450.99914377293868</v>
      </c>
    </row>
    <row r="248" spans="1:7" ht="15.75" hidden="1" customHeight="1" outlineLevel="1">
      <c r="A248" s="141" t="s">
        <v>119</v>
      </c>
      <c r="B248" s="167">
        <f>B247+'Tehachapi CWIP Balance'!D29</f>
        <v>216016.42927999998</v>
      </c>
      <c r="C248" s="135">
        <f t="shared" si="31"/>
        <v>9547.5825861982739</v>
      </c>
      <c r="D248" s="135">
        <f t="shared" si="32"/>
        <v>225564.01186619827</v>
      </c>
      <c r="E248" s="167">
        <f>D247*($B$205/12)</f>
        <v>1138.0590244702041</v>
      </c>
      <c r="F248" s="167">
        <f t="shared" ref="F248:F265" si="33">+E248*$F$224</f>
        <v>462.84834270181511</v>
      </c>
    </row>
    <row r="249" spans="1:7" ht="15.75" hidden="1" customHeight="1" outlineLevel="1">
      <c r="A249" s="141" t="s">
        <v>120</v>
      </c>
      <c r="B249" s="167">
        <f>B248+'Tehachapi CWIP Balance'!D30</f>
        <v>235540.65813999998</v>
      </c>
      <c r="C249" s="135">
        <f t="shared" si="31"/>
        <v>10705.477847111426</v>
      </c>
      <c r="D249" s="135">
        <f t="shared" si="32"/>
        <v>246246.13598711143</v>
      </c>
      <c r="E249" s="167">
        <f>D248*($B$205/12)</f>
        <v>1157.8952609131511</v>
      </c>
      <c r="F249" s="167">
        <f t="shared" si="33"/>
        <v>470.91573548694186</v>
      </c>
    </row>
    <row r="250" spans="1:7" s="167" customFormat="1" ht="15.75" hidden="1" customHeight="1" outlineLevel="1">
      <c r="A250" s="141" t="s">
        <v>121</v>
      </c>
      <c r="B250" s="167">
        <f>B249+'Tehachapi CWIP Balance'!D31</f>
        <v>256292.40315999999</v>
      </c>
      <c r="C250" s="135">
        <f t="shared" si="31"/>
        <v>11969.541345178597</v>
      </c>
      <c r="D250" s="135">
        <f t="shared" si="32"/>
        <v>268261.9445051786</v>
      </c>
      <c r="E250" s="167">
        <f>D249*($B$206/12)</f>
        <v>1264.0634980671721</v>
      </c>
      <c r="F250" s="167">
        <f t="shared" si="33"/>
        <v>514.09433304446986</v>
      </c>
      <c r="G250" s="135"/>
    </row>
    <row r="251" spans="1:7" ht="15.75" hidden="1" customHeight="1" outlineLevel="1">
      <c r="A251" s="141"/>
      <c r="F251" s="167"/>
    </row>
    <row r="252" spans="1:7" ht="15.75" hidden="1" customHeight="1" outlineLevel="1">
      <c r="A252" s="141" t="s">
        <v>75</v>
      </c>
      <c r="B252" s="135">
        <f>B250+'Tehachapi CWIP Balance'!B32</f>
        <v>285544.40358000004</v>
      </c>
      <c r="C252" s="135">
        <f>C250+E252</f>
        <v>13346.619326971848</v>
      </c>
      <c r="D252" s="135">
        <f t="shared" si="32"/>
        <v>298891.02290697186</v>
      </c>
      <c r="E252" s="167">
        <f>D250*($B$206/12)</f>
        <v>1377.0779817932503</v>
      </c>
      <c r="F252" s="167">
        <f t="shared" si="33"/>
        <v>560.05729750342448</v>
      </c>
    </row>
    <row r="253" spans="1:7" ht="15.75" hidden="1" customHeight="1" outlineLevel="1">
      <c r="A253" s="141" t="s">
        <v>212</v>
      </c>
      <c r="B253" s="289">
        <f>-'Tehachapi Transfer'!C6</f>
        <v>-1885.3353000000134</v>
      </c>
      <c r="C253" s="289">
        <f>'Tehachapi Transfer'!J6</f>
        <v>-87.282408834401849</v>
      </c>
      <c r="D253" s="289">
        <f>C253+B253</f>
        <v>-1972.6177088344152</v>
      </c>
      <c r="E253" s="290"/>
      <c r="F253" s="290"/>
    </row>
    <row r="254" spans="1:7" s="167" customFormat="1" ht="15.75" hidden="1" customHeight="1" outlineLevel="1">
      <c r="A254" s="141" t="s">
        <v>213</v>
      </c>
      <c r="B254" s="135">
        <f>SUM(B252:B253)</f>
        <v>283659.06828000001</v>
      </c>
      <c r="C254" s="135">
        <f>SUM(C252:C253)</f>
        <v>13259.336918137446</v>
      </c>
      <c r="D254" s="135">
        <f>SUM(D252:D253)</f>
        <v>296918.40519813745</v>
      </c>
      <c r="E254" s="135">
        <f>SUM(E252:E253)</f>
        <v>1377.0779817932503</v>
      </c>
      <c r="F254" s="135">
        <f>SUM(F252:F253)</f>
        <v>560.05729750342448</v>
      </c>
      <c r="G254" s="135"/>
    </row>
    <row r="255" spans="1:7" ht="15.75" hidden="1" customHeight="1" outlineLevel="1">
      <c r="A255" s="141"/>
      <c r="F255" s="167"/>
    </row>
    <row r="256" spans="1:7" ht="15.75" hidden="1" customHeight="1" outlineLevel="1">
      <c r="A256" s="141" t="s">
        <v>122</v>
      </c>
      <c r="B256" s="167">
        <f>B254+'Tehachapi CWIP Balance'!D33</f>
        <v>309766.13734000002</v>
      </c>
      <c r="C256" s="135">
        <f>C254+E256</f>
        <v>14783.518064821217</v>
      </c>
      <c r="D256" s="135">
        <f t="shared" si="32"/>
        <v>324549.65540482121</v>
      </c>
      <c r="E256" s="167">
        <f>D254*($B$206/12)</f>
        <v>1524.1811466837723</v>
      </c>
      <c r="F256" s="167">
        <f t="shared" si="33"/>
        <v>619.88412072769972</v>
      </c>
    </row>
    <row r="257" spans="1:6" ht="15.75" hidden="1" customHeight="1" outlineLevel="1">
      <c r="A257" s="141" t="s">
        <v>123</v>
      </c>
      <c r="B257" s="167">
        <f>B256+'Tehachapi CWIP Balance'!D34</f>
        <v>335370.17787999997</v>
      </c>
      <c r="C257" s="135">
        <f t="shared" si="31"/>
        <v>16449.539629232633</v>
      </c>
      <c r="D257" s="135">
        <f t="shared" si="32"/>
        <v>351819.71750923258</v>
      </c>
      <c r="E257" s="167">
        <f>D256*($B$207/12)</f>
        <v>1666.0215644114155</v>
      </c>
      <c r="F257" s="167">
        <f t="shared" si="33"/>
        <v>677.57058589494784</v>
      </c>
    </row>
    <row r="258" spans="1:6" ht="15.75" hidden="1" customHeight="1" outlineLevel="1">
      <c r="A258" s="141" t="s">
        <v>124</v>
      </c>
      <c r="B258" s="167">
        <f>B257+'Tehachapi CWIP Balance'!D35</f>
        <v>343518.17051999999</v>
      </c>
      <c r="C258" s="135">
        <f t="shared" si="31"/>
        <v>18255.547512446694</v>
      </c>
      <c r="D258" s="135">
        <f t="shared" si="32"/>
        <v>361773.71803244669</v>
      </c>
      <c r="E258" s="167">
        <f>D257*($B$207/12)</f>
        <v>1806.0078832140607</v>
      </c>
      <c r="F258" s="167">
        <f t="shared" si="33"/>
        <v>734.50298945713985</v>
      </c>
    </row>
    <row r="259" spans="1:6" ht="15.75" hidden="1" customHeight="1" outlineLevel="1">
      <c r="A259" s="141" t="s">
        <v>125</v>
      </c>
      <c r="B259" s="167">
        <f>B258+'Tehachapi CWIP Balance'!D36</f>
        <v>364982.57705999998</v>
      </c>
      <c r="C259" s="135">
        <f t="shared" si="31"/>
        <v>20112.652598346587</v>
      </c>
      <c r="D259" s="135">
        <f t="shared" si="32"/>
        <v>385095.22965834656</v>
      </c>
      <c r="E259" s="167">
        <f>D258*($B$207/12)</f>
        <v>1857.1050858998931</v>
      </c>
      <c r="F259" s="167">
        <f t="shared" si="33"/>
        <v>755.28421000134324</v>
      </c>
    </row>
    <row r="260" spans="1:6" ht="15.75" hidden="1" customHeight="1" outlineLevel="1">
      <c r="A260" s="141"/>
      <c r="B260" s="167"/>
      <c r="F260" s="167"/>
    </row>
    <row r="261" spans="1:6" ht="15.75" hidden="1" customHeight="1" outlineLevel="1">
      <c r="A261" s="141" t="s">
        <v>126</v>
      </c>
      <c r="B261" s="167">
        <f>B259</f>
        <v>364982.57705999998</v>
      </c>
      <c r="C261" s="135">
        <f>C259+E261</f>
        <v>22089.474777259435</v>
      </c>
      <c r="D261" s="135">
        <f t="shared" si="32"/>
        <v>387072.05183725944</v>
      </c>
      <c r="E261" s="167">
        <f>D259*($B$208/12)</f>
        <v>1976.8221789128459</v>
      </c>
      <c r="F261" s="167">
        <f t="shared" si="33"/>
        <v>803.97312411097778</v>
      </c>
    </row>
    <row r="262" spans="1:6" ht="15.75" hidden="1" customHeight="1" outlineLevel="1">
      <c r="A262" s="141" t="s">
        <v>222</v>
      </c>
      <c r="B262" s="289">
        <f>-'Tehachapi Transfer'!C7</f>
        <v>-123414.6317</v>
      </c>
      <c r="C262" s="289">
        <f>'Tehachapi Transfer'!J7</f>
        <v>-7413.4836991868251</v>
      </c>
      <c r="D262" s="289">
        <f>C262+B262</f>
        <v>-130828.11539918682</v>
      </c>
      <c r="E262" s="290"/>
      <c r="F262" s="290"/>
    </row>
    <row r="263" spans="1:6" ht="15.75" hidden="1" customHeight="1" outlineLevel="1">
      <c r="A263" s="141" t="s">
        <v>223</v>
      </c>
      <c r="B263" s="135">
        <f>SUM(B261:B262)</f>
        <v>241567.94535999998</v>
      </c>
      <c r="C263" s="135">
        <f>SUM(C261:C262)</f>
        <v>14675.99107807261</v>
      </c>
      <c r="D263" s="135">
        <f>SUM(D261:D262)</f>
        <v>256243.93643807262</v>
      </c>
      <c r="E263" s="135">
        <f>SUM(E261:E262)</f>
        <v>1976.8221789128459</v>
      </c>
      <c r="F263" s="135">
        <f>SUM(F261:F262)</f>
        <v>803.97312411097778</v>
      </c>
    </row>
    <row r="264" spans="1:6" ht="15.75" hidden="1" customHeight="1" outlineLevel="2">
      <c r="A264" s="141"/>
      <c r="F264" s="167"/>
    </row>
    <row r="265" spans="1:6" ht="15.75" hidden="1" customHeight="1" outlineLevel="2">
      <c r="A265" s="141" t="s">
        <v>127</v>
      </c>
      <c r="B265" s="167">
        <f>B263</f>
        <v>241567.94535999998</v>
      </c>
      <c r="C265" s="135">
        <f>C263+E265</f>
        <v>15991.376618454717</v>
      </c>
      <c r="D265" s="135">
        <f t="shared" si="32"/>
        <v>257559.32197845471</v>
      </c>
      <c r="E265" s="167">
        <f>D263*($B$208/12)</f>
        <v>1315.3855403821062</v>
      </c>
      <c r="F265" s="167">
        <f t="shared" si="33"/>
        <v>534.96699581395842</v>
      </c>
    </row>
    <row r="266" spans="1:6" ht="15.75" hidden="1" customHeight="1" outlineLevel="2">
      <c r="A266" s="141" t="s">
        <v>224</v>
      </c>
      <c r="B266" s="289">
        <f>-'Tehachapi Transfer'!C8</f>
        <v>-78207.095619999978</v>
      </c>
      <c r="C266" s="289">
        <f>'Tehachapi Transfer'!J8</f>
        <v>-5118.9425535742457</v>
      </c>
      <c r="D266" s="289">
        <f>C266+B266</f>
        <v>-83326.038173574227</v>
      </c>
      <c r="E266" s="290"/>
      <c r="F266" s="290"/>
    </row>
    <row r="267" spans="1:6" ht="15.75" hidden="1" customHeight="1" outlineLevel="2">
      <c r="A267" s="141" t="s">
        <v>225</v>
      </c>
      <c r="B267" s="135">
        <f>SUM(B265:B266)</f>
        <v>163360.84974000001</v>
      </c>
      <c r="C267" s="135">
        <f>SUM(C265:C266)</f>
        <v>10872.434064880472</v>
      </c>
      <c r="D267" s="135">
        <f>SUM(D265:D266)</f>
        <v>174233.28380488048</v>
      </c>
      <c r="E267" s="135">
        <f>SUM(E265:E266)</f>
        <v>1315.3855403821062</v>
      </c>
      <c r="F267" s="135">
        <f>SUM(F265:F266)</f>
        <v>534.96699581395842</v>
      </c>
    </row>
    <row r="268" spans="1:6" ht="15.75" hidden="1" customHeight="1" outlineLevel="2">
      <c r="A268" s="141"/>
      <c r="F268" s="167"/>
    </row>
    <row r="269" spans="1:6" ht="15.75" hidden="1" customHeight="1" outlineLevel="1">
      <c r="A269" s="141" t="s">
        <v>190</v>
      </c>
      <c r="B269" s="167">
        <f>B267</f>
        <v>163360.84974000001</v>
      </c>
      <c r="C269" s="135">
        <f>C267+E269</f>
        <v>11766.831588412191</v>
      </c>
      <c r="D269" s="135">
        <f>SUM(B269:C269)</f>
        <v>175127.6813284122</v>
      </c>
      <c r="E269" s="167">
        <f>D267*($B$208/12)</f>
        <v>894.3975235317198</v>
      </c>
      <c r="F269" s="167">
        <f>+E269*$F$224</f>
        <v>363.7512664828418</v>
      </c>
    </row>
    <row r="270" spans="1:6" ht="15.75" hidden="1" customHeight="1" outlineLevel="1">
      <c r="A270" s="141" t="s">
        <v>230</v>
      </c>
      <c r="B270" s="289">
        <f>-'Tehachapi Transfer'!C9</f>
        <v>-57853.055920000013</v>
      </c>
      <c r="C270" s="289">
        <f>'Tehachapi Transfer'!J9</f>
        <v>-4098.2000789949943</v>
      </c>
      <c r="D270" s="289">
        <f>C270+B270</f>
        <v>-61951.25599899501</v>
      </c>
      <c r="E270" s="290"/>
      <c r="F270" s="290"/>
    </row>
    <row r="271" spans="1:6" ht="15.75" hidden="1" customHeight="1" outlineLevel="1">
      <c r="A271" s="141" t="s">
        <v>231</v>
      </c>
      <c r="B271" s="135">
        <f>SUM(B269:B270)</f>
        <v>105507.79381999999</v>
      </c>
      <c r="C271" s="135">
        <f>SUM(C269:C270)</f>
        <v>7668.6315094171969</v>
      </c>
      <c r="D271" s="135">
        <f>SUM(D269:D270)</f>
        <v>113176.42532941719</v>
      </c>
      <c r="E271" s="135">
        <f>SUM(E269:E270)</f>
        <v>894.3975235317198</v>
      </c>
      <c r="F271" s="135">
        <f>SUM(F269:F270)</f>
        <v>363.7512664828418</v>
      </c>
    </row>
    <row r="272" spans="1:6" ht="15.75" hidden="1" customHeight="1" outlineLevel="1">
      <c r="A272" s="141"/>
      <c r="F272" s="167"/>
    </row>
    <row r="273" spans="1:7" ht="15.75" hidden="1" customHeight="1" outlineLevel="1" thickBot="1">
      <c r="E273" s="168"/>
      <c r="F273" s="142"/>
    </row>
    <row r="274" spans="1:7" ht="15.75" hidden="1" customHeight="1" outlineLevel="1" collapsed="1" thickTop="1"/>
    <row r="275" spans="1:7" ht="15.75" hidden="1" customHeight="1" outlineLevel="1">
      <c r="A275" s="141" t="s">
        <v>226</v>
      </c>
      <c r="B275" s="167">
        <f>B271+'Tehachapi CWIP Balance'!D40</f>
        <v>117675.69663999999</v>
      </c>
      <c r="C275" s="167">
        <f>C271+E275</f>
        <v>8258.092058007911</v>
      </c>
      <c r="D275" s="167">
        <f>SUM(B275:C275)</f>
        <v>125933.78869800791</v>
      </c>
      <c r="E275" s="167">
        <f>D271*($B$210/12)</f>
        <v>589.46054859071455</v>
      </c>
      <c r="F275" s="167">
        <f>+E275*$F$225</f>
        <v>240.02833538613896</v>
      </c>
    </row>
    <row r="276" spans="1:7" ht="15.75" hidden="1" customHeight="1" outlineLevel="1">
      <c r="A276" s="141" t="s">
        <v>119</v>
      </c>
      <c r="B276" s="167">
        <f>B275+'Tehachapi CWIP Balance'!D41</f>
        <v>139369.67694999999</v>
      </c>
      <c r="C276" s="167">
        <f t="shared" ref="C276:C286" si="34">C275+E276</f>
        <v>8913.9972074767029</v>
      </c>
      <c r="D276" s="167">
        <f>SUM(B276:C276)</f>
        <v>148283.67415747669</v>
      </c>
      <c r="E276" s="167">
        <f>D275*($B$210/12)</f>
        <v>655.90514946879114</v>
      </c>
      <c r="F276" s="167">
        <f>+E276*$F$225</f>
        <v>267.08457686369178</v>
      </c>
    </row>
    <row r="277" spans="1:7" ht="15.75" hidden="1" customHeight="1" outlineLevel="1">
      <c r="A277" s="141" t="s">
        <v>120</v>
      </c>
      <c r="B277" s="167">
        <f>B276+'Tehachapi CWIP Balance'!D42</f>
        <v>154517.43448999999</v>
      </c>
      <c r="C277" s="167">
        <f t="shared" si="34"/>
        <v>9686.3080103802276</v>
      </c>
      <c r="D277" s="167">
        <f>SUM(B277:C277)</f>
        <v>164203.74250038021</v>
      </c>
      <c r="E277" s="167">
        <f>D276*($B$210/12)</f>
        <v>772.3108029035244</v>
      </c>
      <c r="F277" s="167">
        <f t="shared" ref="F277:F286" si="35">+E277*$F$225</f>
        <v>314.48495894231513</v>
      </c>
      <c r="G277" s="167"/>
    </row>
    <row r="278" spans="1:7" s="167" customFormat="1" ht="15.75" hidden="1" customHeight="1" outlineLevel="1">
      <c r="A278" s="261" t="s">
        <v>121</v>
      </c>
      <c r="B278" s="167">
        <f>B277+'Tehachapi CWIP Balance'!D43</f>
        <v>182102.55119</v>
      </c>
      <c r="C278" s="167">
        <f t="shared" si="34"/>
        <v>10541.535835903042</v>
      </c>
      <c r="D278" s="167">
        <f>SUM(B278:C278)</f>
        <v>192644.08702590305</v>
      </c>
      <c r="E278" s="167">
        <f>D277*($B$211/12)</f>
        <v>855.22782552281353</v>
      </c>
      <c r="F278" s="167">
        <f t="shared" si="35"/>
        <v>348.24877055288965</v>
      </c>
    </row>
    <row r="279" spans="1:7" s="167" customFormat="1" ht="15.75" hidden="1" customHeight="1" outlineLevel="1">
      <c r="A279" s="261" t="s">
        <v>75</v>
      </c>
      <c r="B279" s="167">
        <f>B278+'Tehachapi CWIP Balance'!D44</f>
        <v>214506.61017999999</v>
      </c>
      <c r="C279" s="167">
        <f t="shared" si="34"/>
        <v>11544.89045582962</v>
      </c>
      <c r="D279" s="167">
        <f t="shared" ref="D279:D286" si="36">SUM(B279:C279)</f>
        <v>226051.50063582961</v>
      </c>
      <c r="E279" s="167">
        <f>D278*($B$211/12)</f>
        <v>1003.3546199265784</v>
      </c>
      <c r="F279" s="167">
        <f t="shared" si="35"/>
        <v>408.56600123410271</v>
      </c>
    </row>
    <row r="280" spans="1:7" s="167" customFormat="1" ht="15.75" hidden="1" customHeight="1" outlineLevel="1">
      <c r="A280" s="261" t="s">
        <v>122</v>
      </c>
      <c r="B280" s="167">
        <f>B279+'Tehachapi CWIP Balance'!D45</f>
        <v>239138.44258999999</v>
      </c>
      <c r="C280" s="167">
        <f t="shared" si="34"/>
        <v>12722.242021641232</v>
      </c>
      <c r="D280" s="167">
        <f>SUM(B280:C280)</f>
        <v>251860.68461164122</v>
      </c>
      <c r="E280" s="167">
        <f>D279*($B$211/12)</f>
        <v>1177.3515658116125</v>
      </c>
      <c r="F280" s="167">
        <f t="shared" si="35"/>
        <v>479.41755759848866</v>
      </c>
    </row>
    <row r="281" spans="1:7" s="167" customFormat="1" ht="15.75" hidden="1" customHeight="1" outlineLevel="1">
      <c r="A281" s="261" t="s">
        <v>123</v>
      </c>
      <c r="B281" s="167">
        <f>B280+'Tehachapi CWIP Balance'!D46</f>
        <v>295224.31689000002</v>
      </c>
      <c r="C281" s="167">
        <f t="shared" si="34"/>
        <v>14034.016420660197</v>
      </c>
      <c r="D281" s="167">
        <f t="shared" si="36"/>
        <v>309258.33331066021</v>
      </c>
      <c r="E281" s="167">
        <f>D280*($B$212/12)</f>
        <v>1311.7743990189647</v>
      </c>
      <c r="F281" s="167">
        <f t="shared" si="35"/>
        <v>534.1545352805224</v>
      </c>
    </row>
    <row r="282" spans="1:7" s="167" customFormat="1" ht="15.75" hidden="1" customHeight="1" outlineLevel="1">
      <c r="A282" s="261" t="s">
        <v>124</v>
      </c>
      <c r="B282" s="167">
        <f>B281+'Tehachapi CWIP Balance'!D47</f>
        <v>330760.98895999999</v>
      </c>
      <c r="C282" s="167">
        <f t="shared" si="34"/>
        <v>15644.736906653219</v>
      </c>
      <c r="D282" s="167">
        <f t="shared" si="36"/>
        <v>346405.7258666532</v>
      </c>
      <c r="E282" s="167">
        <f>D281*($B$212/12)</f>
        <v>1610.7204859930218</v>
      </c>
      <c r="F282" s="167">
        <f t="shared" si="35"/>
        <v>655.88538189635847</v>
      </c>
    </row>
    <row r="283" spans="1:7" s="167" customFormat="1" ht="16.5" hidden="1" customHeight="1" outlineLevel="1">
      <c r="A283" s="261" t="s">
        <v>125</v>
      </c>
      <c r="B283" s="167">
        <f>B282+'Tehachapi CWIP Balance'!D48</f>
        <v>364015.47726999997</v>
      </c>
      <c r="C283" s="167">
        <f t="shared" si="34"/>
        <v>17448.933395542037</v>
      </c>
      <c r="D283" s="167">
        <f t="shared" si="36"/>
        <v>381464.410665542</v>
      </c>
      <c r="E283" s="167">
        <f>D282*($B$212/12)</f>
        <v>1804.1964888888187</v>
      </c>
      <c r="F283" s="167">
        <f t="shared" si="35"/>
        <v>734.66881027552699</v>
      </c>
    </row>
    <row r="284" spans="1:7" s="167" customFormat="1" collapsed="1">
      <c r="A284" s="261" t="s">
        <v>126</v>
      </c>
      <c r="B284" s="167">
        <f>B283+'Tehachapi CWIP Balance'!D49</f>
        <v>402133.57007999998</v>
      </c>
      <c r="C284" s="167">
        <f t="shared" si="34"/>
        <v>19435.727201091737</v>
      </c>
      <c r="D284" s="167">
        <f t="shared" si="36"/>
        <v>421569.29728109168</v>
      </c>
      <c r="E284" s="167">
        <f>D283*($B$213/12)</f>
        <v>1986.7938055496979</v>
      </c>
      <c r="F284" s="167">
        <f t="shared" si="35"/>
        <v>809.02243761983698</v>
      </c>
    </row>
    <row r="285" spans="1:7" s="167" customFormat="1">
      <c r="A285" s="261" t="s">
        <v>127</v>
      </c>
      <c r="B285" s="167">
        <f>B284+'Tehachapi CWIP Balance'!D50</f>
        <v>460336.33246000001</v>
      </c>
      <c r="C285" s="167">
        <f t="shared" si="34"/>
        <v>21631.400624430757</v>
      </c>
      <c r="D285" s="167">
        <f t="shared" si="36"/>
        <v>481967.73308443074</v>
      </c>
      <c r="E285" s="167">
        <f>D284*($B$213/12)</f>
        <v>2195.6734233390189</v>
      </c>
      <c r="F285" s="167">
        <f t="shared" si="35"/>
        <v>894.07821798364853</v>
      </c>
    </row>
    <row r="286" spans="1:7" s="167" customFormat="1">
      <c r="A286" s="261" t="s">
        <v>227</v>
      </c>
      <c r="B286" s="167">
        <f>B285+'Tehachapi CWIP Balance'!D51</f>
        <v>556195.0777400001</v>
      </c>
      <c r="C286" s="167">
        <f t="shared" si="34"/>
        <v>24141.649234245499</v>
      </c>
      <c r="D286" s="167">
        <f t="shared" si="36"/>
        <v>580336.72697424563</v>
      </c>
      <c r="E286" s="167">
        <f>D285*($B$213/12)</f>
        <v>2510.2486098147433</v>
      </c>
      <c r="F286" s="167">
        <f t="shared" si="35"/>
        <v>1022.1732339165635</v>
      </c>
    </row>
    <row r="287" spans="1:7" ht="15" customHeight="1" thickBot="1">
      <c r="E287" s="168"/>
      <c r="F287" s="142"/>
    </row>
    <row r="288" spans="1:7" ht="15" customHeight="1" thickTop="1">
      <c r="E288" s="306"/>
      <c r="F288" s="140"/>
    </row>
    <row r="289" spans="1:6" s="167" customFormat="1" ht="15.75" customHeight="1">
      <c r="A289" s="358" t="s">
        <v>262</v>
      </c>
      <c r="B289" s="167">
        <f>B286+'Tehachapi CWIP Balance'!D52</f>
        <v>582619.59691000008</v>
      </c>
      <c r="C289" s="167">
        <f>C286+E289</f>
        <v>27164.236353903027</v>
      </c>
      <c r="D289" s="167">
        <f>SUM(B289:C289)</f>
        <v>609783.83326390316</v>
      </c>
      <c r="E289" s="167">
        <f>D286*($B$215/12)</f>
        <v>3022.587119657529</v>
      </c>
      <c r="F289" s="167">
        <f t="shared" ref="F289:F304" si="37">+E289*$F$226</f>
        <v>1231.4019925484772</v>
      </c>
    </row>
    <row r="290" spans="1:6" s="167" customFormat="1" ht="15.75" customHeight="1">
      <c r="A290" s="261" t="s">
        <v>119</v>
      </c>
      <c r="B290" s="167">
        <f>B289+'Tehachapi CWIP Balance'!D53</f>
        <v>627649.50068000006</v>
      </c>
      <c r="C290" s="167">
        <f>C289+E290</f>
        <v>30340.193818819189</v>
      </c>
      <c r="D290" s="167">
        <f>SUM(B290:C290)</f>
        <v>657989.6944988193</v>
      </c>
      <c r="E290" s="167">
        <f>D289*($B$215/12)</f>
        <v>3175.9574649161623</v>
      </c>
      <c r="F290" s="167">
        <f t="shared" si="37"/>
        <v>1293.8850712068445</v>
      </c>
    </row>
    <row r="291" spans="1:6" s="167" customFormat="1" ht="15.75" customHeight="1">
      <c r="A291" s="261" t="s">
        <v>120</v>
      </c>
      <c r="B291" s="167">
        <f>B290+'Tehachapi CWIP Balance'!D54</f>
        <v>680013.94866000011</v>
      </c>
      <c r="C291" s="167">
        <f t="shared" ref="C291:C298" si="38">C290+E291</f>
        <v>33767.223477667205</v>
      </c>
      <c r="D291" s="167">
        <f>SUM(B291:C291)</f>
        <v>713781.17213766731</v>
      </c>
      <c r="E291" s="167">
        <f>D290*($B$215/12)</f>
        <v>3427.0296588480169</v>
      </c>
      <c r="F291" s="167">
        <f t="shared" si="37"/>
        <v>1396.171883014682</v>
      </c>
    </row>
    <row r="292" spans="1:6" s="167" customFormat="1" ht="15.75" customHeight="1">
      <c r="A292" s="261" t="s">
        <v>121</v>
      </c>
      <c r="B292" s="167">
        <f>B291+'Tehachapi CWIP Balance'!D55</f>
        <v>724258.45269000006</v>
      </c>
      <c r="C292" s="167">
        <f t="shared" si="38"/>
        <v>37484.833749217556</v>
      </c>
      <c r="D292" s="167">
        <f>SUM(B292:C292)</f>
        <v>761743.28643921763</v>
      </c>
      <c r="E292" s="167">
        <f>D291*($B$216/12)</f>
        <v>3717.6102715503503</v>
      </c>
      <c r="F292" s="167">
        <f t="shared" si="37"/>
        <v>1514.5544246296126</v>
      </c>
    </row>
    <row r="293" spans="1:6" s="167" customFormat="1" ht="15.75" customHeight="1">
      <c r="A293" s="261" t="s">
        <v>75</v>
      </c>
      <c r="B293" s="167">
        <f>B292+'Tehachapi CWIP Balance'!D56</f>
        <v>773799.3181700001</v>
      </c>
      <c r="C293" s="167">
        <f t="shared" si="38"/>
        <v>41452.246699421812</v>
      </c>
      <c r="D293" s="167">
        <f t="shared" ref="D293" si="39">SUM(B293:C293)</f>
        <v>815251.56486942188</v>
      </c>
      <c r="E293" s="167">
        <f>D292*($B$216/12)</f>
        <v>3967.4129502042583</v>
      </c>
      <c r="F293" s="167">
        <f t="shared" si="37"/>
        <v>1616.3240359132149</v>
      </c>
    </row>
    <row r="294" spans="1:6" s="167" customFormat="1" ht="15.75" customHeight="1">
      <c r="A294" s="261" t="s">
        <v>122</v>
      </c>
      <c r="B294" s="167">
        <f>B293+'Tehachapi CWIP Balance'!D57</f>
        <v>789143.86051000003</v>
      </c>
      <c r="C294" s="167">
        <f t="shared" si="38"/>
        <v>45698.348599783385</v>
      </c>
      <c r="D294" s="167">
        <f>SUM(B294:C294)</f>
        <v>834842.20910978341</v>
      </c>
      <c r="E294" s="167">
        <f>D293*($B$216/12)</f>
        <v>4246.101900361572</v>
      </c>
      <c r="F294" s="167">
        <f t="shared" si="37"/>
        <v>1729.8619142073044</v>
      </c>
    </row>
    <row r="295" spans="1:6" s="167" customFormat="1" ht="15.75" customHeight="1">
      <c r="A295" s="261" t="s">
        <v>123</v>
      </c>
      <c r="B295" s="167">
        <f>B294+'Tehachapi CWIP Balance'!D58</f>
        <v>824665.79893000005</v>
      </c>
      <c r="C295" s="167">
        <f t="shared" si="38"/>
        <v>50046.485105563508</v>
      </c>
      <c r="D295" s="167">
        <f t="shared" ref="D295:D304" si="40">SUM(B295:C295)</f>
        <v>874712.28403556359</v>
      </c>
      <c r="E295" s="167">
        <f>D294*($B$217/12)</f>
        <v>4348.1365057801213</v>
      </c>
      <c r="F295" s="167">
        <f t="shared" si="37"/>
        <v>1771.4308124548213</v>
      </c>
    </row>
    <row r="296" spans="1:6" s="167" customFormat="1" ht="15.75" customHeight="1">
      <c r="A296" s="261" t="s">
        <v>124</v>
      </c>
      <c r="B296" s="167">
        <f>B295+'Tehachapi CWIP Balance'!D59</f>
        <v>858587.34765000001</v>
      </c>
      <c r="C296" s="167">
        <f t="shared" si="38"/>
        <v>54602.278251582065</v>
      </c>
      <c r="D296" s="167">
        <f t="shared" si="40"/>
        <v>913189.62590158207</v>
      </c>
      <c r="E296" s="167">
        <f>D295*($B$217/12)</f>
        <v>4555.79314601856</v>
      </c>
      <c r="F296" s="167">
        <f t="shared" si="37"/>
        <v>1856.0301276879613</v>
      </c>
    </row>
    <row r="297" spans="1:6" s="167" customFormat="1" ht="16.5" customHeight="1">
      <c r="A297" s="261" t="s">
        <v>125</v>
      </c>
      <c r="B297" s="167">
        <f>B296+'Tehachapi CWIP Balance'!D60</f>
        <v>910039.91924000008</v>
      </c>
      <c r="C297" s="167">
        <f t="shared" si="38"/>
        <v>59358.474219819473</v>
      </c>
      <c r="D297" s="167">
        <f t="shared" si="40"/>
        <v>969398.39345981949</v>
      </c>
      <c r="E297" s="167">
        <f>D296*($B$217/12)</f>
        <v>4756.1959682374063</v>
      </c>
      <c r="F297" s="167">
        <f t="shared" si="37"/>
        <v>1937.6742374599191</v>
      </c>
    </row>
    <row r="298" spans="1:6" s="167" customFormat="1">
      <c r="A298" s="261" t="s">
        <v>126</v>
      </c>
      <c r="B298" s="167">
        <f>B297+'Tehachapi CWIP Balance'!D61</f>
        <v>949196.1359900001</v>
      </c>
      <c r="C298" s="167">
        <f t="shared" si="38"/>
        <v>64407.424185756034</v>
      </c>
      <c r="D298" s="167">
        <f t="shared" si="40"/>
        <v>1013603.5601757561</v>
      </c>
      <c r="E298" s="167">
        <f>D297*($B$218/12)</f>
        <v>5048.9499659365592</v>
      </c>
      <c r="F298" s="167">
        <f t="shared" si="37"/>
        <v>2056.9422161225543</v>
      </c>
    </row>
    <row r="299" spans="1:6" s="167" customFormat="1">
      <c r="A299" s="261"/>
    </row>
    <row r="300" spans="1:6" s="167" customFormat="1">
      <c r="A300" s="261" t="s">
        <v>127</v>
      </c>
      <c r="B300" s="167">
        <f>B298+'Tehachapi CWIP Balance'!B62</f>
        <v>1020066.14307</v>
      </c>
      <c r="C300" s="167">
        <f>C298+E300</f>
        <v>69686.609395004765</v>
      </c>
      <c r="D300" s="167">
        <f t="shared" si="40"/>
        <v>1089752.7524650048</v>
      </c>
      <c r="E300" s="167">
        <f>D298*($B$218/12)</f>
        <v>5279.1852092487297</v>
      </c>
      <c r="F300" s="167">
        <f t="shared" si="37"/>
        <v>2150.7400542479322</v>
      </c>
    </row>
    <row r="301" spans="1:6" ht="15.75" customHeight="1">
      <c r="A301" s="141" t="s">
        <v>224</v>
      </c>
      <c r="B301" s="290">
        <f>-'Tehachapi Transfer'!C10</f>
        <v>-18618.465119999993</v>
      </c>
      <c r="C301" s="290">
        <f>'Tehachapi Transfer'!J10</f>
        <v>-1268.5176060615393</v>
      </c>
      <c r="D301" s="289">
        <f>C301+B301</f>
        <v>-19886.982726061531</v>
      </c>
      <c r="E301" s="290"/>
      <c r="F301" s="290"/>
    </row>
    <row r="302" spans="1:6" ht="15.75" customHeight="1">
      <c r="A302" s="141" t="s">
        <v>225</v>
      </c>
      <c r="B302" s="135">
        <f>SUM(B300:B301)</f>
        <v>1001447.67795</v>
      </c>
      <c r="C302" s="135">
        <f>SUM(C300:C301)</f>
        <v>68418.091788943231</v>
      </c>
      <c r="D302" s="135">
        <f>SUM(D300:D301)</f>
        <v>1069865.7697389433</v>
      </c>
      <c r="E302" s="135">
        <f>SUM(E300:E301)</f>
        <v>5279.1852092487297</v>
      </c>
      <c r="F302" s="135">
        <f>SUM(F300:F301)</f>
        <v>2150.7400542479322</v>
      </c>
    </row>
    <row r="303" spans="1:6" s="167" customFormat="1">
      <c r="A303" s="261"/>
    </row>
    <row r="304" spans="1:6" s="167" customFormat="1">
      <c r="A304" s="358" t="s">
        <v>263</v>
      </c>
      <c r="B304" s="167">
        <f>B302+'Tehachapi CWIP Balance'!D63</f>
        <v>1057120.78624</v>
      </c>
      <c r="C304" s="167">
        <f>C302+E304</f>
        <v>73990.309339666899</v>
      </c>
      <c r="D304" s="167">
        <f t="shared" si="40"/>
        <v>1131111.095579667</v>
      </c>
      <c r="E304" s="167">
        <f>D302*($B$218/12)</f>
        <v>5572.2175507236625</v>
      </c>
      <c r="F304" s="167">
        <f t="shared" si="37"/>
        <v>2270.1214301648201</v>
      </c>
    </row>
    <row r="305" spans="1:7" s="167" customFormat="1" ht="15" customHeight="1" thickBot="1">
      <c r="E305" s="168"/>
      <c r="F305" s="168"/>
    </row>
    <row r="306" spans="1:7" ht="15" thickTop="1">
      <c r="A306" s="749"/>
      <c r="B306" s="766"/>
      <c r="C306" s="766"/>
      <c r="D306" s="766"/>
      <c r="E306" s="766"/>
      <c r="F306" s="766"/>
    </row>
    <row r="307" spans="1:7" ht="15.75">
      <c r="A307" s="749" t="s">
        <v>145</v>
      </c>
      <c r="B307" s="766"/>
      <c r="C307" s="766"/>
      <c r="D307" s="766"/>
      <c r="E307" s="766"/>
      <c r="F307" s="766"/>
    </row>
    <row r="308" spans="1:7">
      <c r="A308" s="749"/>
      <c r="B308" s="766"/>
      <c r="C308" s="766"/>
      <c r="D308" s="766"/>
      <c r="E308" s="766"/>
      <c r="F308" s="766"/>
    </row>
    <row r="310" spans="1:7" ht="15">
      <c r="A310" s="139" t="s">
        <v>138</v>
      </c>
    </row>
    <row r="311" spans="1:7" ht="28.5">
      <c r="A311" s="143" t="str">
        <f>A199</f>
        <v>Tehachapi</v>
      </c>
      <c r="B311" s="144" t="s">
        <v>139</v>
      </c>
      <c r="C311" s="144" t="s">
        <v>140</v>
      </c>
      <c r="D311" s="144" t="s">
        <v>141</v>
      </c>
      <c r="E311" s="169" t="s">
        <v>142</v>
      </c>
      <c r="F311" s="144" t="s">
        <v>143</v>
      </c>
    </row>
    <row r="312" spans="1:7" hidden="1" outlineLevel="1">
      <c r="A312" s="141" t="s">
        <v>117</v>
      </c>
      <c r="B312" s="135">
        <f>F234</f>
        <v>501.09323896007913</v>
      </c>
      <c r="C312" s="145">
        <f>B312</f>
        <v>501.09323896007913</v>
      </c>
      <c r="D312" s="146">
        <v>1</v>
      </c>
      <c r="E312" s="170"/>
      <c r="F312" s="145">
        <f>+C312*D312</f>
        <v>501.09323896007913</v>
      </c>
    </row>
    <row r="313" spans="1:7" hidden="1" outlineLevel="1">
      <c r="A313" s="141" t="s">
        <v>118</v>
      </c>
      <c r="B313" s="145">
        <v>0</v>
      </c>
      <c r="C313" s="145">
        <f>+C312+B313</f>
        <v>501.09323896007913</v>
      </c>
      <c r="D313" s="146">
        <f t="shared" ref="D313:D324" si="41">D312-(1/12)</f>
        <v>0.91666666666666663</v>
      </c>
      <c r="E313" s="170">
        <f>+B313*D313</f>
        <v>0</v>
      </c>
      <c r="F313" s="145">
        <f>+F312+E313</f>
        <v>501.09323896007913</v>
      </c>
    </row>
    <row r="314" spans="1:7" hidden="1" outlineLevel="1">
      <c r="A314" s="141" t="s">
        <v>119</v>
      </c>
      <c r="B314" s="145">
        <v>0</v>
      </c>
      <c r="C314" s="145">
        <f>+C313+B314</f>
        <v>501.09323896007913</v>
      </c>
      <c r="D314" s="146">
        <f t="shared" si="41"/>
        <v>0.83333333333333326</v>
      </c>
      <c r="E314" s="170">
        <f>+B314*D314</f>
        <v>0</v>
      </c>
      <c r="F314" s="145">
        <f>+F313+E314</f>
        <v>501.09323896007913</v>
      </c>
    </row>
    <row r="315" spans="1:7" s="167" customFormat="1" hidden="1" outlineLevel="1">
      <c r="A315" s="141" t="s">
        <v>120</v>
      </c>
      <c r="B315" s="145">
        <f t="shared" ref="B315:B324" si="42">+F235</f>
        <v>109.27099527815086</v>
      </c>
      <c r="C315" s="145">
        <f>+C314+B315</f>
        <v>610.36423423822998</v>
      </c>
      <c r="D315" s="146">
        <f t="shared" si="41"/>
        <v>0.74999999999999989</v>
      </c>
      <c r="E315" s="170">
        <f>+B315*D315</f>
        <v>81.953246458613137</v>
      </c>
      <c r="F315" s="145">
        <f>+F314+E315</f>
        <v>583.04648541869233</v>
      </c>
      <c r="G315" s="135"/>
    </row>
    <row r="316" spans="1:7" s="167" customFormat="1" hidden="1" outlineLevel="1">
      <c r="A316" s="141" t="s">
        <v>121</v>
      </c>
      <c r="B316" s="145">
        <f t="shared" si="42"/>
        <v>112.9438943285702</v>
      </c>
      <c r="C316" s="145">
        <f>+C315+B316</f>
        <v>723.30812856680018</v>
      </c>
      <c r="D316" s="146">
        <f t="shared" si="41"/>
        <v>0.66666666666666652</v>
      </c>
      <c r="E316" s="170">
        <f>+B316*D316</f>
        <v>75.295929552380116</v>
      </c>
      <c r="F316" s="145">
        <f>+F315+E316</f>
        <v>658.34241497107246</v>
      </c>
    </row>
    <row r="317" spans="1:7" hidden="1" outlineLevel="1">
      <c r="A317" s="141" t="s">
        <v>75</v>
      </c>
      <c r="B317" s="145">
        <f t="shared" si="42"/>
        <v>128.83722463276032</v>
      </c>
      <c r="C317" s="145">
        <f t="shared" ref="C317:C338" si="43">+C316+B317</f>
        <v>852.14535319956053</v>
      </c>
      <c r="D317" s="146">
        <f t="shared" si="41"/>
        <v>0.58333333333333315</v>
      </c>
      <c r="E317" s="170">
        <f t="shared" ref="E317:E345" si="44">+B317*D317</f>
        <v>75.155047702443497</v>
      </c>
      <c r="F317" s="145">
        <f t="shared" ref="F317:F339" si="45">+F316+E317</f>
        <v>733.497462673516</v>
      </c>
    </row>
    <row r="318" spans="1:7" hidden="1" outlineLevel="1">
      <c r="A318" s="141" t="s">
        <v>122</v>
      </c>
      <c r="B318" s="145">
        <f t="shared" si="42"/>
        <v>150.97314661928044</v>
      </c>
      <c r="C318" s="145">
        <f t="shared" si="43"/>
        <v>1003.118499818841</v>
      </c>
      <c r="D318" s="146">
        <f t="shared" si="41"/>
        <v>0.49999999999999983</v>
      </c>
      <c r="E318" s="170">
        <f t="shared" si="44"/>
        <v>75.486573309640193</v>
      </c>
      <c r="F318" s="145">
        <f t="shared" si="45"/>
        <v>808.98403598315622</v>
      </c>
    </row>
    <row r="319" spans="1:7" hidden="1" outlineLevel="1">
      <c r="A319" s="141" t="s">
        <v>123</v>
      </c>
      <c r="B319" s="145">
        <f t="shared" si="42"/>
        <v>188.93082797886532</v>
      </c>
      <c r="C319" s="145">
        <f t="shared" si="43"/>
        <v>1192.0493277977064</v>
      </c>
      <c r="D319" s="146">
        <f t="shared" si="41"/>
        <v>0.41666666666666652</v>
      </c>
      <c r="E319" s="170">
        <f t="shared" si="44"/>
        <v>78.721178324527187</v>
      </c>
      <c r="F319" s="145">
        <f t="shared" si="45"/>
        <v>887.70521430768338</v>
      </c>
    </row>
    <row r="320" spans="1:7" hidden="1" outlineLevel="1">
      <c r="A320" s="141" t="s">
        <v>124</v>
      </c>
      <c r="B320" s="145">
        <f t="shared" si="42"/>
        <v>213.7389800131734</v>
      </c>
      <c r="C320" s="145">
        <f t="shared" si="43"/>
        <v>1405.7883078108798</v>
      </c>
      <c r="D320" s="146">
        <f t="shared" si="41"/>
        <v>0.3333333333333332</v>
      </c>
      <c r="E320" s="170">
        <f t="shared" si="44"/>
        <v>71.246326671057773</v>
      </c>
      <c r="F320" s="145">
        <f t="shared" si="45"/>
        <v>958.95154097874115</v>
      </c>
    </row>
    <row r="321" spans="1:6" hidden="1" outlineLevel="1">
      <c r="A321" s="261" t="s">
        <v>125</v>
      </c>
      <c r="B321" s="170">
        <f t="shared" si="42"/>
        <v>254.06507799707205</v>
      </c>
      <c r="C321" s="170">
        <f t="shared" si="43"/>
        <v>1659.8533858079518</v>
      </c>
      <c r="D321" s="271">
        <f t="shared" si="41"/>
        <v>0.24999999999999989</v>
      </c>
      <c r="E321" s="170">
        <f t="shared" si="44"/>
        <v>63.516269499267985</v>
      </c>
      <c r="F321" s="170">
        <f t="shared" si="45"/>
        <v>1022.4678104780091</v>
      </c>
    </row>
    <row r="322" spans="1:6" hidden="1" outlineLevel="1">
      <c r="A322" s="141" t="s">
        <v>126</v>
      </c>
      <c r="B322" s="145">
        <f t="shared" si="42"/>
        <v>271.16979584631935</v>
      </c>
      <c r="C322" s="145">
        <f t="shared" si="43"/>
        <v>1931.0231816542712</v>
      </c>
      <c r="D322" s="146">
        <f t="shared" si="41"/>
        <v>0.16666666666666657</v>
      </c>
      <c r="E322" s="170">
        <f t="shared" si="44"/>
        <v>45.194965974386534</v>
      </c>
      <c r="F322" s="145">
        <f t="shared" si="45"/>
        <v>1067.6627764523957</v>
      </c>
    </row>
    <row r="323" spans="1:6" hidden="1" outlineLevel="1">
      <c r="A323" s="141" t="s">
        <v>127</v>
      </c>
      <c r="B323" s="145">
        <f t="shared" si="42"/>
        <v>319.89147398025841</v>
      </c>
      <c r="C323" s="145">
        <f t="shared" si="43"/>
        <v>2250.9146556345295</v>
      </c>
      <c r="D323" s="146">
        <f t="shared" si="41"/>
        <v>8.3333333333333245E-2</v>
      </c>
      <c r="E323" s="170">
        <f t="shared" si="44"/>
        <v>26.657622831688172</v>
      </c>
      <c r="F323" s="145">
        <f t="shared" si="45"/>
        <v>1094.320399284084</v>
      </c>
    </row>
    <row r="324" spans="1:6" hidden="1" outlineLevel="1">
      <c r="A324" s="141" t="s">
        <v>128</v>
      </c>
      <c r="B324" s="145">
        <f t="shared" si="42"/>
        <v>334.50449595839507</v>
      </c>
      <c r="C324" s="145">
        <f t="shared" si="43"/>
        <v>2585.4191515929247</v>
      </c>
      <c r="D324" s="146">
        <f t="shared" si="41"/>
        <v>0</v>
      </c>
      <c r="E324" s="170">
        <f t="shared" si="44"/>
        <v>0</v>
      </c>
      <c r="F324" s="243">
        <f t="shared" si="45"/>
        <v>1094.320399284084</v>
      </c>
    </row>
    <row r="325" spans="1:6" ht="15" hidden="1" outlineLevel="1" thickBot="1">
      <c r="A325" s="141" t="s">
        <v>200</v>
      </c>
      <c r="B325" s="150">
        <f>SUM(B312:B324)</f>
        <v>2585.4191515929247</v>
      </c>
      <c r="D325" s="759" t="s">
        <v>193</v>
      </c>
      <c r="E325" s="759"/>
      <c r="F325" s="142">
        <f>SUM(F312:F324)/13</f>
        <v>800.96755820859028</v>
      </c>
    </row>
    <row r="326" spans="1:6" ht="15" hidden="1" outlineLevel="1" thickTop="1">
      <c r="A326" s="141"/>
      <c r="B326" s="145"/>
      <c r="C326" s="145"/>
      <c r="D326" s="146"/>
      <c r="E326" s="170"/>
      <c r="F326" s="243"/>
    </row>
    <row r="327" spans="1:6" hidden="1" outlineLevel="1" collapsed="1">
      <c r="A327" s="261" t="s">
        <v>189</v>
      </c>
      <c r="B327" s="170">
        <f>+F247</f>
        <v>450.99914377293868</v>
      </c>
      <c r="C327" s="170">
        <f>+C324+B327</f>
        <v>3036.4182953658633</v>
      </c>
      <c r="D327" s="271">
        <f>D313</f>
        <v>0.91666666666666663</v>
      </c>
      <c r="E327" s="170">
        <f t="shared" si="44"/>
        <v>413.41588179186044</v>
      </c>
      <c r="F327" s="272">
        <f>+F324+E327</f>
        <v>1507.7362810759446</v>
      </c>
    </row>
    <row r="328" spans="1:6" hidden="1" outlineLevel="1">
      <c r="A328" s="141" t="s">
        <v>119</v>
      </c>
      <c r="B328" s="145">
        <f>+F248</f>
        <v>462.84834270181511</v>
      </c>
      <c r="C328" s="145">
        <f t="shared" si="43"/>
        <v>3499.2666380676783</v>
      </c>
      <c r="D328" s="146">
        <f t="shared" ref="D328:D339" si="46">D327-(1/12)</f>
        <v>0.83333333333333326</v>
      </c>
      <c r="E328" s="170">
        <f t="shared" si="44"/>
        <v>385.70695225151258</v>
      </c>
      <c r="F328" s="243">
        <f t="shared" si="45"/>
        <v>1893.4432333274572</v>
      </c>
    </row>
    <row r="329" spans="1:6" hidden="1" outlineLevel="1">
      <c r="A329" s="141" t="s">
        <v>120</v>
      </c>
      <c r="B329" s="145">
        <f>+F249</f>
        <v>470.91573548694186</v>
      </c>
      <c r="C329" s="145">
        <f t="shared" si="43"/>
        <v>3970.18237355462</v>
      </c>
      <c r="D329" s="146">
        <f t="shared" si="46"/>
        <v>0.74999999999999989</v>
      </c>
      <c r="E329" s="170">
        <f t="shared" si="44"/>
        <v>353.18680161520632</v>
      </c>
      <c r="F329" s="243">
        <f t="shared" si="45"/>
        <v>2246.6300349426633</v>
      </c>
    </row>
    <row r="330" spans="1:6" hidden="1" outlineLevel="1">
      <c r="A330" s="141" t="s">
        <v>121</v>
      </c>
      <c r="B330" s="145">
        <f>+F250</f>
        <v>514.09433304446986</v>
      </c>
      <c r="C330" s="145">
        <f t="shared" si="43"/>
        <v>4484.2767065990902</v>
      </c>
      <c r="D330" s="146">
        <f t="shared" si="46"/>
        <v>0.66666666666666652</v>
      </c>
      <c r="E330" s="170">
        <f t="shared" si="44"/>
        <v>342.72955536297985</v>
      </c>
      <c r="F330" s="243">
        <f t="shared" si="45"/>
        <v>2589.359590305643</v>
      </c>
    </row>
    <row r="331" spans="1:6" hidden="1" outlineLevel="1">
      <c r="A331" s="141"/>
      <c r="B331" s="145"/>
      <c r="C331" s="145"/>
      <c r="D331" s="146"/>
      <c r="E331" s="170"/>
      <c r="F331" s="243"/>
    </row>
    <row r="332" spans="1:6" hidden="1" outlineLevel="1">
      <c r="A332" s="141" t="s">
        <v>75</v>
      </c>
      <c r="B332" s="145">
        <f>+F252</f>
        <v>560.05729750342448</v>
      </c>
      <c r="C332" s="145">
        <f>+C330+B332</f>
        <v>5044.3340041025149</v>
      </c>
      <c r="D332" s="146">
        <f>D330-(1/12)</f>
        <v>0.58333333333333315</v>
      </c>
      <c r="E332" s="170">
        <f t="shared" si="44"/>
        <v>326.70009021033087</v>
      </c>
      <c r="F332" s="243">
        <f>+F330+E332</f>
        <v>2916.0596805159739</v>
      </c>
    </row>
    <row r="333" spans="1:6" hidden="1" outlineLevel="1">
      <c r="A333" s="141" t="s">
        <v>212</v>
      </c>
      <c r="B333" s="289">
        <f>'Tehachapi Transfer'!F6</f>
        <v>-32.988250586693283</v>
      </c>
      <c r="C333" s="289">
        <f>B333</f>
        <v>-32.988250586693283</v>
      </c>
      <c r="D333" s="146">
        <f>D332</f>
        <v>0.58333333333333315</v>
      </c>
      <c r="E333" s="291">
        <f>D333*B333</f>
        <v>-19.243146175571077</v>
      </c>
      <c r="F333" s="291">
        <f>E333</f>
        <v>-19.243146175571077</v>
      </c>
    </row>
    <row r="334" spans="1:6" hidden="1" outlineLevel="1">
      <c r="A334" s="141" t="s">
        <v>213</v>
      </c>
      <c r="B334" s="145">
        <f>SUM(B332:B333)</f>
        <v>527.06904691673117</v>
      </c>
      <c r="C334" s="145">
        <f>SUM(C332:C333)</f>
        <v>5011.3457535158213</v>
      </c>
      <c r="D334" s="146">
        <f>D333</f>
        <v>0.58333333333333315</v>
      </c>
      <c r="E334" s="145">
        <f>SUM(E332:E333)</f>
        <v>307.45694403475977</v>
      </c>
      <c r="F334" s="145">
        <f>SUM(F332:F333)</f>
        <v>2896.816534340403</v>
      </c>
    </row>
    <row r="335" spans="1:6" hidden="1" outlineLevel="1">
      <c r="A335" s="141"/>
      <c r="B335" s="145"/>
      <c r="C335" s="145"/>
      <c r="D335" s="146"/>
      <c r="E335" s="170"/>
      <c r="F335" s="243"/>
    </row>
    <row r="336" spans="1:6" hidden="1" outlineLevel="1">
      <c r="A336" s="141" t="s">
        <v>122</v>
      </c>
      <c r="B336" s="145">
        <f>+F256</f>
        <v>619.88412072769972</v>
      </c>
      <c r="C336" s="145">
        <f>+C334+B336</f>
        <v>5631.2298742435214</v>
      </c>
      <c r="D336" s="146">
        <f>D332-(1/12)</f>
        <v>0.49999999999999983</v>
      </c>
      <c r="E336" s="170">
        <f t="shared" si="44"/>
        <v>309.94206036384975</v>
      </c>
      <c r="F336" s="243">
        <f>+F334+E336</f>
        <v>3206.7585947042526</v>
      </c>
    </row>
    <row r="337" spans="1:7" hidden="1" outlineLevel="1">
      <c r="A337" s="141" t="s">
        <v>123</v>
      </c>
      <c r="B337" s="145">
        <f>+F257</f>
        <v>677.57058589494784</v>
      </c>
      <c r="C337" s="145">
        <f t="shared" si="43"/>
        <v>6308.8004601384691</v>
      </c>
      <c r="D337" s="146">
        <f t="shared" si="46"/>
        <v>0.41666666666666652</v>
      </c>
      <c r="E337" s="170">
        <f t="shared" si="44"/>
        <v>282.32107745622818</v>
      </c>
      <c r="F337" s="243">
        <f t="shared" si="45"/>
        <v>3489.0796721604806</v>
      </c>
    </row>
    <row r="338" spans="1:7" hidden="1" outlineLevel="1">
      <c r="A338" s="141" t="s">
        <v>124</v>
      </c>
      <c r="B338" s="145">
        <f>+F258</f>
        <v>734.50298945713985</v>
      </c>
      <c r="C338" s="145">
        <f t="shared" si="43"/>
        <v>7043.303449595609</v>
      </c>
      <c r="D338" s="146">
        <f t="shared" si="46"/>
        <v>0.3333333333333332</v>
      </c>
      <c r="E338" s="170">
        <f t="shared" si="44"/>
        <v>244.83432981904653</v>
      </c>
      <c r="F338" s="243">
        <f t="shared" si="45"/>
        <v>3733.9140019795273</v>
      </c>
    </row>
    <row r="339" spans="1:7" hidden="1" outlineLevel="1">
      <c r="A339" s="141" t="s">
        <v>125</v>
      </c>
      <c r="B339" s="145">
        <f>+F259</f>
        <v>755.28421000134324</v>
      </c>
      <c r="C339" s="145">
        <f>+C338+B339</f>
        <v>7798.5876595969521</v>
      </c>
      <c r="D339" s="146">
        <f t="shared" si="46"/>
        <v>0.24999999999999989</v>
      </c>
      <c r="E339" s="170">
        <f t="shared" si="44"/>
        <v>188.82105250033572</v>
      </c>
      <c r="F339" s="243">
        <f t="shared" si="45"/>
        <v>3922.7350544798628</v>
      </c>
    </row>
    <row r="340" spans="1:7" hidden="1" outlineLevel="1">
      <c r="A340" s="141"/>
      <c r="B340" s="145"/>
      <c r="C340" s="145"/>
      <c r="D340" s="146"/>
      <c r="E340" s="170"/>
      <c r="F340" s="243"/>
    </row>
    <row r="341" spans="1:7" hidden="1" outlineLevel="1">
      <c r="A341" s="141" t="s">
        <v>126</v>
      </c>
      <c r="B341" s="145">
        <f>+F261</f>
        <v>803.97312411097778</v>
      </c>
      <c r="C341" s="145">
        <f>+C339+B341</f>
        <v>8602.5607837079297</v>
      </c>
      <c r="D341" s="146">
        <f>D339-(1/12)</f>
        <v>0.16666666666666657</v>
      </c>
      <c r="E341" s="170">
        <f t="shared" si="44"/>
        <v>133.99552068516289</v>
      </c>
      <c r="F341" s="243">
        <f>+F339+E341</f>
        <v>4056.7305751650256</v>
      </c>
    </row>
    <row r="342" spans="1:7" hidden="1" outlineLevel="1">
      <c r="A342" s="141" t="s">
        <v>222</v>
      </c>
      <c r="B342" s="289">
        <f>'Tehachapi Transfer'!F7</f>
        <v>-2887.1190820225975</v>
      </c>
      <c r="C342" s="289">
        <f>B342</f>
        <v>-2887.1190820225975</v>
      </c>
      <c r="D342" s="146">
        <f>D341</f>
        <v>0.16666666666666657</v>
      </c>
      <c r="E342" s="291">
        <f>D342*B342</f>
        <v>-481.18651367043265</v>
      </c>
      <c r="F342" s="291">
        <f>E342</f>
        <v>-481.18651367043265</v>
      </c>
      <c r="G342" s="167"/>
    </row>
    <row r="343" spans="1:7" hidden="1" outlineLevel="1">
      <c r="A343" s="141" t="s">
        <v>223</v>
      </c>
      <c r="B343" s="298">
        <f>SUM(B341:B342)</f>
        <v>-2083.1459579116199</v>
      </c>
      <c r="C343" s="298">
        <f>SUM(C341:C342)</f>
        <v>5715.4417016853322</v>
      </c>
      <c r="D343" s="146">
        <f>D342</f>
        <v>0.16666666666666657</v>
      </c>
      <c r="E343" s="298">
        <f>SUM(E341:E342)</f>
        <v>-347.19099298526976</v>
      </c>
      <c r="F343" s="298">
        <f>SUM(F341:F342)</f>
        <v>3575.5440614945928</v>
      </c>
    </row>
    <row r="344" spans="1:7" hidden="1" outlineLevel="1">
      <c r="A344" s="141"/>
      <c r="B344" s="145"/>
      <c r="C344" s="145"/>
      <c r="D344" s="146"/>
      <c r="E344" s="170"/>
      <c r="F344" s="243"/>
    </row>
    <row r="345" spans="1:7" hidden="1" outlineLevel="2">
      <c r="A345" s="141" t="s">
        <v>127</v>
      </c>
      <c r="B345" s="145">
        <f>+F265</f>
        <v>534.96699581395842</v>
      </c>
      <c r="C345" s="170">
        <f>+C343+B345</f>
        <v>6250.4086974992906</v>
      </c>
      <c r="D345" s="146">
        <f>D341-(1/12)</f>
        <v>8.3333333333333245E-2</v>
      </c>
      <c r="E345" s="170">
        <f t="shared" si="44"/>
        <v>44.580582984496488</v>
      </c>
      <c r="F345" s="243">
        <f>+F343+E345</f>
        <v>3620.1246444790895</v>
      </c>
    </row>
    <row r="346" spans="1:7" hidden="1" outlineLevel="2">
      <c r="A346" s="141" t="s">
        <v>224</v>
      </c>
      <c r="B346" s="289">
        <f>'Tehachapi Transfer'!F8</f>
        <v>-2000.7960429082489</v>
      </c>
      <c r="C346" s="289">
        <f>B346</f>
        <v>-2000.7960429082489</v>
      </c>
      <c r="D346" s="146">
        <f>D345</f>
        <v>8.3333333333333245E-2</v>
      </c>
      <c r="E346" s="291">
        <f>D346*B346</f>
        <v>-166.73300357568723</v>
      </c>
      <c r="F346" s="291">
        <f>E346</f>
        <v>-166.73300357568723</v>
      </c>
    </row>
    <row r="347" spans="1:7" hidden="1" outlineLevel="2">
      <c r="A347" s="141" t="s">
        <v>225</v>
      </c>
      <c r="B347" s="298">
        <f>SUM(B345:B346)</f>
        <v>-1465.8290470942904</v>
      </c>
      <c r="C347" s="298">
        <f>SUM(C345:C346)</f>
        <v>4249.612654591042</v>
      </c>
      <c r="D347" s="146">
        <f>D346</f>
        <v>8.3333333333333245E-2</v>
      </c>
      <c r="E347" s="298">
        <f>SUM(E345:E346)</f>
        <v>-122.15242059119075</v>
      </c>
      <c r="F347" s="298">
        <f>SUM(F345:F346)</f>
        <v>3453.3916409034023</v>
      </c>
    </row>
    <row r="348" spans="1:7" hidden="1" outlineLevel="2">
      <c r="A348" s="141"/>
      <c r="B348" s="145"/>
      <c r="C348" s="145"/>
      <c r="D348" s="146"/>
      <c r="E348" s="170"/>
      <c r="F348" s="243"/>
    </row>
    <row r="349" spans="1:7" hidden="1" outlineLevel="1">
      <c r="A349" s="141" t="s">
        <v>190</v>
      </c>
      <c r="B349" s="145">
        <f>+F269</f>
        <v>363.7512664828418</v>
      </c>
      <c r="C349" s="243">
        <f>+C347+B349</f>
        <v>4613.3639210738838</v>
      </c>
      <c r="D349" s="146">
        <f>D345-(1/12)</f>
        <v>0</v>
      </c>
      <c r="E349" s="170">
        <f>+B349*D349</f>
        <v>0</v>
      </c>
      <c r="F349" s="243">
        <f>+F347+E349</f>
        <v>3453.3916409034023</v>
      </c>
    </row>
    <row r="350" spans="1:7" hidden="1" outlineLevel="1">
      <c r="A350" s="141" t="s">
        <v>230</v>
      </c>
      <c r="B350" s="290">
        <f>'Tehachapi Transfer'!F9</f>
        <v>-1606.7611951203999</v>
      </c>
      <c r="C350" s="289">
        <f>B350</f>
        <v>-1606.7611951203999</v>
      </c>
      <c r="D350" s="146">
        <f>D346-(1/12)</f>
        <v>0</v>
      </c>
      <c r="E350" s="291">
        <f>D350*B350</f>
        <v>0</v>
      </c>
      <c r="F350" s="291">
        <f>E350</f>
        <v>0</v>
      </c>
    </row>
    <row r="351" spans="1:7" hidden="1" outlineLevel="1">
      <c r="A351" s="141" t="s">
        <v>231</v>
      </c>
      <c r="B351" s="298">
        <f>SUM(B349:B350)</f>
        <v>-1243.009928637558</v>
      </c>
      <c r="C351" s="298">
        <f>SUM(C349:C350)</f>
        <v>3006.602725953484</v>
      </c>
      <c r="D351" s="310"/>
      <c r="E351" s="298">
        <f>SUM(E349:E350)</f>
        <v>0</v>
      </c>
      <c r="F351" s="298">
        <f>SUM(F349:F350)</f>
        <v>3453.3916409034023</v>
      </c>
    </row>
    <row r="352" spans="1:7" hidden="1" outlineLevel="1">
      <c r="A352" s="141"/>
      <c r="B352" s="145"/>
      <c r="C352" s="243"/>
      <c r="D352" s="146"/>
      <c r="E352" s="170"/>
      <c r="F352" s="243"/>
    </row>
    <row r="353" spans="1:7" ht="15" hidden="1" outlineLevel="2" thickBot="1">
      <c r="A353" s="357" t="s">
        <v>283</v>
      </c>
      <c r="B353" s="150">
        <f>SUM(B327:B330)+B334+SUM(B336:B339)+B343+B347+B351</f>
        <v>421.18357436055953</v>
      </c>
      <c r="D353" s="758" t="s">
        <v>284</v>
      </c>
      <c r="E353" s="759"/>
      <c r="F353" s="142">
        <f>(SUM(F327:F330)+F334+SUM(F336:F339)+F343+F347+F351)/12</f>
        <v>2997.4000283848031</v>
      </c>
    </row>
    <row r="354" spans="1:7" hidden="1" outlineLevel="1" collapsed="1">
      <c r="A354" s="149"/>
    </row>
    <row r="355" spans="1:7" s="167" customFormat="1" hidden="1" outlineLevel="1">
      <c r="A355" s="261" t="s">
        <v>226</v>
      </c>
      <c r="B355" s="170">
        <f t="shared" ref="B355:B366" si="47">+F275</f>
        <v>240.02833538613896</v>
      </c>
      <c r="C355" s="170">
        <f>+C351+B355</f>
        <v>3246.6310613396231</v>
      </c>
      <c r="D355" s="271">
        <f>D313</f>
        <v>0.91666666666666663</v>
      </c>
      <c r="E355" s="170">
        <f>+B355*D355</f>
        <v>220.02597410396072</v>
      </c>
      <c r="F355" s="170">
        <f>+F351+E355</f>
        <v>3673.4176150073631</v>
      </c>
    </row>
    <row r="356" spans="1:7" hidden="1" outlineLevel="1">
      <c r="A356" s="141" t="s">
        <v>119</v>
      </c>
      <c r="B356" s="170">
        <f t="shared" si="47"/>
        <v>267.08457686369178</v>
      </c>
      <c r="C356" s="170">
        <f t="shared" ref="C356:C366" si="48">+C355+B356</f>
        <v>3513.7156382033149</v>
      </c>
      <c r="D356" s="271">
        <f t="shared" ref="D356:D366" si="49">D355-(1/12)</f>
        <v>0.83333333333333326</v>
      </c>
      <c r="E356" s="170">
        <f t="shared" ref="E356:E366" si="50">+B356*D356</f>
        <v>222.57048071974313</v>
      </c>
      <c r="F356" s="170">
        <f>+F355+E356</f>
        <v>3895.9880957271062</v>
      </c>
    </row>
    <row r="357" spans="1:7" s="167" customFormat="1" hidden="1" outlineLevel="1">
      <c r="A357" s="141" t="s">
        <v>120</v>
      </c>
      <c r="B357" s="170">
        <f t="shared" si="47"/>
        <v>314.48495894231513</v>
      </c>
      <c r="C357" s="170">
        <f t="shared" si="48"/>
        <v>3828.2005971456301</v>
      </c>
      <c r="D357" s="271">
        <f t="shared" si="49"/>
        <v>0.74999999999999989</v>
      </c>
      <c r="E357" s="170">
        <f t="shared" si="50"/>
        <v>235.86371920673631</v>
      </c>
      <c r="F357" s="170">
        <f t="shared" ref="F357:F366" si="51">+F356+E357</f>
        <v>4131.8518149338424</v>
      </c>
      <c r="G357" s="135"/>
    </row>
    <row r="358" spans="1:7" s="167" customFormat="1" hidden="1" outlineLevel="1">
      <c r="A358" s="141" t="s">
        <v>121</v>
      </c>
      <c r="B358" s="170">
        <f t="shared" si="47"/>
        <v>348.24877055288965</v>
      </c>
      <c r="C358" s="170">
        <f t="shared" si="48"/>
        <v>4176.4493676985194</v>
      </c>
      <c r="D358" s="271">
        <f t="shared" si="49"/>
        <v>0.66666666666666652</v>
      </c>
      <c r="E358" s="170">
        <f t="shared" si="50"/>
        <v>232.16584703525973</v>
      </c>
      <c r="F358" s="170">
        <f t="shared" si="51"/>
        <v>4364.0176619691019</v>
      </c>
    </row>
    <row r="359" spans="1:7" hidden="1" outlineLevel="1">
      <c r="A359" s="141" t="s">
        <v>75</v>
      </c>
      <c r="B359" s="170">
        <f t="shared" si="47"/>
        <v>408.56600123410271</v>
      </c>
      <c r="C359" s="170">
        <f t="shared" si="48"/>
        <v>4585.0153689326216</v>
      </c>
      <c r="D359" s="271">
        <f t="shared" si="49"/>
        <v>0.58333333333333315</v>
      </c>
      <c r="E359" s="170">
        <f t="shared" si="50"/>
        <v>238.33016738655985</v>
      </c>
      <c r="F359" s="170">
        <f t="shared" si="51"/>
        <v>4602.3478293556618</v>
      </c>
    </row>
    <row r="360" spans="1:7" hidden="1" outlineLevel="1">
      <c r="A360" s="141" t="s">
        <v>122</v>
      </c>
      <c r="B360" s="170">
        <f t="shared" si="47"/>
        <v>479.41755759848866</v>
      </c>
      <c r="C360" s="170">
        <f>+C359+B360</f>
        <v>5064.4329265311098</v>
      </c>
      <c r="D360" s="271">
        <f t="shared" si="49"/>
        <v>0.49999999999999983</v>
      </c>
      <c r="E360" s="170">
        <f t="shared" si="50"/>
        <v>239.70877879924424</v>
      </c>
      <c r="F360" s="170">
        <f t="shared" si="51"/>
        <v>4842.0566081549059</v>
      </c>
    </row>
    <row r="361" spans="1:7" hidden="1" outlineLevel="1">
      <c r="A361" s="141" t="s">
        <v>123</v>
      </c>
      <c r="B361" s="170">
        <f t="shared" si="47"/>
        <v>534.1545352805224</v>
      </c>
      <c r="C361" s="170">
        <f t="shared" si="48"/>
        <v>5598.5874618116322</v>
      </c>
      <c r="D361" s="271">
        <f t="shared" si="49"/>
        <v>0.41666666666666652</v>
      </c>
      <c r="E361" s="170">
        <f t="shared" si="50"/>
        <v>222.56438970021759</v>
      </c>
      <c r="F361" s="170">
        <f t="shared" si="51"/>
        <v>5064.6209978551233</v>
      </c>
    </row>
    <row r="362" spans="1:7" hidden="1" outlineLevel="1">
      <c r="A362" s="141" t="s">
        <v>124</v>
      </c>
      <c r="B362" s="170">
        <f t="shared" si="47"/>
        <v>655.88538189635847</v>
      </c>
      <c r="C362" s="170">
        <f t="shared" si="48"/>
        <v>6254.4728437079903</v>
      </c>
      <c r="D362" s="271">
        <f t="shared" si="49"/>
        <v>0.3333333333333332</v>
      </c>
      <c r="E362" s="170">
        <f t="shared" si="50"/>
        <v>218.62846063211941</v>
      </c>
      <c r="F362" s="170">
        <f t="shared" si="51"/>
        <v>5283.2494584872429</v>
      </c>
    </row>
    <row r="363" spans="1:7" hidden="1" outlineLevel="1">
      <c r="A363" s="261" t="s">
        <v>125</v>
      </c>
      <c r="B363" s="170">
        <f t="shared" si="47"/>
        <v>734.66881027552699</v>
      </c>
      <c r="C363" s="170">
        <f t="shared" si="48"/>
        <v>6989.1416539835172</v>
      </c>
      <c r="D363" s="271">
        <f t="shared" si="49"/>
        <v>0.24999999999999989</v>
      </c>
      <c r="E363" s="170">
        <f t="shared" si="50"/>
        <v>183.66720256888166</v>
      </c>
      <c r="F363" s="170">
        <f t="shared" si="51"/>
        <v>5466.9166610561242</v>
      </c>
    </row>
    <row r="364" spans="1:7" collapsed="1">
      <c r="A364" s="141" t="s">
        <v>126</v>
      </c>
      <c r="B364" s="170">
        <f t="shared" si="47"/>
        <v>809.02243761983698</v>
      </c>
      <c r="C364" s="170">
        <f t="shared" si="48"/>
        <v>7798.1640916033539</v>
      </c>
      <c r="D364" s="271">
        <f t="shared" si="49"/>
        <v>0.16666666666666657</v>
      </c>
      <c r="E364" s="170">
        <f t="shared" si="50"/>
        <v>134.83707293663943</v>
      </c>
      <c r="F364" s="170">
        <f t="shared" si="51"/>
        <v>5601.753733992764</v>
      </c>
      <c r="G364" s="167"/>
    </row>
    <row r="365" spans="1:7">
      <c r="A365" s="141" t="s">
        <v>127</v>
      </c>
      <c r="B365" s="170">
        <f t="shared" si="47"/>
        <v>894.07821798364853</v>
      </c>
      <c r="C365" s="170">
        <f t="shared" si="48"/>
        <v>8692.2423095870017</v>
      </c>
      <c r="D365" s="271">
        <f t="shared" si="49"/>
        <v>8.3333333333333245E-2</v>
      </c>
      <c r="E365" s="170">
        <f t="shared" si="50"/>
        <v>74.506518165303959</v>
      </c>
      <c r="F365" s="170">
        <f t="shared" si="51"/>
        <v>5676.2602521580675</v>
      </c>
    </row>
    <row r="366" spans="1:7">
      <c r="A366" s="141" t="s">
        <v>227</v>
      </c>
      <c r="B366" s="170">
        <f t="shared" si="47"/>
        <v>1022.1732339165635</v>
      </c>
      <c r="C366" s="170">
        <f t="shared" si="48"/>
        <v>9714.4155435035645</v>
      </c>
      <c r="D366" s="271">
        <f t="shared" si="49"/>
        <v>0</v>
      </c>
      <c r="E366" s="170">
        <f t="shared" si="50"/>
        <v>0</v>
      </c>
      <c r="F366" s="272">
        <f t="shared" si="51"/>
        <v>5676.2602521580675</v>
      </c>
    </row>
    <row r="367" spans="1:7" ht="15" hidden="1" outlineLevel="1" thickBot="1">
      <c r="A367" s="357" t="s">
        <v>283</v>
      </c>
      <c r="B367" s="150">
        <f>SUM(B355:B366)</f>
        <v>6707.8128175500842</v>
      </c>
      <c r="D367" s="758" t="s">
        <v>284</v>
      </c>
      <c r="E367" s="759"/>
      <c r="F367" s="142">
        <f>SUM(F355:F366)/12</f>
        <v>4856.5617484046152</v>
      </c>
    </row>
    <row r="368" spans="1:7" collapsed="1">
      <c r="A368" s="149"/>
    </row>
    <row r="369" spans="1:6" s="167" customFormat="1">
      <c r="A369" s="358" t="s">
        <v>262</v>
      </c>
      <c r="B369" s="170">
        <f t="shared" ref="B369:B378" si="52">+F289</f>
        <v>1231.4019925484772</v>
      </c>
      <c r="C369" s="170">
        <f>+C366+B369</f>
        <v>10945.817536052042</v>
      </c>
      <c r="D369" s="271">
        <f>D355</f>
        <v>0.91666666666666663</v>
      </c>
      <c r="E369" s="170">
        <f>+B369*D369</f>
        <v>1128.785159836104</v>
      </c>
      <c r="F369" s="170">
        <f>+F366+E369</f>
        <v>6805.0454119941714</v>
      </c>
    </row>
    <row r="370" spans="1:6" s="167" customFormat="1">
      <c r="A370" s="261" t="s">
        <v>119</v>
      </c>
      <c r="B370" s="170">
        <f t="shared" si="52"/>
        <v>1293.8850712068445</v>
      </c>
      <c r="C370" s="170">
        <f>+C369+B370</f>
        <v>12239.702607258887</v>
      </c>
      <c r="D370" s="271">
        <f t="shared" ref="D370:D378" si="53">D369-(1/12)</f>
        <v>0.83333333333333326</v>
      </c>
      <c r="E370" s="170">
        <f t="shared" ref="E370:E384" si="54">+B370*D370</f>
        <v>1078.237559339037</v>
      </c>
      <c r="F370" s="170">
        <f t="shared" ref="F370:F378" si="55">+F369+E370</f>
        <v>7883.2829713332085</v>
      </c>
    </row>
    <row r="371" spans="1:6" s="167" customFormat="1">
      <c r="A371" s="261" t="s">
        <v>120</v>
      </c>
      <c r="B371" s="170">
        <f t="shared" si="52"/>
        <v>1396.171883014682</v>
      </c>
      <c r="C371" s="170">
        <f>+C370+B371</f>
        <v>13635.874490273569</v>
      </c>
      <c r="D371" s="271">
        <f t="shared" si="53"/>
        <v>0.74999999999999989</v>
      </c>
      <c r="E371" s="170">
        <f t="shared" si="54"/>
        <v>1047.1289122610112</v>
      </c>
      <c r="F371" s="170">
        <f t="shared" si="55"/>
        <v>8930.411883594219</v>
      </c>
    </row>
    <row r="372" spans="1:6" s="167" customFormat="1">
      <c r="A372" s="261" t="s">
        <v>121</v>
      </c>
      <c r="B372" s="170">
        <f t="shared" si="52"/>
        <v>1514.5544246296126</v>
      </c>
      <c r="C372" s="170">
        <f>+C371+B372</f>
        <v>15150.428914903181</v>
      </c>
      <c r="D372" s="271">
        <f t="shared" si="53"/>
        <v>0.66666666666666652</v>
      </c>
      <c r="E372" s="170">
        <f t="shared" si="54"/>
        <v>1009.7029497530749</v>
      </c>
      <c r="F372" s="170">
        <f t="shared" si="55"/>
        <v>9940.1148333472938</v>
      </c>
    </row>
    <row r="373" spans="1:6" s="167" customFormat="1">
      <c r="A373" s="261" t="s">
        <v>75</v>
      </c>
      <c r="B373" s="170">
        <f t="shared" si="52"/>
        <v>1616.3240359132149</v>
      </c>
      <c r="C373" s="170">
        <f t="shared" ref="C373" si="56">+C372+B373</f>
        <v>16766.752950816397</v>
      </c>
      <c r="D373" s="271">
        <f t="shared" si="53"/>
        <v>0.58333333333333315</v>
      </c>
      <c r="E373" s="170">
        <f t="shared" si="54"/>
        <v>942.85568761604168</v>
      </c>
      <c r="F373" s="170">
        <f t="shared" si="55"/>
        <v>10882.970520963336</v>
      </c>
    </row>
    <row r="374" spans="1:6" s="167" customFormat="1">
      <c r="A374" s="261" t="s">
        <v>122</v>
      </c>
      <c r="B374" s="170">
        <f t="shared" si="52"/>
        <v>1729.8619142073044</v>
      </c>
      <c r="C374" s="170">
        <f>+C373+B374</f>
        <v>18496.614865023701</v>
      </c>
      <c r="D374" s="271">
        <f t="shared" si="53"/>
        <v>0.49999999999999983</v>
      </c>
      <c r="E374" s="170">
        <f t="shared" si="54"/>
        <v>864.93095710365185</v>
      </c>
      <c r="F374" s="170">
        <f t="shared" si="55"/>
        <v>11747.901478066988</v>
      </c>
    </row>
    <row r="375" spans="1:6" s="167" customFormat="1">
      <c r="A375" s="261" t="s">
        <v>123</v>
      </c>
      <c r="B375" s="170">
        <f t="shared" si="52"/>
        <v>1771.4308124548213</v>
      </c>
      <c r="C375" s="170">
        <f t="shared" ref="C375:C378" si="57">+C374+B375</f>
        <v>20268.045677478523</v>
      </c>
      <c r="D375" s="271">
        <f t="shared" si="53"/>
        <v>0.41666666666666652</v>
      </c>
      <c r="E375" s="170">
        <f t="shared" si="54"/>
        <v>738.09617185617526</v>
      </c>
      <c r="F375" s="170">
        <f t="shared" si="55"/>
        <v>12485.997649923163</v>
      </c>
    </row>
    <row r="376" spans="1:6" s="167" customFormat="1">
      <c r="A376" s="261" t="s">
        <v>124</v>
      </c>
      <c r="B376" s="170">
        <f t="shared" si="52"/>
        <v>1856.0301276879613</v>
      </c>
      <c r="C376" s="170">
        <f t="shared" si="57"/>
        <v>22124.075805166485</v>
      </c>
      <c r="D376" s="271">
        <f t="shared" si="53"/>
        <v>0.3333333333333332</v>
      </c>
      <c r="E376" s="170">
        <f t="shared" si="54"/>
        <v>618.67670922932018</v>
      </c>
      <c r="F376" s="170">
        <f t="shared" si="55"/>
        <v>13104.674359152483</v>
      </c>
    </row>
    <row r="377" spans="1:6" s="167" customFormat="1">
      <c r="A377" s="261" t="s">
        <v>125</v>
      </c>
      <c r="B377" s="170">
        <f t="shared" si="52"/>
        <v>1937.6742374599191</v>
      </c>
      <c r="C377" s="170">
        <f t="shared" si="57"/>
        <v>24061.750042626405</v>
      </c>
      <c r="D377" s="271">
        <f t="shared" si="53"/>
        <v>0.24999999999999989</v>
      </c>
      <c r="E377" s="170">
        <f t="shared" si="54"/>
        <v>484.41855936497956</v>
      </c>
      <c r="F377" s="170">
        <f t="shared" si="55"/>
        <v>13589.092918517463</v>
      </c>
    </row>
    <row r="378" spans="1:6" s="167" customFormat="1">
      <c r="A378" s="261" t="s">
        <v>126</v>
      </c>
      <c r="B378" s="170">
        <f t="shared" si="52"/>
        <v>2056.9422161225543</v>
      </c>
      <c r="C378" s="170">
        <f t="shared" si="57"/>
        <v>26118.692258748961</v>
      </c>
      <c r="D378" s="271">
        <f t="shared" si="53"/>
        <v>0.16666666666666657</v>
      </c>
      <c r="E378" s="170">
        <f t="shared" si="54"/>
        <v>342.82370268709218</v>
      </c>
      <c r="F378" s="170">
        <f t="shared" si="55"/>
        <v>13931.916621204555</v>
      </c>
    </row>
    <row r="379" spans="1:6" s="167" customFormat="1">
      <c r="A379" s="261"/>
      <c r="B379" s="170"/>
      <c r="C379" s="170"/>
      <c r="D379" s="271"/>
      <c r="E379" s="170"/>
      <c r="F379" s="170"/>
    </row>
    <row r="380" spans="1:6" s="167" customFormat="1">
      <c r="A380" s="261" t="s">
        <v>127</v>
      </c>
      <c r="B380" s="170">
        <f>+F302</f>
        <v>2150.7400542479322</v>
      </c>
      <c r="C380" s="170">
        <f>+C378+B380</f>
        <v>28269.432312996894</v>
      </c>
      <c r="D380" s="271">
        <f>D378-(1/12)</f>
        <v>8.3333333333333245E-2</v>
      </c>
      <c r="E380" s="170">
        <f t="shared" si="54"/>
        <v>179.22833785399416</v>
      </c>
      <c r="F380" s="170">
        <f>+F378+E380</f>
        <v>14111.144959058549</v>
      </c>
    </row>
    <row r="381" spans="1:6">
      <c r="A381" s="141" t="s">
        <v>224</v>
      </c>
      <c r="B381" s="290">
        <f>'Tehachapi Transfer'!F10</f>
        <v>-514.59344791959495</v>
      </c>
      <c r="C381" s="289">
        <f>B381</f>
        <v>-514.59344791959495</v>
      </c>
      <c r="D381" s="146">
        <f>D380</f>
        <v>8.3333333333333245E-2</v>
      </c>
      <c r="E381" s="291">
        <f>D381*B381</f>
        <v>-42.882787326632865</v>
      </c>
      <c r="F381" s="291">
        <f>E381</f>
        <v>-42.882787326632865</v>
      </c>
    </row>
    <row r="382" spans="1:6">
      <c r="A382" s="141" t="s">
        <v>225</v>
      </c>
      <c r="B382" s="298">
        <f>SUM(B380:B381)</f>
        <v>1636.1466063283374</v>
      </c>
      <c r="C382" s="298">
        <f>SUM(C380:C381)</f>
        <v>27754.838865077298</v>
      </c>
      <c r="D382" s="146">
        <f>D381</f>
        <v>8.3333333333333245E-2</v>
      </c>
      <c r="E382" s="298">
        <f>SUM(E380:E381)</f>
        <v>136.3455505273613</v>
      </c>
      <c r="F382" s="298">
        <f>SUM(F380:F381)</f>
        <v>14068.262171731916</v>
      </c>
    </row>
    <row r="383" spans="1:6" s="167" customFormat="1">
      <c r="A383" s="261"/>
      <c r="B383" s="170"/>
      <c r="C383" s="170"/>
      <c r="D383" s="271"/>
      <c r="E383" s="170"/>
      <c r="F383" s="170"/>
    </row>
    <row r="384" spans="1:6" s="167" customFormat="1">
      <c r="A384" s="358" t="s">
        <v>263</v>
      </c>
      <c r="B384" s="170">
        <f t="shared" ref="B384" si="58">+F304</f>
        <v>2270.1214301648201</v>
      </c>
      <c r="C384" s="599">
        <f>+C382+B384</f>
        <v>30024.960295242119</v>
      </c>
      <c r="D384" s="271">
        <f>D382-(1/12)</f>
        <v>0</v>
      </c>
      <c r="E384" s="170">
        <f t="shared" si="54"/>
        <v>0</v>
      </c>
      <c r="F384" s="600">
        <f>+F382+E384</f>
        <v>14068.262171731916</v>
      </c>
    </row>
    <row r="385" spans="1:7" ht="15" thickBot="1">
      <c r="A385" s="357" t="s">
        <v>283</v>
      </c>
      <c r="B385" s="150">
        <f>SUM(B369:B378)+B382+B384</f>
        <v>20310.544751738551</v>
      </c>
      <c r="D385" s="758" t="s">
        <v>284</v>
      </c>
      <c r="E385" s="759"/>
      <c r="F385" s="142">
        <f>(SUM(F369:F378)+F382+F384)/12</f>
        <v>11453.16108263006</v>
      </c>
    </row>
    <row r="386" spans="1:7" ht="15" thickTop="1">
      <c r="A386" s="149"/>
    </row>
    <row r="387" spans="1:7" ht="18.75" thickBot="1">
      <c r="A387" s="757" t="s">
        <v>5</v>
      </c>
      <c r="B387" s="757"/>
      <c r="C387" s="757"/>
      <c r="D387" s="757"/>
      <c r="E387" s="757"/>
      <c r="F387" s="757"/>
    </row>
    <row r="388" spans="1:7" hidden="1" outlineLevel="2">
      <c r="A388" s="194" t="s">
        <v>191</v>
      </c>
      <c r="B388" s="136">
        <f t="shared" ref="B388:B407" si="59">+B8</f>
        <v>6.2199999999999998E-2</v>
      </c>
      <c r="C388" s="157" t="s">
        <v>153</v>
      </c>
    </row>
    <row r="389" spans="1:7" s="167" customFormat="1" hidden="1" outlineLevel="2">
      <c r="A389" s="194" t="s">
        <v>168</v>
      </c>
      <c r="B389" s="136">
        <f t="shared" si="59"/>
        <v>5.5E-2</v>
      </c>
      <c r="C389" s="135"/>
      <c r="D389" s="135"/>
      <c r="F389" s="135"/>
      <c r="G389" s="135"/>
    </row>
    <row r="390" spans="1:7" hidden="1" outlineLevel="2">
      <c r="A390" s="194" t="s">
        <v>169</v>
      </c>
      <c r="B390" s="136">
        <f t="shared" si="59"/>
        <v>5.5E-2</v>
      </c>
    </row>
    <row r="391" spans="1:7" hidden="1" outlineLevel="2">
      <c r="A391" s="194" t="s">
        <v>170</v>
      </c>
      <c r="B391" s="136">
        <f t="shared" si="59"/>
        <v>5.5E-2</v>
      </c>
    </row>
    <row r="392" spans="1:7" s="167" customFormat="1" hidden="1" outlineLevel="2">
      <c r="A392" s="137" t="s">
        <v>134</v>
      </c>
      <c r="B392" s="156">
        <f t="shared" si="59"/>
        <v>0.40588299999999994</v>
      </c>
      <c r="C392" s="135"/>
      <c r="D392" s="135"/>
      <c r="F392" s="135"/>
      <c r="G392" s="135"/>
    </row>
    <row r="393" spans="1:7" s="167" customFormat="1" hidden="1" outlineLevel="1">
      <c r="A393" s="194" t="s">
        <v>192</v>
      </c>
      <c r="B393" s="136">
        <f t="shared" si="59"/>
        <v>6.1600000000000002E-2</v>
      </c>
      <c r="C393" s="135"/>
      <c r="D393" s="135"/>
      <c r="F393" s="135"/>
      <c r="G393" s="135"/>
    </row>
    <row r="394" spans="1:7" hidden="1" outlineLevel="1">
      <c r="A394" s="194" t="s">
        <v>168</v>
      </c>
      <c r="B394" s="136">
        <f t="shared" si="59"/>
        <v>6.1600000000000002E-2</v>
      </c>
    </row>
    <row r="395" spans="1:7" hidden="1" outlineLevel="1">
      <c r="A395" s="194" t="s">
        <v>169</v>
      </c>
      <c r="B395" s="136">
        <f t="shared" si="59"/>
        <v>6.1600000000000002E-2</v>
      </c>
    </row>
    <row r="396" spans="1:7" hidden="1" outlineLevel="1">
      <c r="A396" s="194" t="s">
        <v>170</v>
      </c>
      <c r="B396" s="136">
        <f t="shared" si="59"/>
        <v>6.1600000000000002E-2</v>
      </c>
    </row>
    <row r="397" spans="1:7" hidden="1" outlineLevel="1">
      <c r="A397" s="137" t="s">
        <v>237</v>
      </c>
      <c r="B397" s="156">
        <f t="shared" si="59"/>
        <v>0.40669976930000001</v>
      </c>
    </row>
    <row r="398" spans="1:7" collapsed="1">
      <c r="A398" s="194" t="s">
        <v>228</v>
      </c>
      <c r="B398" s="136">
        <f t="shared" si="59"/>
        <v>6.25E-2</v>
      </c>
    </row>
    <row r="399" spans="1:7">
      <c r="A399" s="194" t="s">
        <v>168</v>
      </c>
      <c r="B399" s="136">
        <f t="shared" si="59"/>
        <v>6.25E-2</v>
      </c>
    </row>
    <row r="400" spans="1:7">
      <c r="A400" s="194" t="s">
        <v>169</v>
      </c>
      <c r="B400" s="136">
        <f t="shared" si="59"/>
        <v>6.25E-2</v>
      </c>
    </row>
    <row r="401" spans="1:7">
      <c r="A401" s="194" t="s">
        <v>170</v>
      </c>
      <c r="B401" s="136">
        <f t="shared" si="59"/>
        <v>6.25E-2</v>
      </c>
    </row>
    <row r="402" spans="1:7">
      <c r="A402" s="408" t="s">
        <v>271</v>
      </c>
      <c r="B402" s="156">
        <f t="shared" si="59"/>
        <v>0.40720000000000001</v>
      </c>
    </row>
    <row r="403" spans="1:7" s="167" customFormat="1">
      <c r="A403" s="529" t="s">
        <v>268</v>
      </c>
      <c r="B403" s="530">
        <f t="shared" si="59"/>
        <v>6.25E-2</v>
      </c>
    </row>
    <row r="404" spans="1:7" s="167" customFormat="1">
      <c r="A404" s="330" t="s">
        <v>168</v>
      </c>
      <c r="B404" s="530">
        <f t="shared" si="59"/>
        <v>6.25E-2</v>
      </c>
    </row>
    <row r="405" spans="1:7" s="167" customFormat="1">
      <c r="A405" s="330" t="s">
        <v>169</v>
      </c>
      <c r="B405" s="530">
        <f t="shared" si="59"/>
        <v>6.25E-2</v>
      </c>
    </row>
    <row r="406" spans="1:7" s="167" customFormat="1">
      <c r="A406" s="330" t="s">
        <v>170</v>
      </c>
      <c r="B406" s="530">
        <f t="shared" si="59"/>
        <v>6.25E-2</v>
      </c>
    </row>
    <row r="407" spans="1:7" s="167" customFormat="1">
      <c r="A407" s="533" t="s">
        <v>134</v>
      </c>
      <c r="B407" s="534">
        <f t="shared" si="59"/>
        <v>0.40739999999999998</v>
      </c>
    </row>
    <row r="408" spans="1:7">
      <c r="A408" s="137"/>
      <c r="B408" s="156"/>
    </row>
    <row r="411" spans="1:7" ht="15">
      <c r="A411" s="139" t="s">
        <v>135</v>
      </c>
    </row>
    <row r="412" spans="1:7" s="167" customFormat="1" ht="60.75" customHeight="1">
      <c r="A412" s="750" t="str">
        <f>A387</f>
        <v>Rancho Vista</v>
      </c>
      <c r="B412" s="761" t="s">
        <v>180</v>
      </c>
      <c r="C412" s="761" t="s">
        <v>181</v>
      </c>
      <c r="D412" s="761" t="s">
        <v>182</v>
      </c>
      <c r="E412" s="747" t="s">
        <v>144</v>
      </c>
      <c r="F412" s="545" t="s">
        <v>136</v>
      </c>
      <c r="G412" s="652" t="s">
        <v>197</v>
      </c>
    </row>
    <row r="413" spans="1:7" hidden="1" outlineLevel="2">
      <c r="A413" s="751"/>
      <c r="B413" s="764"/>
      <c r="C413" s="764"/>
      <c r="D413" s="765"/>
      <c r="E413" s="748"/>
      <c r="F413" s="267">
        <f>B392</f>
        <v>0.40588299999999994</v>
      </c>
      <c r="G413" s="268">
        <v>39448</v>
      </c>
    </row>
    <row r="414" spans="1:7" ht="15" hidden="1" outlineLevel="1">
      <c r="A414" s="323"/>
      <c r="B414" s="322"/>
      <c r="C414" s="322"/>
      <c r="D414" s="325"/>
      <c r="E414" s="324"/>
      <c r="F414" s="154">
        <f>B397</f>
        <v>0.40669976930000001</v>
      </c>
      <c r="G414" s="268">
        <v>39814</v>
      </c>
    </row>
    <row r="415" spans="1:7" ht="15" collapsed="1">
      <c r="A415" s="323"/>
      <c r="B415" s="322"/>
      <c r="C415" s="322"/>
      <c r="D415" s="325"/>
      <c r="E415" s="324"/>
      <c r="F415" s="267">
        <f>B402</f>
        <v>0.40720000000000001</v>
      </c>
      <c r="G415" s="268">
        <v>40179</v>
      </c>
    </row>
    <row r="416" spans="1:7" ht="15">
      <c r="A416" s="263"/>
      <c r="B416" s="264"/>
      <c r="C416" s="264"/>
      <c r="D416" s="265"/>
      <c r="E416" s="617"/>
      <c r="F416" s="154">
        <f>B407</f>
        <v>0.40739999999999998</v>
      </c>
      <c r="G416" s="268">
        <v>40544</v>
      </c>
    </row>
    <row r="417" spans="1:7" ht="15">
      <c r="A417" s="263"/>
      <c r="B417" s="264"/>
      <c r="C417" s="264"/>
      <c r="D417" s="265"/>
      <c r="E417" s="266"/>
      <c r="F417" s="304"/>
      <c r="G417" s="305"/>
    </row>
    <row r="418" spans="1:7" hidden="1" outlineLevel="1">
      <c r="A418" s="141" t="s">
        <v>137</v>
      </c>
      <c r="B418" s="155"/>
    </row>
    <row r="419" spans="1:7" hidden="1" outlineLevel="1">
      <c r="A419" s="141" t="s">
        <v>117</v>
      </c>
    </row>
    <row r="420" spans="1:7" ht="15" hidden="1" outlineLevel="1" thickBot="1">
      <c r="A420" s="141"/>
      <c r="E420" s="168"/>
      <c r="F420" s="142"/>
    </row>
    <row r="421" spans="1:7" ht="15" hidden="1" outlineLevel="1" thickTop="1">
      <c r="A421" s="141"/>
    </row>
    <row r="422" spans="1:7" hidden="1" outlineLevel="1">
      <c r="A422" s="141" t="s">
        <v>117</v>
      </c>
    </row>
    <row r="423" spans="1:7" hidden="1" outlineLevel="1">
      <c r="A423" s="141" t="s">
        <v>118</v>
      </c>
    </row>
    <row r="424" spans="1:7" hidden="1" outlineLevel="1">
      <c r="A424" s="141" t="s">
        <v>119</v>
      </c>
      <c r="B424" s="167">
        <f>'Rancho Vista CWIP Balance'!E17-'Beg int cap'!B7</f>
        <v>30787.288249999998</v>
      </c>
      <c r="C424" s="170">
        <f>'Beg int cap'!E7</f>
        <v>1082.982</v>
      </c>
      <c r="D424" s="135">
        <f>SUM(B424:C424)</f>
        <v>31870.270249999998</v>
      </c>
      <c r="F424" s="135">
        <f>(C424*F$413)-('Beg int cap'!D20*'Def Tax'!F$413)</f>
        <v>250.62195495690415</v>
      </c>
    </row>
    <row r="425" spans="1:7" hidden="1" outlineLevel="1">
      <c r="A425" s="141" t="s">
        <v>120</v>
      </c>
      <c r="B425" s="167">
        <f>B424+'Rancho Vista CWIP Balance'!D18</f>
        <v>65820.132939999996</v>
      </c>
      <c r="C425" s="167">
        <f>C424+E425</f>
        <v>1248.1762341291667</v>
      </c>
      <c r="D425" s="135">
        <f>SUM(B425:C425)</f>
        <v>67068.309174129157</v>
      </c>
      <c r="E425" s="167">
        <f>D424*($B$388/12)</f>
        <v>165.19423412916666</v>
      </c>
      <c r="F425" s="135">
        <f t="shared" ref="F425:F438" si="60">+E425*$F$413</f>
        <v>67.049531331048541</v>
      </c>
    </row>
    <row r="426" spans="1:7" hidden="1" outlineLevel="1">
      <c r="A426" s="141" t="s">
        <v>121</v>
      </c>
      <c r="B426" s="167">
        <f>B425+'Rancho Vista CWIP Balance'!D19</f>
        <v>72008.559599999993</v>
      </c>
      <c r="C426" s="167">
        <f>C425+E426</f>
        <v>1555.5726511772586</v>
      </c>
      <c r="D426" s="135">
        <f>SUM(B426:C426)</f>
        <v>73564.132251177245</v>
      </c>
      <c r="E426" s="167">
        <f>D425*($B$389/12)</f>
        <v>307.39641704809196</v>
      </c>
      <c r="F426" s="135">
        <f t="shared" si="60"/>
        <v>124.76697994073069</v>
      </c>
    </row>
    <row r="427" spans="1:7" hidden="1" outlineLevel="1">
      <c r="A427" s="141" t="s">
        <v>75</v>
      </c>
      <c r="B427" s="135">
        <f>B426+'Rancho Vista CWIP Balance'!D20</f>
        <v>76188.216870000004</v>
      </c>
      <c r="C427" s="135">
        <f t="shared" ref="C427:C456" si="61">C426+E427</f>
        <v>1892.741590661821</v>
      </c>
      <c r="D427" s="135">
        <f t="shared" ref="D427:D456" si="62">SUM(B427:C427)</f>
        <v>78080.95846066183</v>
      </c>
      <c r="E427" s="167">
        <f>D426*($B$389/12)</f>
        <v>337.16893948456237</v>
      </c>
      <c r="F427" s="135">
        <f t="shared" si="60"/>
        <v>136.85114066481262</v>
      </c>
      <c r="G427" s="167"/>
    </row>
    <row r="428" spans="1:7" hidden="1" outlineLevel="1">
      <c r="A428" s="141" t="s">
        <v>122</v>
      </c>
      <c r="B428" s="135">
        <f>B427+'Rancho Vista CWIP Balance'!D21</f>
        <v>101094.13941999999</v>
      </c>
      <c r="C428" s="135">
        <f t="shared" si="61"/>
        <v>2250.6126502731877</v>
      </c>
      <c r="D428" s="135">
        <f t="shared" si="62"/>
        <v>103344.75207027319</v>
      </c>
      <c r="E428" s="167">
        <f>D427*($B$389/12)</f>
        <v>357.87105961136672</v>
      </c>
      <c r="F428" s="135">
        <f t="shared" si="60"/>
        <v>145.25377928824034</v>
      </c>
    </row>
    <row r="429" spans="1:7" hidden="1" outlineLevel="1">
      <c r="A429" s="141" t="s">
        <v>123</v>
      </c>
      <c r="B429" s="135">
        <f>B428+'Rancho Vista CWIP Balance'!D22</f>
        <v>142988.82796999998</v>
      </c>
      <c r="C429" s="135">
        <f t="shared" si="61"/>
        <v>2724.2760972619399</v>
      </c>
      <c r="D429" s="135">
        <f t="shared" si="62"/>
        <v>145713.10406726191</v>
      </c>
      <c r="E429" s="167">
        <f>D428*($B$390/12)</f>
        <v>473.66344698875213</v>
      </c>
      <c r="F429" s="135">
        <f t="shared" si="60"/>
        <v>192.25194085413565</v>
      </c>
    </row>
    <row r="430" spans="1:7" hidden="1" outlineLevel="1">
      <c r="A430" s="141"/>
    </row>
    <row r="431" spans="1:7" s="167" customFormat="1" hidden="1" outlineLevel="1">
      <c r="A431" s="261" t="s">
        <v>124</v>
      </c>
      <c r="B431" s="167">
        <f>B429</f>
        <v>142988.82796999998</v>
      </c>
      <c r="C431" s="167">
        <f>C429+E431</f>
        <v>3392.1278242368903</v>
      </c>
      <c r="D431" s="167">
        <f>SUM(B431:C431)</f>
        <v>146380.95579423688</v>
      </c>
      <c r="E431" s="167">
        <f>D429*($B$390/12)</f>
        <v>667.85172697495045</v>
      </c>
      <c r="F431" s="167">
        <f>+E431*$F$413</f>
        <v>271.06966249977376</v>
      </c>
    </row>
    <row r="432" spans="1:7" hidden="1" outlineLevel="1">
      <c r="A432" s="141" t="s">
        <v>217</v>
      </c>
      <c r="B432" s="289">
        <f>-'Rancho Vista Transfer'!C6</f>
        <v>-24462.7264</v>
      </c>
      <c r="C432" s="289">
        <f>'Rancho Vista Transfer'!J6</f>
        <v>-574.8049360948645</v>
      </c>
      <c r="D432" s="289">
        <f t="shared" si="62"/>
        <v>-25037.531336094864</v>
      </c>
      <c r="E432" s="290"/>
      <c r="F432" s="289"/>
    </row>
    <row r="433" spans="1:6" hidden="1" outlineLevel="1">
      <c r="A433" s="141" t="s">
        <v>218</v>
      </c>
      <c r="B433" s="135">
        <f>SUM(B431:B432)</f>
        <v>118526.10156999998</v>
      </c>
      <c r="C433" s="135">
        <f>SUM(C431:C432)</f>
        <v>2817.3228881420259</v>
      </c>
      <c r="D433" s="135">
        <f>SUM(D431:D432)</f>
        <v>121343.42445814202</v>
      </c>
      <c r="E433" s="135">
        <f>SUM(E431:E432)</f>
        <v>667.85172697495045</v>
      </c>
      <c r="F433" s="135">
        <f>SUM(F431:F432)</f>
        <v>271.06966249977376</v>
      </c>
    </row>
    <row r="434" spans="1:6" hidden="1" outlineLevel="1">
      <c r="A434" s="141"/>
    </row>
    <row r="435" spans="1:6" hidden="1" outlineLevel="1">
      <c r="A435" s="141" t="s">
        <v>125</v>
      </c>
      <c r="B435" s="135">
        <f>B433+'Rancho Vista CWIP Balance'!D24</f>
        <v>120637.26940999998</v>
      </c>
      <c r="C435" s="135">
        <f>C433+E435</f>
        <v>3373.4802502418434</v>
      </c>
      <c r="D435" s="135">
        <f t="shared" si="62"/>
        <v>124010.74966024183</v>
      </c>
      <c r="E435" s="167">
        <f>D433*($B$390/12)</f>
        <v>556.15736209981765</v>
      </c>
      <c r="F435" s="135">
        <f t="shared" si="60"/>
        <v>225.73481860116024</v>
      </c>
    </row>
    <row r="436" spans="1:6" hidden="1" outlineLevel="1">
      <c r="A436" s="141" t="s">
        <v>126</v>
      </c>
      <c r="B436" s="135">
        <f>B435+'Rancho Vista CWIP Balance'!D25</f>
        <v>124735.98966999998</v>
      </c>
      <c r="C436" s="135">
        <f t="shared" si="61"/>
        <v>3941.862852851285</v>
      </c>
      <c r="D436" s="135">
        <f t="shared" si="62"/>
        <v>128677.85252285126</v>
      </c>
      <c r="E436" s="167">
        <f>D435*($B$391/12)</f>
        <v>568.38260260944173</v>
      </c>
      <c r="F436" s="135">
        <f t="shared" si="60"/>
        <v>230.696835894928</v>
      </c>
    </row>
    <row r="437" spans="1:6" hidden="1" outlineLevel="1">
      <c r="A437" s="141" t="s">
        <v>127</v>
      </c>
      <c r="B437" s="135">
        <f>B436+'Rancho Vista CWIP Balance'!D26</f>
        <v>138219.95452999999</v>
      </c>
      <c r="C437" s="135">
        <f t="shared" si="61"/>
        <v>4531.6363435810199</v>
      </c>
      <c r="D437" s="135">
        <f t="shared" si="62"/>
        <v>142751.59087358101</v>
      </c>
      <c r="E437" s="167">
        <f>D436*($B$391/12)</f>
        <v>589.77349072973493</v>
      </c>
      <c r="F437" s="135">
        <f t="shared" si="60"/>
        <v>239.37903373785696</v>
      </c>
    </row>
    <row r="438" spans="1:6" hidden="1" outlineLevel="1">
      <c r="A438" s="141" t="s">
        <v>128</v>
      </c>
      <c r="B438" s="135">
        <f>B437+'Rancho Vista CWIP Balance'!D27</f>
        <v>151724.79951999997</v>
      </c>
      <c r="C438" s="135">
        <f t="shared" si="61"/>
        <v>5185.9144684182666</v>
      </c>
      <c r="D438" s="135">
        <f t="shared" si="62"/>
        <v>156910.71398841823</v>
      </c>
      <c r="E438" s="167">
        <f>D437*($B$391/12)</f>
        <v>654.27812483724631</v>
      </c>
      <c r="F438" s="135">
        <f t="shared" si="60"/>
        <v>265.560368143316</v>
      </c>
    </row>
    <row r="439" spans="1:6" ht="15" hidden="1" outlineLevel="1" thickBot="1">
      <c r="A439" s="141"/>
      <c r="E439" s="168"/>
      <c r="F439" s="142"/>
    </row>
    <row r="440" spans="1:6" ht="15" hidden="1" outlineLevel="1" thickTop="1">
      <c r="A440" s="141"/>
    </row>
    <row r="441" spans="1:6" hidden="1" outlineLevel="1" collapsed="1">
      <c r="A441" s="261" t="s">
        <v>189</v>
      </c>
      <c r="B441" s="167">
        <f>B438+'Rancho Vista CWIP Balance'!D28</f>
        <v>154255.17351999998</v>
      </c>
      <c r="C441" s="167">
        <f>C438+E441</f>
        <v>5991.3894668921466</v>
      </c>
      <c r="D441" s="167">
        <f t="shared" si="62"/>
        <v>160246.56298689212</v>
      </c>
      <c r="E441" s="167">
        <f>D438*($B$393/12)</f>
        <v>805.47499847388031</v>
      </c>
      <c r="F441" s="167">
        <f>+E441*$F$414</f>
        <v>327.58649605624498</v>
      </c>
    </row>
    <row r="442" spans="1:6" hidden="1" outlineLevel="1">
      <c r="A442" s="141" t="s">
        <v>119</v>
      </c>
      <c r="B442" s="135">
        <f>B441+'Rancho Vista CWIP Balance'!D29</f>
        <v>159945.52025999999</v>
      </c>
      <c r="C442" s="135">
        <f t="shared" si="61"/>
        <v>6813.9884902248596</v>
      </c>
      <c r="D442" s="135">
        <f t="shared" si="62"/>
        <v>166759.50875022484</v>
      </c>
      <c r="E442" s="167">
        <f>D441*($B$393/12)</f>
        <v>822.59902333271293</v>
      </c>
      <c r="F442" s="167">
        <f t="shared" ref="F442:F456" si="63">+E442*$F$414</f>
        <v>334.55083301581971</v>
      </c>
    </row>
    <row r="443" spans="1:6" hidden="1" outlineLevel="1">
      <c r="A443" s="141" t="s">
        <v>120</v>
      </c>
      <c r="B443" s="135">
        <f>B442+'Rancho Vista CWIP Balance'!D30</f>
        <v>160254.76942</v>
      </c>
      <c r="C443" s="135">
        <f t="shared" si="61"/>
        <v>7670.0206351426805</v>
      </c>
      <c r="D443" s="135">
        <f t="shared" si="62"/>
        <v>167924.79005514269</v>
      </c>
      <c r="E443" s="167">
        <f>D442*($B$393/12)</f>
        <v>856.0321449178208</v>
      </c>
      <c r="F443" s="167">
        <f t="shared" si="63"/>
        <v>348.1480758514619</v>
      </c>
    </row>
    <row r="444" spans="1:6" hidden="1" outlineLevel="1">
      <c r="A444" s="141" t="s">
        <v>121</v>
      </c>
      <c r="B444" s="135">
        <f>B443+'Rancho Vista CWIP Balance'!D31</f>
        <v>171544.56211999999</v>
      </c>
      <c r="C444" s="135">
        <f t="shared" si="61"/>
        <v>8532.0345574257462</v>
      </c>
      <c r="D444" s="135">
        <f t="shared" si="62"/>
        <v>180076.59667742572</v>
      </c>
      <c r="E444" s="167">
        <f>D443*($B$394/12)</f>
        <v>862.01392228306577</v>
      </c>
      <c r="F444" s="167">
        <f t="shared" si="63"/>
        <v>350.58086332591097</v>
      </c>
    </row>
    <row r="445" spans="1:6" hidden="1" outlineLevel="1">
      <c r="A445" s="141"/>
      <c r="F445" s="167"/>
    </row>
    <row r="446" spans="1:6" hidden="1" outlineLevel="1">
      <c r="A446" s="141" t="s">
        <v>75</v>
      </c>
      <c r="B446" s="135">
        <f>B444</f>
        <v>171544.56211999999</v>
      </c>
      <c r="C446" s="135">
        <f>C444+E446</f>
        <v>9456.4277537031976</v>
      </c>
      <c r="D446" s="135">
        <f>SUM(B446:C446)</f>
        <v>181000.98987370319</v>
      </c>
      <c r="E446" s="167">
        <f>D444*($B$394/12)</f>
        <v>924.39319627745203</v>
      </c>
      <c r="F446" s="167">
        <f>+E446*$F$414</f>
        <v>375.95049966852935</v>
      </c>
    </row>
    <row r="447" spans="1:6" hidden="1" outlineLevel="1">
      <c r="A447" s="141" t="s">
        <v>212</v>
      </c>
      <c r="B447" s="289">
        <f>-B446</f>
        <v>-171544.56211999999</v>
      </c>
      <c r="C447" s="289">
        <f>-C446</f>
        <v>-9456.4277537031976</v>
      </c>
      <c r="D447" s="289">
        <f t="shared" si="62"/>
        <v>-181000.98987370319</v>
      </c>
      <c r="E447" s="290"/>
      <c r="F447" s="290"/>
    </row>
    <row r="448" spans="1:6" hidden="1" outlineLevel="1">
      <c r="A448" s="141" t="s">
        <v>213</v>
      </c>
      <c r="B448" s="298">
        <f>SUM(B446:B447)</f>
        <v>0</v>
      </c>
      <c r="C448" s="298">
        <f>SUM(C446:C447)</f>
        <v>0</v>
      </c>
      <c r="D448" s="298">
        <f>SUM(D446:D447)</f>
        <v>0</v>
      </c>
      <c r="E448" s="298">
        <f>SUM(E446:E447)</f>
        <v>924.39319627745203</v>
      </c>
      <c r="F448" s="298">
        <f>SUM(F446:F447)</f>
        <v>375.95049966852935</v>
      </c>
    </row>
    <row r="449" spans="1:6" hidden="1" outlineLevel="1">
      <c r="A449" s="141"/>
      <c r="F449" s="167"/>
    </row>
    <row r="450" spans="1:6" hidden="1" outlineLevel="1">
      <c r="A450" s="141" t="s">
        <v>122</v>
      </c>
      <c r="B450" s="135">
        <f>B448+'Rancho Vista CWIP Balance'!D33</f>
        <v>0</v>
      </c>
      <c r="C450" s="135">
        <f>C448+E450</f>
        <v>0</v>
      </c>
      <c r="D450" s="135">
        <f t="shared" si="62"/>
        <v>0</v>
      </c>
      <c r="E450" s="167">
        <f>D448*($B$394/12)</f>
        <v>0</v>
      </c>
      <c r="F450" s="167">
        <f t="shared" si="63"/>
        <v>0</v>
      </c>
    </row>
    <row r="451" spans="1:6" hidden="1" outlineLevel="1">
      <c r="A451" s="141" t="s">
        <v>123</v>
      </c>
      <c r="B451" s="135">
        <f>B450+'Rancho Vista CWIP Balance'!D34</f>
        <v>0</v>
      </c>
      <c r="C451" s="135">
        <f t="shared" si="61"/>
        <v>0</v>
      </c>
      <c r="D451" s="135">
        <f t="shared" si="62"/>
        <v>0</v>
      </c>
      <c r="E451" s="167">
        <f>D450*($B$395/12)</f>
        <v>0</v>
      </c>
      <c r="F451" s="167">
        <f t="shared" si="63"/>
        <v>0</v>
      </c>
    </row>
    <row r="452" spans="1:6" hidden="1" outlineLevel="1">
      <c r="A452" s="141" t="s">
        <v>124</v>
      </c>
      <c r="B452" s="135">
        <f>B451+'Rancho Vista CWIP Balance'!D35</f>
        <v>0</v>
      </c>
      <c r="C452" s="135">
        <f t="shared" si="61"/>
        <v>0</v>
      </c>
      <c r="D452" s="135">
        <f t="shared" si="62"/>
        <v>0</v>
      </c>
      <c r="E452" s="167">
        <f>D451*($B$395/12)</f>
        <v>0</v>
      </c>
      <c r="F452" s="167">
        <f t="shared" si="63"/>
        <v>0</v>
      </c>
    </row>
    <row r="453" spans="1:6" hidden="1" outlineLevel="2">
      <c r="A453" s="141" t="s">
        <v>125</v>
      </c>
      <c r="B453" s="135">
        <f>B452+'Rancho Vista CWIP Balance'!D36</f>
        <v>0</v>
      </c>
      <c r="C453" s="135">
        <f t="shared" si="61"/>
        <v>0</v>
      </c>
      <c r="D453" s="135">
        <f t="shared" si="62"/>
        <v>0</v>
      </c>
      <c r="E453" s="167">
        <f>D452*($B$395/12)</f>
        <v>0</v>
      </c>
      <c r="F453" s="167">
        <f t="shared" si="63"/>
        <v>0</v>
      </c>
    </row>
    <row r="454" spans="1:6" hidden="1" outlineLevel="2">
      <c r="A454" s="141" t="s">
        <v>126</v>
      </c>
      <c r="B454" s="135">
        <f>B453+'Rancho Vista CWIP Balance'!D37</f>
        <v>0</v>
      </c>
      <c r="C454" s="135">
        <f t="shared" si="61"/>
        <v>0</v>
      </c>
      <c r="D454" s="135">
        <f t="shared" si="62"/>
        <v>0</v>
      </c>
      <c r="E454" s="167">
        <f>D453*($B$396/12)</f>
        <v>0</v>
      </c>
      <c r="F454" s="167">
        <f t="shared" si="63"/>
        <v>0</v>
      </c>
    </row>
    <row r="455" spans="1:6" hidden="1" outlineLevel="2">
      <c r="A455" s="141" t="s">
        <v>127</v>
      </c>
      <c r="B455" s="135">
        <f>B454+'Rancho Vista CWIP Balance'!D38</f>
        <v>0</v>
      </c>
      <c r="C455" s="135">
        <f t="shared" si="61"/>
        <v>0</v>
      </c>
      <c r="D455" s="135">
        <f t="shared" si="62"/>
        <v>0</v>
      </c>
      <c r="E455" s="167">
        <f>D454*($B$396/12)</f>
        <v>0</v>
      </c>
      <c r="F455" s="167">
        <f t="shared" si="63"/>
        <v>0</v>
      </c>
    </row>
    <row r="456" spans="1:6" hidden="1" outlineLevel="1">
      <c r="A456" s="141" t="s">
        <v>190</v>
      </c>
      <c r="B456" s="135">
        <f>B455+'Rancho Vista CWIP Balance'!D39</f>
        <v>0</v>
      </c>
      <c r="C456" s="135">
        <f t="shared" si="61"/>
        <v>0</v>
      </c>
      <c r="D456" s="135">
        <f t="shared" si="62"/>
        <v>0</v>
      </c>
      <c r="E456" s="167">
        <f>D455*($B$396/12)</f>
        <v>0</v>
      </c>
      <c r="F456" s="167">
        <f t="shared" si="63"/>
        <v>0</v>
      </c>
    </row>
    <row r="457" spans="1:6" ht="15" hidden="1" outlineLevel="1" thickBot="1">
      <c r="E457" s="168"/>
      <c r="F457" s="142"/>
    </row>
    <row r="458" spans="1:6" ht="15" hidden="1" outlineLevel="1" thickTop="1">
      <c r="E458" s="306"/>
      <c r="F458" s="140"/>
    </row>
    <row r="459" spans="1:6" hidden="1" outlineLevel="1">
      <c r="E459" s="306"/>
      <c r="F459" s="140"/>
    </row>
    <row r="460" spans="1:6" hidden="1" outlineLevel="1">
      <c r="A460" s="261" t="s">
        <v>226</v>
      </c>
      <c r="B460" s="167">
        <f>B456+'Rancho Vista CWIP Balance'!D40</f>
        <v>0</v>
      </c>
      <c r="C460" s="167">
        <f>C456+E460</f>
        <v>0</v>
      </c>
      <c r="D460" s="167">
        <f t="shared" ref="D460:D471" si="64">SUM(B460:C460)</f>
        <v>0</v>
      </c>
      <c r="E460" s="167">
        <f>D456*($B$398/12)</f>
        <v>0</v>
      </c>
      <c r="F460" s="167">
        <f t="shared" ref="F460:F471" si="65">+E460*$F$415</f>
        <v>0</v>
      </c>
    </row>
    <row r="461" spans="1:6" hidden="1" outlineLevel="1">
      <c r="A461" s="141" t="s">
        <v>119</v>
      </c>
      <c r="B461" s="167">
        <f>B460+'Rancho Vista CWIP Balance'!D41</f>
        <v>0</v>
      </c>
      <c r="C461" s="167">
        <f t="shared" ref="C461:C470" si="66">C460+E461</f>
        <v>0</v>
      </c>
      <c r="D461" s="167">
        <f t="shared" si="64"/>
        <v>0</v>
      </c>
      <c r="E461" s="167">
        <f>D460*($B$398/12)</f>
        <v>0</v>
      </c>
      <c r="F461" s="167">
        <f t="shared" si="65"/>
        <v>0</v>
      </c>
    </row>
    <row r="462" spans="1:6" hidden="1" outlineLevel="1">
      <c r="A462" s="141" t="s">
        <v>120</v>
      </c>
      <c r="B462" s="167">
        <f>B461+'Rancho Vista CWIP Balance'!D42</f>
        <v>0</v>
      </c>
      <c r="C462" s="167">
        <f t="shared" si="66"/>
        <v>0</v>
      </c>
      <c r="D462" s="167">
        <f t="shared" si="64"/>
        <v>0</v>
      </c>
      <c r="E462" s="167">
        <f>D461*($B$398/12)</f>
        <v>0</v>
      </c>
      <c r="F462" s="167">
        <f t="shared" si="65"/>
        <v>0</v>
      </c>
    </row>
    <row r="463" spans="1:6" hidden="1" outlineLevel="1">
      <c r="A463" s="141" t="s">
        <v>121</v>
      </c>
      <c r="B463" s="167">
        <f>B462+'Rancho Vista CWIP Balance'!D43</f>
        <v>0</v>
      </c>
      <c r="C463" s="167">
        <f t="shared" si="66"/>
        <v>0</v>
      </c>
      <c r="D463" s="167">
        <f t="shared" si="64"/>
        <v>0</v>
      </c>
      <c r="E463" s="167">
        <f>D462*($B$399/12)</f>
        <v>0</v>
      </c>
      <c r="F463" s="167">
        <f t="shared" si="65"/>
        <v>0</v>
      </c>
    </row>
    <row r="464" spans="1:6" hidden="1" outlineLevel="1">
      <c r="A464" s="141" t="s">
        <v>75</v>
      </c>
      <c r="B464" s="167">
        <f>B463+'Rancho Vista CWIP Balance'!D44</f>
        <v>0</v>
      </c>
      <c r="C464" s="167">
        <f t="shared" si="66"/>
        <v>0</v>
      </c>
      <c r="D464" s="167">
        <f t="shared" si="64"/>
        <v>0</v>
      </c>
      <c r="E464" s="167">
        <f>D463*($B$399/12)</f>
        <v>0</v>
      </c>
      <c r="F464" s="167">
        <f t="shared" si="65"/>
        <v>0</v>
      </c>
    </row>
    <row r="465" spans="1:6" hidden="1" outlineLevel="1">
      <c r="A465" s="141" t="s">
        <v>122</v>
      </c>
      <c r="B465" s="167">
        <f>B464+'Rancho Vista CWIP Balance'!D45</f>
        <v>0</v>
      </c>
      <c r="C465" s="167">
        <f t="shared" si="66"/>
        <v>0</v>
      </c>
      <c r="D465" s="167">
        <f t="shared" si="64"/>
        <v>0</v>
      </c>
      <c r="E465" s="167">
        <f>D464*($B$399/12)</f>
        <v>0</v>
      </c>
      <c r="F465" s="167">
        <f t="shared" si="65"/>
        <v>0</v>
      </c>
    </row>
    <row r="466" spans="1:6" hidden="1" outlineLevel="1">
      <c r="A466" s="141" t="s">
        <v>123</v>
      </c>
      <c r="B466" s="167">
        <f>B465+'Rancho Vista CWIP Balance'!D46</f>
        <v>0</v>
      </c>
      <c r="C466" s="167">
        <f t="shared" si="66"/>
        <v>0</v>
      </c>
      <c r="D466" s="167">
        <f t="shared" si="64"/>
        <v>0</v>
      </c>
      <c r="E466" s="167">
        <f>D465*($B$400/12)</f>
        <v>0</v>
      </c>
      <c r="F466" s="167">
        <f t="shared" si="65"/>
        <v>0</v>
      </c>
    </row>
    <row r="467" spans="1:6" hidden="1" outlineLevel="1">
      <c r="A467" s="141" t="s">
        <v>124</v>
      </c>
      <c r="B467" s="167">
        <f>B466+'Rancho Vista CWIP Balance'!D47</f>
        <v>0</v>
      </c>
      <c r="C467" s="167">
        <f t="shared" si="66"/>
        <v>0</v>
      </c>
      <c r="D467" s="167">
        <f t="shared" si="64"/>
        <v>0</v>
      </c>
      <c r="E467" s="167">
        <f>D466*($B$400/12)</f>
        <v>0</v>
      </c>
      <c r="F467" s="167">
        <f t="shared" si="65"/>
        <v>0</v>
      </c>
    </row>
    <row r="468" spans="1:6" hidden="1" outlineLevel="1">
      <c r="A468" s="141" t="s">
        <v>125</v>
      </c>
      <c r="B468" s="167">
        <f>B467+'Rancho Vista CWIP Balance'!D48</f>
        <v>0</v>
      </c>
      <c r="C468" s="167">
        <f t="shared" si="66"/>
        <v>0</v>
      </c>
      <c r="D468" s="167">
        <f t="shared" si="64"/>
        <v>0</v>
      </c>
      <c r="E468" s="167">
        <f>D467*($B$400/12)</f>
        <v>0</v>
      </c>
      <c r="F468" s="167">
        <f t="shared" si="65"/>
        <v>0</v>
      </c>
    </row>
    <row r="469" spans="1:6" collapsed="1">
      <c r="A469" s="141" t="s">
        <v>126</v>
      </c>
      <c r="B469" s="167">
        <f>B468+'Rancho Vista CWIP Balance'!D49</f>
        <v>0</v>
      </c>
      <c r="C469" s="167">
        <f t="shared" si="66"/>
        <v>0</v>
      </c>
      <c r="D469" s="167">
        <f t="shared" si="64"/>
        <v>0</v>
      </c>
      <c r="E469" s="167">
        <f>D468*($B$401/12)</f>
        <v>0</v>
      </c>
      <c r="F469" s="167">
        <f t="shared" si="65"/>
        <v>0</v>
      </c>
    </row>
    <row r="470" spans="1:6">
      <c r="A470" s="141" t="s">
        <v>127</v>
      </c>
      <c r="B470" s="167">
        <f>B469+'Rancho Vista CWIP Balance'!D50</f>
        <v>0</v>
      </c>
      <c r="C470" s="167">
        <f t="shared" si="66"/>
        <v>0</v>
      </c>
      <c r="D470" s="167">
        <f t="shared" si="64"/>
        <v>0</v>
      </c>
      <c r="E470" s="167">
        <f>D469*($B$401/12)</f>
        <v>0</v>
      </c>
      <c r="F470" s="167">
        <f t="shared" si="65"/>
        <v>0</v>
      </c>
    </row>
    <row r="471" spans="1:6">
      <c r="A471" s="141" t="s">
        <v>227</v>
      </c>
      <c r="B471" s="167">
        <f>B470+'Rancho Vista CWIP Balance'!D51</f>
        <v>0</v>
      </c>
      <c r="C471" s="167">
        <f>C470+E471</f>
        <v>0</v>
      </c>
      <c r="D471" s="167">
        <f t="shared" si="64"/>
        <v>0</v>
      </c>
      <c r="E471" s="167">
        <f>D470*($B$401/12)</f>
        <v>0</v>
      </c>
      <c r="F471" s="167">
        <f t="shared" si="65"/>
        <v>0</v>
      </c>
    </row>
    <row r="472" spans="1:6" ht="15" thickBot="1">
      <c r="E472" s="168"/>
      <c r="F472" s="142"/>
    </row>
    <row r="473" spans="1:6" ht="15" thickTop="1">
      <c r="E473" s="306"/>
      <c r="F473" s="140"/>
    </row>
    <row r="474" spans="1:6" s="167" customFormat="1">
      <c r="A474" s="358" t="s">
        <v>262</v>
      </c>
      <c r="B474" s="167">
        <f>B471+'Rancho Vista CWIP Balance'!D52</f>
        <v>0</v>
      </c>
      <c r="C474" s="167">
        <f>C471+E474</f>
        <v>0</v>
      </c>
      <c r="D474" s="167">
        <f t="shared" ref="D474:D485" si="67">SUM(B474:C474)</f>
        <v>0</v>
      </c>
      <c r="E474" s="167">
        <f>D471*($B$403/12)</f>
        <v>0</v>
      </c>
      <c r="F474" s="167">
        <f>+E474*$F$416</f>
        <v>0</v>
      </c>
    </row>
    <row r="475" spans="1:6" s="167" customFormat="1">
      <c r="A475" s="261" t="s">
        <v>119</v>
      </c>
      <c r="B475" s="167">
        <f>B474+'Rancho Vista CWIP Balance'!D53</f>
        <v>0</v>
      </c>
      <c r="C475" s="167">
        <f>C474+E475</f>
        <v>0</v>
      </c>
      <c r="D475" s="167">
        <f t="shared" si="67"/>
        <v>0</v>
      </c>
      <c r="E475" s="167">
        <f>D474*($B$403/12)</f>
        <v>0</v>
      </c>
      <c r="F475" s="167">
        <f t="shared" ref="F475:F485" si="68">+E475*$F$416</f>
        <v>0</v>
      </c>
    </row>
    <row r="476" spans="1:6" s="167" customFormat="1">
      <c r="A476" s="261" t="s">
        <v>120</v>
      </c>
      <c r="B476" s="167">
        <f>B475+'Rancho Vista CWIP Balance'!D54</f>
        <v>0</v>
      </c>
      <c r="C476" s="167">
        <f t="shared" ref="C476:C485" si="69">C475+E476</f>
        <v>0</v>
      </c>
      <c r="D476" s="167">
        <f t="shared" si="67"/>
        <v>0</v>
      </c>
      <c r="E476" s="167">
        <f>D475*($B$403/12)</f>
        <v>0</v>
      </c>
      <c r="F476" s="167">
        <f t="shared" si="68"/>
        <v>0</v>
      </c>
    </row>
    <row r="477" spans="1:6" s="167" customFormat="1">
      <c r="A477" s="261" t="s">
        <v>121</v>
      </c>
      <c r="B477" s="167">
        <f>B476+'Rancho Vista CWIP Balance'!D55</f>
        <v>0</v>
      </c>
      <c r="C477" s="167">
        <f t="shared" si="69"/>
        <v>0</v>
      </c>
      <c r="D477" s="167">
        <f t="shared" si="67"/>
        <v>0</v>
      </c>
      <c r="E477" s="167">
        <f>D476*($B$404/12)</f>
        <v>0</v>
      </c>
      <c r="F477" s="167">
        <f t="shared" si="68"/>
        <v>0</v>
      </c>
    </row>
    <row r="478" spans="1:6" s="167" customFormat="1">
      <c r="A478" s="261" t="s">
        <v>75</v>
      </c>
      <c r="B478" s="167">
        <f>B477+'Rancho Vista CWIP Balance'!D56</f>
        <v>0</v>
      </c>
      <c r="C478" s="167">
        <f t="shared" si="69"/>
        <v>0</v>
      </c>
      <c r="D478" s="167">
        <f t="shared" si="67"/>
        <v>0</v>
      </c>
      <c r="E478" s="167">
        <f>D477*($B$404/12)</f>
        <v>0</v>
      </c>
      <c r="F478" s="167">
        <f t="shared" si="68"/>
        <v>0</v>
      </c>
    </row>
    <row r="479" spans="1:6" s="167" customFormat="1">
      <c r="A479" s="261" t="s">
        <v>122</v>
      </c>
      <c r="B479" s="167">
        <f>B478+'Rancho Vista CWIP Balance'!D57</f>
        <v>0</v>
      </c>
      <c r="C479" s="167">
        <f t="shared" si="69"/>
        <v>0</v>
      </c>
      <c r="D479" s="167">
        <f t="shared" si="67"/>
        <v>0</v>
      </c>
      <c r="E479" s="167">
        <f>D478*($B$404/12)</f>
        <v>0</v>
      </c>
      <c r="F479" s="167">
        <f t="shared" si="68"/>
        <v>0</v>
      </c>
    </row>
    <row r="480" spans="1:6" s="167" customFormat="1">
      <c r="A480" s="261" t="s">
        <v>123</v>
      </c>
      <c r="B480" s="167">
        <f>B479+'Rancho Vista CWIP Balance'!D58</f>
        <v>0</v>
      </c>
      <c r="C480" s="167">
        <f t="shared" si="69"/>
        <v>0</v>
      </c>
      <c r="D480" s="167">
        <f t="shared" si="67"/>
        <v>0</v>
      </c>
      <c r="E480" s="167">
        <f>D479*($B$405/12)</f>
        <v>0</v>
      </c>
      <c r="F480" s="167">
        <f t="shared" si="68"/>
        <v>0</v>
      </c>
    </row>
    <row r="481" spans="1:6" s="167" customFormat="1">
      <c r="A481" s="261" t="s">
        <v>124</v>
      </c>
      <c r="B481" s="167">
        <f>B480+'Rancho Vista CWIP Balance'!D59</f>
        <v>0</v>
      </c>
      <c r="C481" s="167">
        <f t="shared" si="69"/>
        <v>0</v>
      </c>
      <c r="D481" s="167">
        <f t="shared" si="67"/>
        <v>0</v>
      </c>
      <c r="E481" s="167">
        <f>D480*($B$405/12)</f>
        <v>0</v>
      </c>
      <c r="F481" s="167">
        <f t="shared" si="68"/>
        <v>0</v>
      </c>
    </row>
    <row r="482" spans="1:6" s="167" customFormat="1">
      <c r="A482" s="261" t="s">
        <v>125</v>
      </c>
      <c r="B482" s="167">
        <f>B481+'Rancho Vista CWIP Balance'!D60</f>
        <v>0</v>
      </c>
      <c r="C482" s="167">
        <f t="shared" si="69"/>
        <v>0</v>
      </c>
      <c r="D482" s="167">
        <f t="shared" si="67"/>
        <v>0</v>
      </c>
      <c r="E482" s="167">
        <f>D481*($B$405/12)</f>
        <v>0</v>
      </c>
      <c r="F482" s="167">
        <f t="shared" si="68"/>
        <v>0</v>
      </c>
    </row>
    <row r="483" spans="1:6" s="167" customFormat="1">
      <c r="A483" s="261" t="s">
        <v>126</v>
      </c>
      <c r="B483" s="167">
        <f>B482+'Rancho Vista CWIP Balance'!D61</f>
        <v>0</v>
      </c>
      <c r="C483" s="167">
        <f t="shared" si="69"/>
        <v>0</v>
      </c>
      <c r="D483" s="167">
        <f t="shared" si="67"/>
        <v>0</v>
      </c>
      <c r="E483" s="167">
        <f>D482*($B$406/12)</f>
        <v>0</v>
      </c>
      <c r="F483" s="167">
        <f t="shared" si="68"/>
        <v>0</v>
      </c>
    </row>
    <row r="484" spans="1:6" s="167" customFormat="1">
      <c r="A484" s="261" t="s">
        <v>127</v>
      </c>
      <c r="B484" s="167">
        <f>B483+'Rancho Vista CWIP Balance'!D62</f>
        <v>0</v>
      </c>
      <c r="C484" s="167">
        <f t="shared" si="69"/>
        <v>0</v>
      </c>
      <c r="D484" s="167">
        <f t="shared" si="67"/>
        <v>0</v>
      </c>
      <c r="E484" s="167">
        <f>D483*($B$406/12)</f>
        <v>0</v>
      </c>
      <c r="F484" s="167">
        <f t="shared" si="68"/>
        <v>0</v>
      </c>
    </row>
    <row r="485" spans="1:6" s="167" customFormat="1">
      <c r="A485" s="358" t="s">
        <v>263</v>
      </c>
      <c r="B485" s="167">
        <f>B484+'Rancho Vista CWIP Balance'!D63</f>
        <v>0</v>
      </c>
      <c r="C485" s="167">
        <f t="shared" si="69"/>
        <v>0</v>
      </c>
      <c r="D485" s="167">
        <f t="shared" si="67"/>
        <v>0</v>
      </c>
      <c r="E485" s="167">
        <f>D484*($B$406/12)</f>
        <v>0</v>
      </c>
      <c r="F485" s="167">
        <f t="shared" si="68"/>
        <v>0</v>
      </c>
    </row>
    <row r="486" spans="1:6" s="167" customFormat="1" ht="15" hidden="1" outlineLevel="1" thickBot="1">
      <c r="E486" s="168"/>
      <c r="F486" s="168"/>
    </row>
    <row r="487" spans="1:6" collapsed="1">
      <c r="A487" s="749"/>
      <c r="B487" s="749"/>
      <c r="C487" s="749"/>
      <c r="D487" s="749"/>
      <c r="E487" s="749"/>
      <c r="F487" s="749"/>
    </row>
    <row r="488" spans="1:6" ht="15.75">
      <c r="A488" s="749" t="s">
        <v>145</v>
      </c>
      <c r="B488" s="749"/>
      <c r="C488" s="749"/>
      <c r="D488" s="749"/>
      <c r="E488" s="749"/>
      <c r="F488" s="749"/>
    </row>
    <row r="489" spans="1:6">
      <c r="A489" s="749"/>
      <c r="B489" s="749"/>
      <c r="C489" s="749"/>
      <c r="D489" s="749"/>
      <c r="E489" s="749"/>
      <c r="F489" s="749"/>
    </row>
    <row r="491" spans="1:6" ht="15">
      <c r="A491" s="139" t="s">
        <v>138</v>
      </c>
    </row>
    <row r="492" spans="1:6" ht="28.5">
      <c r="A492" s="143" t="str">
        <f>A387</f>
        <v>Rancho Vista</v>
      </c>
      <c r="B492" s="144" t="s">
        <v>139</v>
      </c>
      <c r="C492" s="144" t="s">
        <v>140</v>
      </c>
      <c r="D492" s="144" t="s">
        <v>141</v>
      </c>
      <c r="E492" s="169" t="s">
        <v>142</v>
      </c>
      <c r="F492" s="144" t="s">
        <v>143</v>
      </c>
    </row>
    <row r="493" spans="1:6" hidden="1" outlineLevel="1">
      <c r="A493" s="141" t="s">
        <v>117</v>
      </c>
      <c r="B493" s="135">
        <f>F424</f>
        <v>250.62195495690415</v>
      </c>
      <c r="C493" s="145">
        <f>B493</f>
        <v>250.62195495690415</v>
      </c>
      <c r="D493" s="146">
        <v>1</v>
      </c>
      <c r="E493" s="170"/>
      <c r="F493" s="145">
        <f>+C493*D493</f>
        <v>250.62195495690415</v>
      </c>
    </row>
    <row r="494" spans="1:6" hidden="1" outlineLevel="1">
      <c r="A494" s="141" t="s">
        <v>118</v>
      </c>
      <c r="B494" s="145">
        <v>0</v>
      </c>
      <c r="C494" s="145">
        <f>+C493+B494</f>
        <v>250.62195495690415</v>
      </c>
      <c r="D494" s="146">
        <f t="shared" ref="D494:D509" si="70">D493-(1/12)</f>
        <v>0.91666666666666663</v>
      </c>
      <c r="E494" s="170">
        <f>+B494*D494</f>
        <v>0</v>
      </c>
      <c r="F494" s="145">
        <f>+F493+E494</f>
        <v>250.62195495690415</v>
      </c>
    </row>
    <row r="495" spans="1:6" hidden="1" outlineLevel="1">
      <c r="A495" s="141" t="s">
        <v>119</v>
      </c>
      <c r="B495" s="145">
        <v>0</v>
      </c>
      <c r="C495" s="145">
        <f>+C494+B495</f>
        <v>250.62195495690415</v>
      </c>
      <c r="D495" s="146">
        <f t="shared" si="70"/>
        <v>0.83333333333333326</v>
      </c>
      <c r="E495" s="170">
        <f>+B495*D495</f>
        <v>0</v>
      </c>
      <c r="F495" s="145">
        <f>+F494+E495</f>
        <v>250.62195495690415</v>
      </c>
    </row>
    <row r="496" spans="1:6" hidden="1" outlineLevel="1">
      <c r="A496" s="141" t="s">
        <v>120</v>
      </c>
      <c r="B496" s="145">
        <f>+F425</f>
        <v>67.049531331048541</v>
      </c>
      <c r="C496" s="145">
        <f>+C495+B496</f>
        <v>317.67148628795269</v>
      </c>
      <c r="D496" s="146">
        <f t="shared" si="70"/>
        <v>0.74999999999999989</v>
      </c>
      <c r="E496" s="170">
        <f>+B496*D496</f>
        <v>50.287148498286399</v>
      </c>
      <c r="F496" s="145">
        <f>+F495+E496</f>
        <v>300.90910345519058</v>
      </c>
    </row>
    <row r="497" spans="1:6" hidden="1" outlineLevel="1">
      <c r="A497" s="141" t="s">
        <v>121</v>
      </c>
      <c r="B497" s="145">
        <f>+F426</f>
        <v>124.76697994073069</v>
      </c>
      <c r="C497" s="145">
        <f>+C496+B497</f>
        <v>442.43846622868341</v>
      </c>
      <c r="D497" s="146">
        <f t="shared" si="70"/>
        <v>0.66666666666666652</v>
      </c>
      <c r="E497" s="170">
        <f>+B497*D497</f>
        <v>83.177986627153771</v>
      </c>
      <c r="F497" s="145">
        <f>+F496+E497</f>
        <v>384.08709008234433</v>
      </c>
    </row>
    <row r="498" spans="1:6" hidden="1" outlineLevel="1">
      <c r="A498" s="141" t="s">
        <v>75</v>
      </c>
      <c r="B498" s="145">
        <f>+F427</f>
        <v>136.85114066481262</v>
      </c>
      <c r="C498" s="145">
        <f t="shared" ref="C498:C527" si="71">+C497+B498</f>
        <v>579.28960689349606</v>
      </c>
      <c r="D498" s="146">
        <f t="shared" si="70"/>
        <v>0.58333333333333315</v>
      </c>
      <c r="E498" s="170">
        <f t="shared" ref="E498:E527" si="72">+B498*D498</f>
        <v>79.829832054473997</v>
      </c>
      <c r="F498" s="145">
        <f t="shared" ref="F498:F527" si="73">+F497+E498</f>
        <v>463.91692213681836</v>
      </c>
    </row>
    <row r="499" spans="1:6" hidden="1" outlineLevel="1">
      <c r="A499" s="141" t="s">
        <v>122</v>
      </c>
      <c r="B499" s="145">
        <f>+F428</f>
        <v>145.25377928824034</v>
      </c>
      <c r="C499" s="145">
        <f t="shared" si="71"/>
        <v>724.54338618173642</v>
      </c>
      <c r="D499" s="146">
        <f t="shared" si="70"/>
        <v>0.49999999999999983</v>
      </c>
      <c r="E499" s="170">
        <f t="shared" si="72"/>
        <v>72.626889644120141</v>
      </c>
      <c r="F499" s="145">
        <f t="shared" si="73"/>
        <v>536.54381178093854</v>
      </c>
    </row>
    <row r="500" spans="1:6" hidden="1" outlineLevel="1">
      <c r="A500" s="141" t="s">
        <v>123</v>
      </c>
      <c r="B500" s="145">
        <f>+F429</f>
        <v>192.25194085413565</v>
      </c>
      <c r="C500" s="145">
        <f t="shared" si="71"/>
        <v>916.79532703587211</v>
      </c>
      <c r="D500" s="146">
        <f t="shared" si="70"/>
        <v>0.41666666666666652</v>
      </c>
      <c r="E500" s="170">
        <f t="shared" si="72"/>
        <v>80.10497535588982</v>
      </c>
      <c r="F500" s="145">
        <f t="shared" si="73"/>
        <v>616.64878713682833</v>
      </c>
    </row>
    <row r="501" spans="1:6" hidden="1" outlineLevel="1">
      <c r="A501" s="141"/>
      <c r="B501" s="145"/>
      <c r="C501" s="145"/>
      <c r="D501" s="146"/>
      <c r="E501" s="170"/>
      <c r="F501" s="145"/>
    </row>
    <row r="502" spans="1:6" hidden="1" outlineLevel="1">
      <c r="A502" s="141" t="s">
        <v>124</v>
      </c>
      <c r="B502" s="145">
        <f>+F431</f>
        <v>271.06966249977376</v>
      </c>
      <c r="C502" s="145">
        <f>+C500+B502</f>
        <v>1187.8649895356459</v>
      </c>
      <c r="D502" s="146">
        <f>D500-(1/12)</f>
        <v>0.3333333333333332</v>
      </c>
      <c r="E502" s="170">
        <f t="shared" si="72"/>
        <v>90.356554166591224</v>
      </c>
      <c r="F502" s="145">
        <f>+F500+E502</f>
        <v>707.00534130341953</v>
      </c>
    </row>
    <row r="503" spans="1:6" hidden="1" outlineLevel="1">
      <c r="A503" s="141" t="s">
        <v>217</v>
      </c>
      <c r="B503" s="289">
        <f>'Rancho Vista Transfer'!F6</f>
        <v>-201.28683079711709</v>
      </c>
      <c r="C503" s="289">
        <f>B503</f>
        <v>-201.28683079711709</v>
      </c>
      <c r="D503" s="146">
        <f>D502</f>
        <v>0.3333333333333332</v>
      </c>
      <c r="E503" s="290">
        <f t="shared" si="72"/>
        <v>-67.095610265705673</v>
      </c>
      <c r="F503" s="290">
        <f>E503</f>
        <v>-67.095610265705673</v>
      </c>
    </row>
    <row r="504" spans="1:6" hidden="1" outlineLevel="1">
      <c r="A504" s="141" t="s">
        <v>218</v>
      </c>
      <c r="B504" s="135">
        <f>SUM(B502:B503)</f>
        <v>69.782831702656665</v>
      </c>
      <c r="C504" s="135">
        <f>SUM(C502:C503)</f>
        <v>986.57815873852883</v>
      </c>
      <c r="D504" s="146">
        <f>D503</f>
        <v>0.3333333333333332</v>
      </c>
      <c r="E504" s="135">
        <f>SUM(E502:E503)</f>
        <v>23.26094390088555</v>
      </c>
      <c r="F504" s="135">
        <f>SUM(F502:F503)</f>
        <v>639.90973103771387</v>
      </c>
    </row>
    <row r="505" spans="1:6" hidden="1" outlineLevel="1">
      <c r="A505" s="141"/>
      <c r="B505" s="145"/>
      <c r="C505" s="145"/>
      <c r="D505" s="146"/>
      <c r="E505" s="170"/>
      <c r="F505" s="145"/>
    </row>
    <row r="506" spans="1:6" hidden="1" outlineLevel="1">
      <c r="A506" s="261" t="s">
        <v>125</v>
      </c>
      <c r="B506" s="170">
        <f>+F435</f>
        <v>225.73481860116024</v>
      </c>
      <c r="C506" s="170">
        <f>+C504+B506</f>
        <v>1212.312977339689</v>
      </c>
      <c r="D506" s="271">
        <f>D502-(1/12)</f>
        <v>0.24999999999999989</v>
      </c>
      <c r="E506" s="170">
        <f t="shared" si="72"/>
        <v>56.433704650290032</v>
      </c>
      <c r="F506" s="170">
        <f>+F504+E506</f>
        <v>696.34343568800386</v>
      </c>
    </row>
    <row r="507" spans="1:6" hidden="1" outlineLevel="1">
      <c r="A507" s="141" t="s">
        <v>126</v>
      </c>
      <c r="B507" s="145">
        <f>+F436</f>
        <v>230.696835894928</v>
      </c>
      <c r="C507" s="145">
        <f t="shared" si="71"/>
        <v>1443.009813234617</v>
      </c>
      <c r="D507" s="146">
        <f t="shared" si="70"/>
        <v>0.16666666666666657</v>
      </c>
      <c r="E507" s="170">
        <f t="shared" si="72"/>
        <v>38.449472649154643</v>
      </c>
      <c r="F507" s="145">
        <f t="shared" si="73"/>
        <v>734.79290833715845</v>
      </c>
    </row>
    <row r="508" spans="1:6" hidden="1" outlineLevel="1">
      <c r="A508" s="141" t="s">
        <v>127</v>
      </c>
      <c r="B508" s="145">
        <f>+F437</f>
        <v>239.37903373785696</v>
      </c>
      <c r="C508" s="145">
        <f t="shared" si="71"/>
        <v>1682.3888469724739</v>
      </c>
      <c r="D508" s="146">
        <f t="shared" si="70"/>
        <v>8.3333333333333245E-2</v>
      </c>
      <c r="E508" s="170">
        <f t="shared" si="72"/>
        <v>19.948252811488057</v>
      </c>
      <c r="F508" s="145">
        <f t="shared" si="73"/>
        <v>754.74116114864648</v>
      </c>
    </row>
    <row r="509" spans="1:6" hidden="1" outlineLevel="1">
      <c r="A509" s="141" t="s">
        <v>128</v>
      </c>
      <c r="B509" s="145">
        <f>+F438</f>
        <v>265.560368143316</v>
      </c>
      <c r="C509" s="145">
        <f t="shared" si="71"/>
        <v>1947.9492151157899</v>
      </c>
      <c r="D509" s="146">
        <f t="shared" si="70"/>
        <v>0</v>
      </c>
      <c r="E509" s="170">
        <f t="shared" si="72"/>
        <v>0</v>
      </c>
      <c r="F509" s="243">
        <f t="shared" si="73"/>
        <v>754.74116114864648</v>
      </c>
    </row>
    <row r="510" spans="1:6" ht="15.75" hidden="1" customHeight="1" outlineLevel="1" thickBot="1">
      <c r="A510" s="141" t="s">
        <v>200</v>
      </c>
      <c r="B510" s="150">
        <f>SUM(B493:B500)+B504+SUM(B506:B509)</f>
        <v>1947.9492151157901</v>
      </c>
      <c r="D510" s="759" t="s">
        <v>193</v>
      </c>
      <c r="E510" s="759"/>
      <c r="F510" s="142">
        <f>(SUM(F493:F500)+F504+SUM(F506:F509))/13</f>
        <v>510.34615206330784</v>
      </c>
    </row>
    <row r="511" spans="1:6" ht="15.75" hidden="1" customHeight="1" outlineLevel="1" thickTop="1">
      <c r="A511" s="141"/>
      <c r="B511" s="243"/>
      <c r="D511" s="552"/>
      <c r="E511" s="552"/>
      <c r="F511" s="140"/>
    </row>
    <row r="512" spans="1:6" hidden="1" outlineLevel="1" collapsed="1">
      <c r="A512" s="261" t="s">
        <v>189</v>
      </c>
      <c r="B512" s="170">
        <f>+F441</f>
        <v>327.58649605624498</v>
      </c>
      <c r="C512" s="170">
        <f>+C509+B512</f>
        <v>2275.535711172035</v>
      </c>
      <c r="D512" s="271">
        <f>D494</f>
        <v>0.91666666666666663</v>
      </c>
      <c r="E512" s="170">
        <f t="shared" si="72"/>
        <v>300.28762138489122</v>
      </c>
      <c r="F512" s="272">
        <f>+F509+E512</f>
        <v>1055.0287825335377</v>
      </c>
    </row>
    <row r="513" spans="1:6" hidden="1" outlineLevel="1">
      <c r="A513" s="141" t="s">
        <v>119</v>
      </c>
      <c r="B513" s="145">
        <f>+F442</f>
        <v>334.55083301581971</v>
      </c>
      <c r="C513" s="145">
        <f t="shared" si="71"/>
        <v>2610.0865441878545</v>
      </c>
      <c r="D513" s="146">
        <f>D512-(1/12)</f>
        <v>0.83333333333333326</v>
      </c>
      <c r="E513" s="170">
        <f t="shared" si="72"/>
        <v>278.79236084651637</v>
      </c>
      <c r="F513" s="243">
        <f t="shared" si="73"/>
        <v>1333.8211433800541</v>
      </c>
    </row>
    <row r="514" spans="1:6" hidden="1" outlineLevel="1">
      <c r="A514" s="141" t="s">
        <v>120</v>
      </c>
      <c r="B514" s="145">
        <f>+F443</f>
        <v>348.1480758514619</v>
      </c>
      <c r="C514" s="145">
        <f t="shared" si="71"/>
        <v>2958.2346200393163</v>
      </c>
      <c r="D514" s="146">
        <f>D513-(1/12)</f>
        <v>0.74999999999999989</v>
      </c>
      <c r="E514" s="170">
        <f t="shared" si="72"/>
        <v>261.11105688859641</v>
      </c>
      <c r="F514" s="243">
        <f t="shared" si="73"/>
        <v>1594.9322002686504</v>
      </c>
    </row>
    <row r="515" spans="1:6" hidden="1" outlineLevel="1">
      <c r="A515" s="141" t="s">
        <v>121</v>
      </c>
      <c r="B515" s="145">
        <f>+F444</f>
        <v>350.58086332591097</v>
      </c>
      <c r="C515" s="145">
        <f t="shared" si="71"/>
        <v>3308.815483365227</v>
      </c>
      <c r="D515" s="146">
        <f>D514-(1/12)</f>
        <v>0.66666666666666652</v>
      </c>
      <c r="E515" s="170">
        <f t="shared" si="72"/>
        <v>233.72057555060726</v>
      </c>
      <c r="F515" s="243">
        <f t="shared" si="73"/>
        <v>1828.6527758192576</v>
      </c>
    </row>
    <row r="516" spans="1:6" hidden="1" outlineLevel="1">
      <c r="A516" s="141"/>
      <c r="B516" s="145"/>
      <c r="C516" s="145"/>
      <c r="D516" s="146"/>
      <c r="E516" s="170"/>
      <c r="F516" s="243"/>
    </row>
    <row r="517" spans="1:6" hidden="1" outlineLevel="1">
      <c r="A517" s="141" t="s">
        <v>75</v>
      </c>
      <c r="B517" s="145">
        <f>+F446</f>
        <v>375.95049966852935</v>
      </c>
      <c r="C517" s="145">
        <f>+C515+B517</f>
        <v>3684.7659830337561</v>
      </c>
      <c r="D517" s="146">
        <f>D515-(1/12)</f>
        <v>0.58333333333333315</v>
      </c>
      <c r="E517" s="170">
        <f t="shared" si="72"/>
        <v>219.3044581399754</v>
      </c>
      <c r="F517" s="243">
        <f>+F515+E517</f>
        <v>2047.957233959233</v>
      </c>
    </row>
    <row r="518" spans="1:6" hidden="1" outlineLevel="1">
      <c r="A518" s="141" t="s">
        <v>212</v>
      </c>
      <c r="B518" s="289">
        <f>'Rancho Vista Transfer'!F7</f>
        <v>-3684.7659830337561</v>
      </c>
      <c r="C518" s="289">
        <f>B518</f>
        <v>-3684.7659830337561</v>
      </c>
      <c r="D518" s="146"/>
      <c r="E518" s="290">
        <f>-F517</f>
        <v>-2047.957233959233</v>
      </c>
      <c r="F518" s="290">
        <f>E518</f>
        <v>-2047.957233959233</v>
      </c>
    </row>
    <row r="519" spans="1:6" hidden="1" outlineLevel="1">
      <c r="A519" s="141" t="s">
        <v>213</v>
      </c>
      <c r="B519" s="298">
        <f>SUM(B517:B518)</f>
        <v>-3308.815483365227</v>
      </c>
      <c r="C519" s="145">
        <f>SUM(C517:C518)</f>
        <v>0</v>
      </c>
      <c r="D519" s="146"/>
      <c r="E519" s="298">
        <f>SUM(E517:E518)</f>
        <v>-1828.6527758192576</v>
      </c>
      <c r="F519" s="553">
        <f>SUM(F517:F518)</f>
        <v>0</v>
      </c>
    </row>
    <row r="520" spans="1:6" hidden="1" outlineLevel="1">
      <c r="A520" s="141"/>
      <c r="B520" s="145"/>
      <c r="C520" s="145"/>
      <c r="D520" s="146"/>
      <c r="E520" s="170"/>
      <c r="F520" s="243"/>
    </row>
    <row r="521" spans="1:6" hidden="1" outlineLevel="1">
      <c r="A521" s="141" t="s">
        <v>122</v>
      </c>
      <c r="B521" s="145">
        <f t="shared" ref="B521:B527" si="74">+F450</f>
        <v>0</v>
      </c>
      <c r="C521" s="145">
        <f>+C519+B521</f>
        <v>0</v>
      </c>
      <c r="D521" s="146">
        <f>D517-(1/12)</f>
        <v>0.49999999999999983</v>
      </c>
      <c r="E521" s="170">
        <f t="shared" si="72"/>
        <v>0</v>
      </c>
      <c r="F521" s="243">
        <f>+F519+E521</f>
        <v>0</v>
      </c>
    </row>
    <row r="522" spans="1:6" hidden="1" outlineLevel="1">
      <c r="A522" s="141" t="s">
        <v>123</v>
      </c>
      <c r="B522" s="145">
        <f t="shared" si="74"/>
        <v>0</v>
      </c>
      <c r="C522" s="145">
        <f t="shared" si="71"/>
        <v>0</v>
      </c>
      <c r="D522" s="146">
        <f t="shared" ref="D522:D527" si="75">D521-(1/12)</f>
        <v>0.41666666666666652</v>
      </c>
      <c r="E522" s="170">
        <f t="shared" si="72"/>
        <v>0</v>
      </c>
      <c r="F522" s="243">
        <f t="shared" si="73"/>
        <v>0</v>
      </c>
    </row>
    <row r="523" spans="1:6" hidden="1" outlineLevel="2">
      <c r="A523" s="141" t="s">
        <v>124</v>
      </c>
      <c r="B523" s="145">
        <f t="shared" si="74"/>
        <v>0</v>
      </c>
      <c r="C523" s="145">
        <f t="shared" si="71"/>
        <v>0</v>
      </c>
      <c r="D523" s="146">
        <f t="shared" si="75"/>
        <v>0.3333333333333332</v>
      </c>
      <c r="E523" s="170">
        <f t="shared" si="72"/>
        <v>0</v>
      </c>
      <c r="F523" s="243">
        <f t="shared" si="73"/>
        <v>0</v>
      </c>
    </row>
    <row r="524" spans="1:6" hidden="1" outlineLevel="2">
      <c r="A524" s="141" t="s">
        <v>125</v>
      </c>
      <c r="B524" s="145">
        <f t="shared" si="74"/>
        <v>0</v>
      </c>
      <c r="C524" s="145">
        <f t="shared" si="71"/>
        <v>0</v>
      </c>
      <c r="D524" s="146">
        <f t="shared" si="75"/>
        <v>0.24999999999999989</v>
      </c>
      <c r="E524" s="170">
        <f t="shared" si="72"/>
        <v>0</v>
      </c>
      <c r="F524" s="145">
        <f t="shared" si="73"/>
        <v>0</v>
      </c>
    </row>
    <row r="525" spans="1:6" hidden="1" outlineLevel="2">
      <c r="A525" s="141" t="s">
        <v>126</v>
      </c>
      <c r="B525" s="145">
        <f t="shared" si="74"/>
        <v>0</v>
      </c>
      <c r="C525" s="145">
        <f t="shared" si="71"/>
        <v>0</v>
      </c>
      <c r="D525" s="146">
        <f t="shared" si="75"/>
        <v>0.16666666666666657</v>
      </c>
      <c r="E525" s="170">
        <f t="shared" si="72"/>
        <v>0</v>
      </c>
      <c r="F525" s="145">
        <f t="shared" si="73"/>
        <v>0</v>
      </c>
    </row>
    <row r="526" spans="1:6" hidden="1" outlineLevel="2">
      <c r="A526" s="141" t="s">
        <v>127</v>
      </c>
      <c r="B526" s="145">
        <f t="shared" si="74"/>
        <v>0</v>
      </c>
      <c r="C526" s="145">
        <f t="shared" si="71"/>
        <v>0</v>
      </c>
      <c r="D526" s="146">
        <f t="shared" si="75"/>
        <v>8.3333333333333245E-2</v>
      </c>
      <c r="E526" s="170">
        <f t="shared" si="72"/>
        <v>0</v>
      </c>
      <c r="F526" s="145">
        <f t="shared" si="73"/>
        <v>0</v>
      </c>
    </row>
    <row r="527" spans="1:6" hidden="1" outlineLevel="1">
      <c r="A527" s="141" t="s">
        <v>190</v>
      </c>
      <c r="B527" s="145">
        <f t="shared" si="74"/>
        <v>0</v>
      </c>
      <c r="C527" s="145">
        <f t="shared" si="71"/>
        <v>0</v>
      </c>
      <c r="D527" s="146">
        <f t="shared" si="75"/>
        <v>0</v>
      </c>
      <c r="E527" s="170">
        <f t="shared" si="72"/>
        <v>0</v>
      </c>
      <c r="F527" s="147">
        <f t="shared" si="73"/>
        <v>0</v>
      </c>
    </row>
    <row r="528" spans="1:6" ht="15.75" hidden="1" customHeight="1" outlineLevel="1" thickBot="1">
      <c r="A528" s="357" t="s">
        <v>283</v>
      </c>
      <c r="B528" s="554">
        <f>SUM(B512:B515)+B519+SUM(B521:B527)</f>
        <v>-1947.9492151157895</v>
      </c>
      <c r="D528" s="758" t="s">
        <v>284</v>
      </c>
      <c r="E528" s="759"/>
      <c r="F528" s="142">
        <f>(SUM(F512:F515)+F519+SUM(F521:F527))/12</f>
        <v>484.36957516679166</v>
      </c>
    </row>
    <row r="529" spans="1:6" ht="15" hidden="1" outlineLevel="1" thickTop="1">
      <c r="A529" s="149"/>
    </row>
    <row r="530" spans="1:6" hidden="1" outlineLevel="1">
      <c r="A530" s="261" t="s">
        <v>226</v>
      </c>
      <c r="B530" s="170">
        <f t="shared" ref="B530:B541" si="76">+F460</f>
        <v>0</v>
      </c>
      <c r="C530" s="170">
        <f>+C527+B530</f>
        <v>0</v>
      </c>
      <c r="D530" s="271">
        <f>D494</f>
        <v>0.91666666666666663</v>
      </c>
      <c r="E530" s="170">
        <f>+B530*D530</f>
        <v>0</v>
      </c>
      <c r="F530" s="272">
        <f>+F527+E530</f>
        <v>0</v>
      </c>
    </row>
    <row r="531" spans="1:6" hidden="1" outlineLevel="1">
      <c r="A531" s="141" t="s">
        <v>119</v>
      </c>
      <c r="B531" s="170">
        <f t="shared" si="76"/>
        <v>0</v>
      </c>
      <c r="C531" s="170">
        <f t="shared" ref="C531:C541" si="77">+C530+B531</f>
        <v>0</v>
      </c>
      <c r="D531" s="271">
        <f>D530-(1/12)</f>
        <v>0.83333333333333326</v>
      </c>
      <c r="E531" s="170">
        <f t="shared" ref="E531:E541" si="78">+B531*D531</f>
        <v>0</v>
      </c>
      <c r="F531" s="272">
        <f t="shared" ref="F531:F541" si="79">+F530+E531</f>
        <v>0</v>
      </c>
    </row>
    <row r="532" spans="1:6" hidden="1" outlineLevel="1">
      <c r="A532" s="141" t="s">
        <v>120</v>
      </c>
      <c r="B532" s="170">
        <f t="shared" si="76"/>
        <v>0</v>
      </c>
      <c r="C532" s="170">
        <f t="shared" si="77"/>
        <v>0</v>
      </c>
      <c r="D532" s="271">
        <f>D531-(1/12)</f>
        <v>0.74999999999999989</v>
      </c>
      <c r="E532" s="170">
        <f t="shared" si="78"/>
        <v>0</v>
      </c>
      <c r="F532" s="272">
        <f t="shared" si="79"/>
        <v>0</v>
      </c>
    </row>
    <row r="533" spans="1:6" hidden="1" outlineLevel="1">
      <c r="A533" s="141" t="s">
        <v>121</v>
      </c>
      <c r="B533" s="170">
        <f t="shared" si="76"/>
        <v>0</v>
      </c>
      <c r="C533" s="170">
        <f t="shared" si="77"/>
        <v>0</v>
      </c>
      <c r="D533" s="271">
        <f>D532-(1/12)</f>
        <v>0.66666666666666652</v>
      </c>
      <c r="E533" s="170">
        <f t="shared" si="78"/>
        <v>0</v>
      </c>
      <c r="F533" s="272">
        <f t="shared" si="79"/>
        <v>0</v>
      </c>
    </row>
    <row r="534" spans="1:6" hidden="1" outlineLevel="1">
      <c r="A534" s="141" t="s">
        <v>75</v>
      </c>
      <c r="B534" s="170">
        <f t="shared" si="76"/>
        <v>0</v>
      </c>
      <c r="C534" s="170">
        <f t="shared" si="77"/>
        <v>0</v>
      </c>
      <c r="D534" s="271">
        <f>D533-(1/12)</f>
        <v>0.58333333333333315</v>
      </c>
      <c r="E534" s="170">
        <f t="shared" si="78"/>
        <v>0</v>
      </c>
      <c r="F534" s="272">
        <f t="shared" si="79"/>
        <v>0</v>
      </c>
    </row>
    <row r="535" spans="1:6" hidden="1" outlineLevel="1">
      <c r="A535" s="141" t="s">
        <v>122</v>
      </c>
      <c r="B535" s="170">
        <f t="shared" si="76"/>
        <v>0</v>
      </c>
      <c r="C535" s="170">
        <f t="shared" si="77"/>
        <v>0</v>
      </c>
      <c r="D535" s="271">
        <f>D534-(1/12)</f>
        <v>0.49999999999999983</v>
      </c>
      <c r="E535" s="170">
        <f t="shared" si="78"/>
        <v>0</v>
      </c>
      <c r="F535" s="272">
        <f t="shared" si="79"/>
        <v>0</v>
      </c>
    </row>
    <row r="536" spans="1:6" hidden="1" outlineLevel="1">
      <c r="A536" s="141" t="s">
        <v>123</v>
      </c>
      <c r="B536" s="170">
        <f t="shared" si="76"/>
        <v>0</v>
      </c>
      <c r="C536" s="170">
        <f t="shared" si="77"/>
        <v>0</v>
      </c>
      <c r="D536" s="271">
        <f t="shared" ref="D536:D541" si="80">D535-(1/12)</f>
        <v>0.41666666666666652</v>
      </c>
      <c r="E536" s="170">
        <f t="shared" si="78"/>
        <v>0</v>
      </c>
      <c r="F536" s="272">
        <f t="shared" si="79"/>
        <v>0</v>
      </c>
    </row>
    <row r="537" spans="1:6" hidden="1" outlineLevel="1">
      <c r="A537" s="141" t="s">
        <v>124</v>
      </c>
      <c r="B537" s="170">
        <f t="shared" si="76"/>
        <v>0</v>
      </c>
      <c r="C537" s="170">
        <f t="shared" si="77"/>
        <v>0</v>
      </c>
      <c r="D537" s="271">
        <f t="shared" si="80"/>
        <v>0.3333333333333332</v>
      </c>
      <c r="E537" s="170">
        <f t="shared" si="78"/>
        <v>0</v>
      </c>
      <c r="F537" s="272">
        <f t="shared" si="79"/>
        <v>0</v>
      </c>
    </row>
    <row r="538" spans="1:6" hidden="1" outlineLevel="1">
      <c r="A538" s="141" t="s">
        <v>125</v>
      </c>
      <c r="B538" s="170">
        <f t="shared" si="76"/>
        <v>0</v>
      </c>
      <c r="C538" s="170">
        <f t="shared" si="77"/>
        <v>0</v>
      </c>
      <c r="D538" s="271">
        <f t="shared" si="80"/>
        <v>0.24999999999999989</v>
      </c>
      <c r="E538" s="170">
        <f t="shared" si="78"/>
        <v>0</v>
      </c>
      <c r="F538" s="272">
        <f t="shared" si="79"/>
        <v>0</v>
      </c>
    </row>
    <row r="539" spans="1:6" collapsed="1">
      <c r="A539" s="141" t="s">
        <v>126</v>
      </c>
      <c r="B539" s="170">
        <f t="shared" si="76"/>
        <v>0</v>
      </c>
      <c r="C539" s="170">
        <f t="shared" si="77"/>
        <v>0</v>
      </c>
      <c r="D539" s="271">
        <f t="shared" si="80"/>
        <v>0.16666666666666657</v>
      </c>
      <c r="E539" s="170">
        <f t="shared" si="78"/>
        <v>0</v>
      </c>
      <c r="F539" s="272">
        <f t="shared" si="79"/>
        <v>0</v>
      </c>
    </row>
    <row r="540" spans="1:6">
      <c r="A540" s="141" t="s">
        <v>127</v>
      </c>
      <c r="B540" s="170">
        <f t="shared" si="76"/>
        <v>0</v>
      </c>
      <c r="C540" s="170">
        <f t="shared" si="77"/>
        <v>0</v>
      </c>
      <c r="D540" s="271">
        <f t="shared" si="80"/>
        <v>8.3333333333333245E-2</v>
      </c>
      <c r="E540" s="170">
        <f t="shared" si="78"/>
        <v>0</v>
      </c>
      <c r="F540" s="272">
        <f t="shared" si="79"/>
        <v>0</v>
      </c>
    </row>
    <row r="541" spans="1:6">
      <c r="A541" s="141" t="s">
        <v>227</v>
      </c>
      <c r="B541" s="170">
        <f t="shared" si="76"/>
        <v>0</v>
      </c>
      <c r="C541" s="170">
        <f t="shared" si="77"/>
        <v>0</v>
      </c>
      <c r="D541" s="271">
        <f t="shared" si="80"/>
        <v>0</v>
      </c>
      <c r="E541" s="170">
        <f t="shared" si="78"/>
        <v>0</v>
      </c>
      <c r="F541" s="405">
        <f t="shared" si="79"/>
        <v>0</v>
      </c>
    </row>
    <row r="542" spans="1:6" ht="15" hidden="1" outlineLevel="1" thickBot="1">
      <c r="A542" s="357" t="s">
        <v>283</v>
      </c>
      <c r="B542" s="150">
        <f>SUM(B530:B541)</f>
        <v>0</v>
      </c>
      <c r="D542" s="758" t="s">
        <v>284</v>
      </c>
      <c r="E542" s="759"/>
      <c r="F542" s="151">
        <f>SUM(F530:F541)/12</f>
        <v>0</v>
      </c>
    </row>
    <row r="543" spans="1:6" collapsed="1"/>
    <row r="544" spans="1:6" s="167" customFormat="1">
      <c r="A544" s="358" t="s">
        <v>262</v>
      </c>
      <c r="B544" s="170">
        <f t="shared" ref="B544:B555" si="81">+F474</f>
        <v>0</v>
      </c>
      <c r="C544" s="170">
        <f>+C541+B544</f>
        <v>0</v>
      </c>
      <c r="D544" s="271">
        <f>D530</f>
        <v>0.91666666666666663</v>
      </c>
      <c r="E544" s="170">
        <f>+B544*D544</f>
        <v>0</v>
      </c>
      <c r="F544" s="272">
        <f>+F541+E544</f>
        <v>0</v>
      </c>
    </row>
    <row r="545" spans="1:8" s="167" customFormat="1">
      <c r="A545" s="261" t="s">
        <v>119</v>
      </c>
      <c r="B545" s="170">
        <f t="shared" si="81"/>
        <v>0</v>
      </c>
      <c r="C545" s="170">
        <f t="shared" ref="C545:C555" si="82">+C544+B545</f>
        <v>0</v>
      </c>
      <c r="D545" s="271">
        <f>D544-(1/12)</f>
        <v>0.83333333333333326</v>
      </c>
      <c r="E545" s="170">
        <f t="shared" ref="E545:E555" si="83">+B545*D545</f>
        <v>0</v>
      </c>
      <c r="F545" s="272">
        <f>+F544+E545</f>
        <v>0</v>
      </c>
    </row>
    <row r="546" spans="1:8" s="167" customFormat="1">
      <c r="A546" s="261" t="s">
        <v>120</v>
      </c>
      <c r="B546" s="170">
        <f t="shared" si="81"/>
        <v>0</v>
      </c>
      <c r="C546" s="170">
        <f t="shared" si="82"/>
        <v>0</v>
      </c>
      <c r="D546" s="271">
        <f>D545-(1/12)</f>
        <v>0.74999999999999989</v>
      </c>
      <c r="E546" s="170">
        <f t="shared" si="83"/>
        <v>0</v>
      </c>
      <c r="F546" s="272">
        <f>+F545+E546</f>
        <v>0</v>
      </c>
    </row>
    <row r="547" spans="1:8" s="167" customFormat="1">
      <c r="A547" s="261" t="s">
        <v>121</v>
      </c>
      <c r="B547" s="170">
        <f t="shared" si="81"/>
        <v>0</v>
      </c>
      <c r="C547" s="170">
        <f t="shared" si="82"/>
        <v>0</v>
      </c>
      <c r="D547" s="271">
        <f>D546-(1/12)</f>
        <v>0.66666666666666652</v>
      </c>
      <c r="E547" s="170">
        <f t="shared" si="83"/>
        <v>0</v>
      </c>
      <c r="F547" s="272">
        <f t="shared" ref="F547:F555" si="84">+F546+E547</f>
        <v>0</v>
      </c>
    </row>
    <row r="548" spans="1:8" s="167" customFormat="1">
      <c r="A548" s="261" t="s">
        <v>75</v>
      </c>
      <c r="B548" s="170">
        <f t="shared" si="81"/>
        <v>0</v>
      </c>
      <c r="C548" s="170">
        <f t="shared" si="82"/>
        <v>0</v>
      </c>
      <c r="D548" s="271">
        <f>D547-(1/12)</f>
        <v>0.58333333333333315</v>
      </c>
      <c r="E548" s="170">
        <f t="shared" si="83"/>
        <v>0</v>
      </c>
      <c r="F548" s="272">
        <f t="shared" si="84"/>
        <v>0</v>
      </c>
    </row>
    <row r="549" spans="1:8" s="167" customFormat="1">
      <c r="A549" s="261" t="s">
        <v>122</v>
      </c>
      <c r="B549" s="170">
        <f t="shared" si="81"/>
        <v>0</v>
      </c>
      <c r="C549" s="170">
        <f t="shared" si="82"/>
        <v>0</v>
      </c>
      <c r="D549" s="271">
        <f>D548-(1/12)</f>
        <v>0.49999999999999983</v>
      </c>
      <c r="E549" s="170">
        <f t="shared" si="83"/>
        <v>0</v>
      </c>
      <c r="F549" s="272">
        <f t="shared" si="84"/>
        <v>0</v>
      </c>
    </row>
    <row r="550" spans="1:8" s="167" customFormat="1">
      <c r="A550" s="261" t="s">
        <v>123</v>
      </c>
      <c r="B550" s="170">
        <f t="shared" si="81"/>
        <v>0</v>
      </c>
      <c r="C550" s="170">
        <f t="shared" si="82"/>
        <v>0</v>
      </c>
      <c r="D550" s="271">
        <f t="shared" ref="D550:D555" si="85">D549-(1/12)</f>
        <v>0.41666666666666652</v>
      </c>
      <c r="E550" s="170">
        <f t="shared" si="83"/>
        <v>0</v>
      </c>
      <c r="F550" s="272">
        <f t="shared" si="84"/>
        <v>0</v>
      </c>
    </row>
    <row r="551" spans="1:8" s="167" customFormat="1">
      <c r="A551" s="261" t="s">
        <v>124</v>
      </c>
      <c r="B551" s="170">
        <f t="shared" si="81"/>
        <v>0</v>
      </c>
      <c r="C551" s="170">
        <f t="shared" si="82"/>
        <v>0</v>
      </c>
      <c r="D551" s="271">
        <f t="shared" si="85"/>
        <v>0.3333333333333332</v>
      </c>
      <c r="E551" s="170">
        <f t="shared" si="83"/>
        <v>0</v>
      </c>
      <c r="F551" s="272">
        <f t="shared" si="84"/>
        <v>0</v>
      </c>
    </row>
    <row r="552" spans="1:8" s="167" customFormat="1">
      <c r="A552" s="261" t="s">
        <v>125</v>
      </c>
      <c r="B552" s="170">
        <f t="shared" si="81"/>
        <v>0</v>
      </c>
      <c r="C552" s="170">
        <f t="shared" si="82"/>
        <v>0</v>
      </c>
      <c r="D552" s="271">
        <f t="shared" si="85"/>
        <v>0.24999999999999989</v>
      </c>
      <c r="E552" s="170">
        <f t="shared" si="83"/>
        <v>0</v>
      </c>
      <c r="F552" s="272">
        <f t="shared" si="84"/>
        <v>0</v>
      </c>
    </row>
    <row r="553" spans="1:8" s="167" customFormat="1">
      <c r="A553" s="261" t="s">
        <v>126</v>
      </c>
      <c r="B553" s="170">
        <f t="shared" si="81"/>
        <v>0</v>
      </c>
      <c r="C553" s="170">
        <f t="shared" si="82"/>
        <v>0</v>
      </c>
      <c r="D553" s="271">
        <f t="shared" si="85"/>
        <v>0.16666666666666657</v>
      </c>
      <c r="E553" s="170">
        <f t="shared" si="83"/>
        <v>0</v>
      </c>
      <c r="F553" s="272">
        <f t="shared" si="84"/>
        <v>0</v>
      </c>
    </row>
    <row r="554" spans="1:8" s="167" customFormat="1">
      <c r="A554" s="261" t="s">
        <v>127</v>
      </c>
      <c r="B554" s="170">
        <f t="shared" si="81"/>
        <v>0</v>
      </c>
      <c r="C554" s="170">
        <f t="shared" si="82"/>
        <v>0</v>
      </c>
      <c r="D554" s="271">
        <f t="shared" si="85"/>
        <v>8.3333333333333245E-2</v>
      </c>
      <c r="E554" s="170">
        <f t="shared" si="83"/>
        <v>0</v>
      </c>
      <c r="F554" s="272">
        <f t="shared" si="84"/>
        <v>0</v>
      </c>
    </row>
    <row r="555" spans="1:8" s="167" customFormat="1">
      <c r="A555" s="358" t="s">
        <v>263</v>
      </c>
      <c r="B555" s="170">
        <f t="shared" si="81"/>
        <v>0</v>
      </c>
      <c r="C555" s="170">
        <f t="shared" si="82"/>
        <v>0</v>
      </c>
      <c r="D555" s="271">
        <f t="shared" si="85"/>
        <v>0</v>
      </c>
      <c r="E555" s="170">
        <f t="shared" si="83"/>
        <v>0</v>
      </c>
      <c r="F555" s="405">
        <f t="shared" si="84"/>
        <v>0</v>
      </c>
    </row>
    <row r="556" spans="1:8" s="167" customFormat="1" ht="15" hidden="1" outlineLevel="1" thickBot="1">
      <c r="A556" s="357" t="s">
        <v>283</v>
      </c>
      <c r="B556" s="528">
        <f>SUM(B544:B555)</f>
        <v>0</v>
      </c>
      <c r="D556" s="758" t="s">
        <v>284</v>
      </c>
      <c r="E556" s="759"/>
      <c r="F556" s="535">
        <f>SUM(F544:F555)/12</f>
        <v>0</v>
      </c>
    </row>
    <row r="557" spans="1:8" collapsed="1"/>
    <row r="558" spans="1:8" s="167" customFormat="1" ht="18.75" thickBot="1">
      <c r="A558" s="740" t="s">
        <v>266</v>
      </c>
      <c r="B558" s="741"/>
      <c r="C558" s="741"/>
      <c r="D558" s="741"/>
      <c r="E558" s="741"/>
      <c r="F558" s="741"/>
      <c r="H558" s="536"/>
    </row>
    <row r="559" spans="1:8" s="167" customFormat="1">
      <c r="A559" s="529" t="s">
        <v>274</v>
      </c>
      <c r="B559" s="530">
        <f t="shared" ref="B559:B565" si="86">+B21</f>
        <v>6.25E-2</v>
      </c>
    </row>
    <row r="560" spans="1:8" s="167" customFormat="1">
      <c r="A560" s="529" t="s">
        <v>271</v>
      </c>
      <c r="B560" s="534">
        <f t="shared" si="86"/>
        <v>0.40720000000000001</v>
      </c>
    </row>
    <row r="561" spans="1:7" s="167" customFormat="1">
      <c r="A561" s="529" t="s">
        <v>272</v>
      </c>
      <c r="B561" s="530">
        <f t="shared" si="86"/>
        <v>6.25E-2</v>
      </c>
    </row>
    <row r="562" spans="1:7" s="167" customFormat="1">
      <c r="A562" s="330" t="s">
        <v>168</v>
      </c>
      <c r="B562" s="530">
        <f t="shared" si="86"/>
        <v>6.25E-2</v>
      </c>
    </row>
    <row r="563" spans="1:7" s="167" customFormat="1">
      <c r="A563" s="330" t="s">
        <v>169</v>
      </c>
      <c r="B563" s="530">
        <f t="shared" si="86"/>
        <v>6.25E-2</v>
      </c>
    </row>
    <row r="564" spans="1:7" s="167" customFormat="1">
      <c r="A564" s="330" t="s">
        <v>170</v>
      </c>
      <c r="B564" s="530">
        <f t="shared" si="86"/>
        <v>6.25E-2</v>
      </c>
    </row>
    <row r="565" spans="1:7" s="167" customFormat="1">
      <c r="A565" s="529" t="s">
        <v>270</v>
      </c>
      <c r="B565" s="534">
        <f t="shared" si="86"/>
        <v>0.40739999999999998</v>
      </c>
    </row>
    <row r="566" spans="1:7">
      <c r="A566" s="137"/>
      <c r="B566" s="156"/>
    </row>
    <row r="569" spans="1:7" ht="15">
      <c r="A569" s="139" t="s">
        <v>135</v>
      </c>
    </row>
    <row r="570" spans="1:7" ht="59.25" customHeight="1">
      <c r="A570" s="750" t="str">
        <f>A558</f>
        <v>Eldorado Ivanpah</v>
      </c>
      <c r="B570" s="761" t="s">
        <v>180</v>
      </c>
      <c r="C570" s="761" t="s">
        <v>181</v>
      </c>
      <c r="D570" s="761" t="s">
        <v>182</v>
      </c>
      <c r="E570" s="747" t="s">
        <v>144</v>
      </c>
      <c r="F570" s="326" t="s">
        <v>136</v>
      </c>
      <c r="G570" s="360" t="s">
        <v>197</v>
      </c>
    </row>
    <row r="571" spans="1:7" s="167" customFormat="1">
      <c r="A571" s="760"/>
      <c r="B571" s="762"/>
      <c r="C571" s="762"/>
      <c r="D571" s="763"/>
      <c r="E571" s="755"/>
      <c r="F571" s="537">
        <f>B560</f>
        <v>0.40720000000000001</v>
      </c>
      <c r="G571" s="538">
        <v>40179</v>
      </c>
    </row>
    <row r="572" spans="1:7" s="167" customFormat="1" ht="15">
      <c r="A572" s="547"/>
      <c r="B572" s="548"/>
      <c r="C572" s="548"/>
      <c r="D572" s="549"/>
      <c r="E572" s="618"/>
      <c r="F572" s="537">
        <f>B565</f>
        <v>0.40739999999999998</v>
      </c>
      <c r="G572" s="538">
        <v>40544</v>
      </c>
    </row>
    <row r="573" spans="1:7" ht="15">
      <c r="A573" s="263"/>
      <c r="B573" s="264"/>
      <c r="C573" s="264"/>
      <c r="D573" s="265"/>
      <c r="E573" s="266"/>
      <c r="F573" s="304"/>
      <c r="G573" s="305"/>
    </row>
    <row r="574" spans="1:7" s="167" customFormat="1">
      <c r="A574" s="358" t="s">
        <v>276</v>
      </c>
      <c r="B574" s="167">
        <f>'Eldorado Ivanpah CWIP Balance'!E15-'Beg int cap'!B26</f>
        <v>8819.8372099999997</v>
      </c>
      <c r="C574" s="170">
        <f>'Beg int cap'!E26</f>
        <v>0</v>
      </c>
      <c r="D574" s="167">
        <f>SUM(B574:C574)</f>
        <v>8819.8372099999997</v>
      </c>
      <c r="F574" s="167">
        <f>(C574*F571)-('Beg int cap'!D39*'Def Tax'!F571)</f>
        <v>0</v>
      </c>
      <c r="G574" s="543"/>
    </row>
    <row r="575" spans="1:7" s="167" customFormat="1">
      <c r="A575" s="358" t="s">
        <v>227</v>
      </c>
      <c r="B575" s="167">
        <f>B574+'Eldorado Ivanpah CWIP Balance'!D16</f>
        <v>9532.3295699999999</v>
      </c>
      <c r="C575" s="167">
        <f>C574+E575</f>
        <v>45.936652135416665</v>
      </c>
      <c r="D575" s="167">
        <f>SUM(B575:C575)</f>
        <v>9578.2662221354167</v>
      </c>
      <c r="E575" s="167">
        <f>D574*(B559/12)</f>
        <v>45.936652135416665</v>
      </c>
      <c r="F575" s="167">
        <f>+E575*$F$571</f>
        <v>18.705404749541668</v>
      </c>
    </row>
    <row r="576" spans="1:7" s="167" customFormat="1" ht="15" thickBot="1">
      <c r="A576" s="358"/>
      <c r="E576" s="168"/>
      <c r="F576" s="168"/>
    </row>
    <row r="577" spans="1:6" s="167" customFormat="1" ht="15" thickTop="1">
      <c r="A577" s="358"/>
    </row>
    <row r="578" spans="1:6" s="167" customFormat="1">
      <c r="A578" s="358" t="s">
        <v>262</v>
      </c>
      <c r="B578" s="167">
        <f>B575+'Eldorado Ivanpah CWIP Balance'!D17</f>
        <v>9766.6839799999998</v>
      </c>
      <c r="C578" s="167">
        <f>C575+E578</f>
        <v>95.823455375705294</v>
      </c>
      <c r="D578" s="167">
        <f>SUM(B578:C578)</f>
        <v>9862.5074353757045</v>
      </c>
      <c r="E578" s="167">
        <f>D575*($B$561/12)</f>
        <v>49.886803240288629</v>
      </c>
      <c r="F578" s="167">
        <f t="shared" ref="F578:F589" si="87">+E578*$F$572</f>
        <v>20.323883640093587</v>
      </c>
    </row>
    <row r="579" spans="1:6" s="167" customFormat="1">
      <c r="A579" s="261" t="s">
        <v>119</v>
      </c>
      <c r="B579" s="167">
        <f>B578+'Eldorado Ivanpah CWIP Balance'!D18</f>
        <v>10409.83145</v>
      </c>
      <c r="C579" s="167">
        <f t="shared" ref="C579:C589" si="88">C578+E579</f>
        <v>147.19068160162041</v>
      </c>
      <c r="D579" s="167">
        <f>SUM(B579:C579)</f>
        <v>10557.02213160162</v>
      </c>
      <c r="E579" s="167">
        <f>D578*($B$561/12)</f>
        <v>51.367226225915125</v>
      </c>
      <c r="F579" s="167">
        <f t="shared" si="87"/>
        <v>20.92700796443782</v>
      </c>
    </row>
    <row r="580" spans="1:6" s="167" customFormat="1">
      <c r="A580" s="261" t="s">
        <v>120</v>
      </c>
      <c r="B580" s="167">
        <f>B579+'Eldorado Ivanpah CWIP Balance'!D19</f>
        <v>11169.440490000001</v>
      </c>
      <c r="C580" s="167">
        <f t="shared" si="88"/>
        <v>202.17517187037885</v>
      </c>
      <c r="D580" s="167">
        <f>SUM(B580:C580)</f>
        <v>11371.615661870379</v>
      </c>
      <c r="E580" s="167">
        <f>D579*($B$561/12)</f>
        <v>54.984490268758435</v>
      </c>
      <c r="F580" s="167">
        <f t="shared" si="87"/>
        <v>22.400681335492184</v>
      </c>
    </row>
    <row r="581" spans="1:6" s="167" customFormat="1">
      <c r="A581" s="261" t="s">
        <v>121</v>
      </c>
      <c r="B581" s="167">
        <f>B580+'Eldorado Ivanpah CWIP Balance'!D20</f>
        <v>12913.843699999999</v>
      </c>
      <c r="C581" s="167">
        <f t="shared" si="88"/>
        <v>261.40233677595376</v>
      </c>
      <c r="D581" s="167">
        <f>SUM(B581:C581)</f>
        <v>13175.246036775954</v>
      </c>
      <c r="E581" s="167">
        <f>D580*($B$562/12)</f>
        <v>59.227164905574888</v>
      </c>
      <c r="F581" s="167">
        <f t="shared" si="87"/>
        <v>24.129146982531207</v>
      </c>
    </row>
    <row r="582" spans="1:6" s="167" customFormat="1">
      <c r="A582" s="261" t="s">
        <v>75</v>
      </c>
      <c r="B582" s="167">
        <f>B581+'Eldorado Ivanpah CWIP Balance'!D21</f>
        <v>13628.197700000001</v>
      </c>
      <c r="C582" s="167">
        <f t="shared" si="88"/>
        <v>330.02340988416188</v>
      </c>
      <c r="D582" s="167">
        <f t="shared" ref="D582:D584" si="89">SUM(B582:C582)</f>
        <v>13958.221109884162</v>
      </c>
      <c r="E582" s="167">
        <f>D581*($B$562/12)</f>
        <v>68.621073108208094</v>
      </c>
      <c r="F582" s="167">
        <f t="shared" si="87"/>
        <v>27.956225184283976</v>
      </c>
    </row>
    <row r="583" spans="1:6" s="167" customFormat="1">
      <c r="A583" s="261" t="s">
        <v>122</v>
      </c>
      <c r="B583" s="167">
        <f>B582+'Eldorado Ivanpah CWIP Balance'!D22</f>
        <v>14641.60644</v>
      </c>
      <c r="C583" s="167">
        <f t="shared" si="88"/>
        <v>402.72247816480854</v>
      </c>
      <c r="D583" s="167">
        <f t="shared" si="89"/>
        <v>15044.328918164809</v>
      </c>
      <c r="E583" s="167">
        <f>D582*($B$562/12)</f>
        <v>72.699068280646671</v>
      </c>
      <c r="F583" s="167">
        <f t="shared" si="87"/>
        <v>29.617600417535453</v>
      </c>
    </row>
    <row r="584" spans="1:6" s="167" customFormat="1">
      <c r="A584" s="261" t="s">
        <v>123</v>
      </c>
      <c r="B584" s="167">
        <f>B583+'Eldorado Ivanpah CWIP Balance'!D23</f>
        <v>15658.43161</v>
      </c>
      <c r="C584" s="167">
        <f t="shared" si="88"/>
        <v>481.07835794691692</v>
      </c>
      <c r="D584" s="167">
        <f t="shared" si="89"/>
        <v>16139.509967946917</v>
      </c>
      <c r="E584" s="167">
        <f>D583*($B$563/12)</f>
        <v>78.355879782108374</v>
      </c>
      <c r="F584" s="167">
        <f t="shared" si="87"/>
        <v>31.92218542323095</v>
      </c>
    </row>
    <row r="585" spans="1:6" s="167" customFormat="1">
      <c r="A585" s="261" t="s">
        <v>124</v>
      </c>
      <c r="B585" s="167">
        <f>B584+'Eldorado Ivanpah CWIP Balance'!D24</f>
        <v>17199.0684</v>
      </c>
      <c r="C585" s="167">
        <f t="shared" si="88"/>
        <v>565.13830569664049</v>
      </c>
      <c r="D585" s="167">
        <f>SUM(B585:C585)</f>
        <v>17764.206705696641</v>
      </c>
      <c r="E585" s="167">
        <f>D584*($B$563/12)</f>
        <v>84.05994774972352</v>
      </c>
      <c r="F585" s="167">
        <f t="shared" si="87"/>
        <v>34.246022713237359</v>
      </c>
    </row>
    <row r="586" spans="1:6" s="167" customFormat="1">
      <c r="A586" s="261" t="s">
        <v>125</v>
      </c>
      <c r="B586" s="167">
        <f>B585+'Eldorado Ivanpah CWIP Balance'!D25</f>
        <v>18686.379690000002</v>
      </c>
      <c r="C586" s="167">
        <f t="shared" si="88"/>
        <v>657.66021562214382</v>
      </c>
      <c r="D586" s="167">
        <f>SUM(B586:C586)</f>
        <v>19344.039905622147</v>
      </c>
      <c r="E586" s="167">
        <f>D585*($B$563/12)</f>
        <v>92.521909925503337</v>
      </c>
      <c r="F586" s="167">
        <f t="shared" si="87"/>
        <v>37.693426103650062</v>
      </c>
    </row>
    <row r="587" spans="1:6" s="167" customFormat="1">
      <c r="A587" s="261" t="s">
        <v>126</v>
      </c>
      <c r="B587" s="167">
        <f>B586+'Eldorado Ivanpah CWIP Balance'!D26</f>
        <v>24053.354090000001</v>
      </c>
      <c r="C587" s="167">
        <f t="shared" si="88"/>
        <v>758.41042346392578</v>
      </c>
      <c r="D587" s="167">
        <f t="shared" ref="D587:D589" si="90">SUM(B587:C587)</f>
        <v>24811.764513463928</v>
      </c>
      <c r="E587" s="167">
        <f>D586*($B$564/12)</f>
        <v>100.75020784178201</v>
      </c>
      <c r="F587" s="167">
        <f t="shared" si="87"/>
        <v>41.04563467474199</v>
      </c>
    </row>
    <row r="588" spans="1:6" s="167" customFormat="1">
      <c r="A588" s="261" t="s">
        <v>127</v>
      </c>
      <c r="B588" s="167">
        <f>B587+'Eldorado Ivanpah CWIP Balance'!D27</f>
        <v>21195.395980000001</v>
      </c>
      <c r="C588" s="167">
        <f t="shared" si="88"/>
        <v>887.63836363821702</v>
      </c>
      <c r="D588" s="167">
        <f t="shared" si="90"/>
        <v>22083.034343638217</v>
      </c>
      <c r="E588" s="167">
        <f>D587*($B$564/12)</f>
        <v>129.22794017429129</v>
      </c>
      <c r="F588" s="167">
        <f t="shared" si="87"/>
        <v>52.647462827006272</v>
      </c>
    </row>
    <row r="589" spans="1:6" s="167" customFormat="1">
      <c r="A589" s="358" t="s">
        <v>263</v>
      </c>
      <c r="B589" s="167">
        <f>B588+'Eldorado Ivanpah CWIP Balance'!D28</f>
        <v>30843.632020000001</v>
      </c>
      <c r="C589" s="167">
        <f t="shared" si="88"/>
        <v>1002.6541675113327</v>
      </c>
      <c r="D589" s="167">
        <f t="shared" si="90"/>
        <v>31846.286187511334</v>
      </c>
      <c r="E589" s="167">
        <f>D588*($B$564/12)</f>
        <v>115.01580387311571</v>
      </c>
      <c r="F589" s="167">
        <f t="shared" si="87"/>
        <v>46.857438497907339</v>
      </c>
    </row>
    <row r="590" spans="1:6" ht="15" thickBot="1">
      <c r="A590" s="357"/>
      <c r="E590" s="168"/>
      <c r="F590" s="142"/>
    </row>
    <row r="591" spans="1:6" ht="15" thickTop="1">
      <c r="A591" s="749"/>
      <c r="B591" s="749"/>
      <c r="C591" s="749"/>
      <c r="D591" s="749"/>
      <c r="E591" s="749"/>
      <c r="F591" s="749"/>
    </row>
    <row r="592" spans="1:6" ht="15.75">
      <c r="A592" s="749" t="s">
        <v>145</v>
      </c>
      <c r="B592" s="749"/>
      <c r="C592" s="749"/>
      <c r="D592" s="749"/>
      <c r="E592" s="749"/>
      <c r="F592" s="749"/>
    </row>
    <row r="593" spans="1:6">
      <c r="A593" s="749"/>
      <c r="B593" s="749"/>
      <c r="C593" s="749"/>
      <c r="D593" s="749"/>
      <c r="E593" s="749"/>
      <c r="F593" s="749"/>
    </row>
    <row r="595" spans="1:6" ht="15">
      <c r="A595" s="139" t="s">
        <v>138</v>
      </c>
    </row>
    <row r="596" spans="1:6" ht="28.5">
      <c r="A596" s="143" t="str">
        <f>A558</f>
        <v>Eldorado Ivanpah</v>
      </c>
      <c r="B596" s="144" t="s">
        <v>139</v>
      </c>
      <c r="C596" s="144" t="s">
        <v>140</v>
      </c>
      <c r="D596" s="144" t="s">
        <v>141</v>
      </c>
      <c r="E596" s="169" t="s">
        <v>142</v>
      </c>
      <c r="F596" s="144" t="s">
        <v>143</v>
      </c>
    </row>
    <row r="597" spans="1:6" s="167" customFormat="1">
      <c r="A597" s="358" t="s">
        <v>276</v>
      </c>
      <c r="B597" s="167">
        <f>+F574</f>
        <v>0</v>
      </c>
      <c r="C597" s="170">
        <f>B597</f>
        <v>0</v>
      </c>
      <c r="D597" s="271">
        <v>8.3299999999999999E-2</v>
      </c>
      <c r="E597" s="170">
        <f t="shared" ref="E597:E602" si="91">+B597*D597</f>
        <v>0</v>
      </c>
      <c r="F597" s="272">
        <f>+C597*D597</f>
        <v>0</v>
      </c>
    </row>
    <row r="598" spans="1:6" s="167" customFormat="1">
      <c r="A598" s="358" t="s">
        <v>227</v>
      </c>
      <c r="B598" s="167">
        <f>+F575</f>
        <v>18.705404749541668</v>
      </c>
      <c r="C598" s="170">
        <f>C597+B598</f>
        <v>18.705404749541668</v>
      </c>
      <c r="D598" s="271">
        <v>1</v>
      </c>
      <c r="E598" s="170">
        <f t="shared" si="91"/>
        <v>18.705404749541668</v>
      </c>
      <c r="F598" s="170">
        <f>+F597+E598</f>
        <v>18.705404749541668</v>
      </c>
    </row>
    <row r="599" spans="1:6" s="167" customFormat="1">
      <c r="A599" s="358" t="s">
        <v>262</v>
      </c>
      <c r="B599" s="170">
        <f t="shared" ref="B599:B610" si="92">+F578</f>
        <v>20.323883640093587</v>
      </c>
      <c r="C599" s="170">
        <f>+C598+B599</f>
        <v>39.029288389635255</v>
      </c>
      <c r="D599" s="271">
        <f t="shared" ref="D599:D610" si="93">D598-(1/12)</f>
        <v>0.91666666666666663</v>
      </c>
      <c r="E599" s="170">
        <f t="shared" si="91"/>
        <v>18.630226670085786</v>
      </c>
      <c r="F599" s="170">
        <f>+F598+E599</f>
        <v>37.335631419627454</v>
      </c>
    </row>
    <row r="600" spans="1:6" s="167" customFormat="1">
      <c r="A600" s="261" t="s">
        <v>119</v>
      </c>
      <c r="B600" s="170">
        <f t="shared" si="92"/>
        <v>20.92700796443782</v>
      </c>
      <c r="C600" s="170">
        <f>+C599+B600</f>
        <v>59.956296354073075</v>
      </c>
      <c r="D600" s="271">
        <f t="shared" si="93"/>
        <v>0.83333333333333326</v>
      </c>
      <c r="E600" s="170">
        <f t="shared" si="91"/>
        <v>17.439173303698183</v>
      </c>
      <c r="F600" s="170">
        <f t="shared" ref="F600:F610" si="94">+F599+E600</f>
        <v>54.774804723325637</v>
      </c>
    </row>
    <row r="601" spans="1:6" s="167" customFormat="1">
      <c r="A601" s="261" t="s">
        <v>120</v>
      </c>
      <c r="B601" s="170">
        <f t="shared" si="92"/>
        <v>22.400681335492184</v>
      </c>
      <c r="C601" s="170">
        <f>+C600+B601</f>
        <v>82.356977689565255</v>
      </c>
      <c r="D601" s="271">
        <f t="shared" si="93"/>
        <v>0.74999999999999989</v>
      </c>
      <c r="E601" s="170">
        <f t="shared" si="91"/>
        <v>16.800511001619135</v>
      </c>
      <c r="F601" s="170">
        <f t="shared" si="94"/>
        <v>71.575315724944772</v>
      </c>
    </row>
    <row r="602" spans="1:6" s="167" customFormat="1">
      <c r="A602" s="261" t="s">
        <v>121</v>
      </c>
      <c r="B602" s="170">
        <f t="shared" si="92"/>
        <v>24.129146982531207</v>
      </c>
      <c r="C602" s="170">
        <f>+C601+B602</f>
        <v>106.48612467209647</v>
      </c>
      <c r="D602" s="271">
        <f t="shared" si="93"/>
        <v>0.66666666666666652</v>
      </c>
      <c r="E602" s="170">
        <f t="shared" si="91"/>
        <v>16.086097988354133</v>
      </c>
      <c r="F602" s="170">
        <f t="shared" si="94"/>
        <v>87.661413713298913</v>
      </c>
    </row>
    <row r="603" spans="1:6" s="167" customFormat="1">
      <c r="A603" s="261" t="s">
        <v>75</v>
      </c>
      <c r="B603" s="170">
        <f t="shared" si="92"/>
        <v>27.956225184283976</v>
      </c>
      <c r="C603" s="170">
        <f>+C602+B603</f>
        <v>134.44234985638045</v>
      </c>
      <c r="D603" s="271">
        <f t="shared" si="93"/>
        <v>0.58333333333333315</v>
      </c>
      <c r="E603" s="170">
        <f t="shared" ref="E603:E605" si="95">+B603*D603</f>
        <v>16.307798024165649</v>
      </c>
      <c r="F603" s="170">
        <f t="shared" si="94"/>
        <v>103.96921173746456</v>
      </c>
    </row>
    <row r="604" spans="1:6" s="167" customFormat="1">
      <c r="A604" s="261" t="s">
        <v>122</v>
      </c>
      <c r="B604" s="170">
        <f t="shared" si="92"/>
        <v>29.617600417535453</v>
      </c>
      <c r="C604" s="170">
        <f t="shared" ref="C604" si="96">+C603+B604</f>
        <v>164.05995027391589</v>
      </c>
      <c r="D604" s="271">
        <f t="shared" si="93"/>
        <v>0.49999999999999983</v>
      </c>
      <c r="E604" s="170">
        <f t="shared" si="95"/>
        <v>14.808800208767721</v>
      </c>
      <c r="F604" s="170">
        <f t="shared" si="94"/>
        <v>118.77801194623228</v>
      </c>
    </row>
    <row r="605" spans="1:6" s="167" customFormat="1">
      <c r="A605" s="261" t="s">
        <v>123</v>
      </c>
      <c r="B605" s="170">
        <f t="shared" si="92"/>
        <v>31.92218542323095</v>
      </c>
      <c r="C605" s="170">
        <f t="shared" ref="C605:C610" si="97">+C604+B605</f>
        <v>195.98213569714684</v>
      </c>
      <c r="D605" s="271">
        <f t="shared" si="93"/>
        <v>0.41666666666666652</v>
      </c>
      <c r="E605" s="170">
        <f t="shared" si="95"/>
        <v>13.30091059301289</v>
      </c>
      <c r="F605" s="170">
        <f t="shared" si="94"/>
        <v>132.07892253924518</v>
      </c>
    </row>
    <row r="606" spans="1:6" s="167" customFormat="1">
      <c r="A606" s="261" t="s">
        <v>124</v>
      </c>
      <c r="B606" s="170">
        <f t="shared" si="92"/>
        <v>34.246022713237359</v>
      </c>
      <c r="C606" s="170">
        <f t="shared" si="97"/>
        <v>230.2281584103842</v>
      </c>
      <c r="D606" s="271">
        <f>D605-(1/12)</f>
        <v>0.3333333333333332</v>
      </c>
      <c r="E606" s="170">
        <f t="shared" ref="E606" si="98">+B606*D606</f>
        <v>11.415340904412449</v>
      </c>
      <c r="F606" s="170">
        <f t="shared" si="94"/>
        <v>143.49426344365764</v>
      </c>
    </row>
    <row r="607" spans="1:6" s="167" customFormat="1">
      <c r="A607" s="261" t="s">
        <v>125</v>
      </c>
      <c r="B607" s="170">
        <f t="shared" si="92"/>
        <v>37.693426103650062</v>
      </c>
      <c r="C607" s="170">
        <f t="shared" si="97"/>
        <v>267.92158451403424</v>
      </c>
      <c r="D607" s="271">
        <f>D606-(1/12)</f>
        <v>0.24999999999999989</v>
      </c>
      <c r="E607" s="170">
        <f t="shared" ref="E607:E610" si="99">+B607*D607</f>
        <v>9.4233565259125118</v>
      </c>
      <c r="F607" s="170">
        <f t="shared" si="94"/>
        <v>152.91761996957015</v>
      </c>
    </row>
    <row r="608" spans="1:6" s="167" customFormat="1">
      <c r="A608" s="261" t="s">
        <v>126</v>
      </c>
      <c r="B608" s="170">
        <f t="shared" si="92"/>
        <v>41.04563467474199</v>
      </c>
      <c r="C608" s="170">
        <f t="shared" si="97"/>
        <v>308.9672191887762</v>
      </c>
      <c r="D608" s="271">
        <f t="shared" si="93"/>
        <v>0.16666666666666657</v>
      </c>
      <c r="E608" s="170">
        <f t="shared" si="99"/>
        <v>6.8409391124569945</v>
      </c>
      <c r="F608" s="170">
        <f t="shared" si="94"/>
        <v>159.75855908202715</v>
      </c>
    </row>
    <row r="609" spans="1:7" s="167" customFormat="1">
      <c r="A609" s="261" t="s">
        <v>127</v>
      </c>
      <c r="B609" s="170">
        <f t="shared" si="92"/>
        <v>52.647462827006272</v>
      </c>
      <c r="C609" s="170">
        <f t="shared" si="97"/>
        <v>361.61468201578248</v>
      </c>
      <c r="D609" s="271">
        <f t="shared" si="93"/>
        <v>8.3333333333333245E-2</v>
      </c>
      <c r="E609" s="170">
        <f t="shared" si="99"/>
        <v>4.3872885689171843</v>
      </c>
      <c r="F609" s="170">
        <f t="shared" si="94"/>
        <v>164.14584765094432</v>
      </c>
    </row>
    <row r="610" spans="1:7" s="167" customFormat="1">
      <c r="A610" s="358" t="s">
        <v>263</v>
      </c>
      <c r="B610" s="170">
        <f t="shared" si="92"/>
        <v>46.857438497907339</v>
      </c>
      <c r="C610" s="170">
        <f t="shared" si="97"/>
        <v>408.47212051368979</v>
      </c>
      <c r="D610" s="271">
        <f t="shared" si="93"/>
        <v>0</v>
      </c>
      <c r="E610" s="170">
        <f t="shared" si="99"/>
        <v>0</v>
      </c>
      <c r="F610" s="405">
        <f t="shared" si="94"/>
        <v>164.14584765094432</v>
      </c>
    </row>
    <row r="611" spans="1:7" s="167" customFormat="1" ht="15" outlineLevel="1" thickBot="1">
      <c r="A611" s="357" t="s">
        <v>200</v>
      </c>
      <c r="B611" s="528">
        <f>SUM(B598:B610)</f>
        <v>408.47212051368979</v>
      </c>
      <c r="D611" s="739" t="s">
        <v>193</v>
      </c>
      <c r="E611" s="739"/>
      <c r="F611" s="535">
        <f>SUM(F598:F610)/13</f>
        <v>108.41083495006339</v>
      </c>
      <c r="G611" s="555"/>
    </row>
    <row r="612" spans="1:7" ht="15" thickTop="1"/>
    <row r="614" spans="1:7" ht="18.75" thickBot="1">
      <c r="A614" s="756" t="s">
        <v>251</v>
      </c>
      <c r="B614" s="757"/>
      <c r="C614" s="757"/>
      <c r="D614" s="757"/>
      <c r="E614" s="757"/>
      <c r="F614" s="757"/>
    </row>
    <row r="615" spans="1:7" s="167" customFormat="1">
      <c r="A615" s="529" t="s">
        <v>267</v>
      </c>
      <c r="B615" s="530">
        <f t="shared" ref="B615:B621" si="100">B21</f>
        <v>6.25E-2</v>
      </c>
      <c r="C615" s="536" t="s">
        <v>153</v>
      </c>
    </row>
    <row r="616" spans="1:7" s="167" customFormat="1">
      <c r="A616" s="529" t="s">
        <v>271</v>
      </c>
      <c r="B616" s="534">
        <f t="shared" si="100"/>
        <v>0.40720000000000001</v>
      </c>
    </row>
    <row r="617" spans="1:7" s="167" customFormat="1">
      <c r="A617" s="529" t="s">
        <v>268</v>
      </c>
      <c r="B617" s="530">
        <f t="shared" si="100"/>
        <v>6.25E-2</v>
      </c>
    </row>
    <row r="618" spans="1:7" s="167" customFormat="1">
      <c r="A618" s="330" t="s">
        <v>168</v>
      </c>
      <c r="B618" s="530">
        <f t="shared" si="100"/>
        <v>6.25E-2</v>
      </c>
    </row>
    <row r="619" spans="1:7" s="167" customFormat="1">
      <c r="A619" s="330" t="s">
        <v>169</v>
      </c>
      <c r="B619" s="530">
        <f t="shared" si="100"/>
        <v>6.25E-2</v>
      </c>
    </row>
    <row r="620" spans="1:7" s="167" customFormat="1">
      <c r="A620" s="330" t="s">
        <v>170</v>
      </c>
      <c r="B620" s="530">
        <f t="shared" si="100"/>
        <v>6.25E-2</v>
      </c>
    </row>
    <row r="621" spans="1:7" s="167" customFormat="1">
      <c r="A621" s="529" t="s">
        <v>269</v>
      </c>
      <c r="B621" s="534">
        <f t="shared" si="100"/>
        <v>0.40739999999999998</v>
      </c>
    </row>
    <row r="622" spans="1:7" s="167" customFormat="1"/>
    <row r="623" spans="1:7" s="167" customFormat="1"/>
    <row r="624" spans="1:7" s="167" customFormat="1" ht="15">
      <c r="A624" s="544" t="s">
        <v>135</v>
      </c>
    </row>
    <row r="625" spans="1:7" s="167" customFormat="1" ht="42.75">
      <c r="A625" s="742" t="str">
        <f>A614</f>
        <v>Lugo-Pisgah</v>
      </c>
      <c r="B625" s="744" t="s">
        <v>180</v>
      </c>
      <c r="C625" s="744" t="s">
        <v>181</v>
      </c>
      <c r="D625" s="744" t="s">
        <v>182</v>
      </c>
      <c r="E625" s="747" t="s">
        <v>144</v>
      </c>
      <c r="F625" s="545" t="s">
        <v>136</v>
      </c>
      <c r="G625" s="546" t="s">
        <v>197</v>
      </c>
    </row>
    <row r="626" spans="1:7" s="167" customFormat="1">
      <c r="A626" s="743"/>
      <c r="B626" s="745"/>
      <c r="C626" s="745"/>
      <c r="D626" s="746"/>
      <c r="E626" s="748"/>
      <c r="F626" s="537">
        <f>B616</f>
        <v>0.40720000000000001</v>
      </c>
      <c r="G626" s="538">
        <v>40179</v>
      </c>
    </row>
    <row r="627" spans="1:7" s="167" customFormat="1" ht="15">
      <c r="A627" s="547"/>
      <c r="B627" s="548"/>
      <c r="C627" s="548"/>
      <c r="D627" s="549"/>
      <c r="E627" s="324"/>
      <c r="F627" s="542">
        <f>B621</f>
        <v>0.40739999999999998</v>
      </c>
      <c r="G627" s="538">
        <v>40544</v>
      </c>
    </row>
    <row r="628" spans="1:7" s="167" customFormat="1" ht="15">
      <c r="A628" s="539"/>
      <c r="B628" s="540"/>
      <c r="C628" s="540"/>
      <c r="D628" s="541"/>
      <c r="E628" s="266"/>
      <c r="F628" s="550"/>
      <c r="G628" s="543"/>
    </row>
    <row r="629" spans="1:7" s="167" customFormat="1">
      <c r="A629" s="358" t="s">
        <v>276</v>
      </c>
      <c r="B629" s="167">
        <f>'Lugo-Pisgah CWIP Balance'!E15-'Beg int cap'!B27</f>
        <v>-320.10793000000001</v>
      </c>
      <c r="C629" s="170">
        <f>'Beg int cap'!E27</f>
        <v>0</v>
      </c>
      <c r="D629" s="167">
        <f>SUM(B629:C629)</f>
        <v>-320.10793000000001</v>
      </c>
      <c r="F629" s="167">
        <f>(C629*F626)-('Beg int cap'!D40*'Def Tax'!F626)</f>
        <v>0</v>
      </c>
    </row>
    <row r="630" spans="1:7" s="167" customFormat="1">
      <c r="A630" s="358" t="s">
        <v>227</v>
      </c>
      <c r="B630" s="167">
        <f>B629+'Lugo-Pisgah CWIP Balance'!D16</f>
        <v>-143.87356</v>
      </c>
      <c r="C630" s="167">
        <f>C629+E630</f>
        <v>-1.6672288020833332</v>
      </c>
      <c r="D630" s="167">
        <f>SUM(B630:C630)</f>
        <v>-145.54078880208334</v>
      </c>
      <c r="E630" s="167">
        <f>D629*(B615/12)</f>
        <v>-1.6672288020833332</v>
      </c>
      <c r="F630" s="167">
        <f>+E630*$F$626</f>
        <v>-0.6788955682083333</v>
      </c>
    </row>
    <row r="631" spans="1:7" s="167" customFormat="1" ht="15" thickBot="1">
      <c r="A631" s="261"/>
      <c r="E631" s="168"/>
      <c r="F631" s="168"/>
    </row>
    <row r="632" spans="1:7" s="167" customFormat="1" ht="15" thickTop="1">
      <c r="A632" s="261"/>
    </row>
    <row r="633" spans="1:7" s="167" customFormat="1">
      <c r="A633" s="358" t="s">
        <v>262</v>
      </c>
      <c r="B633" s="167">
        <f>B630+'Lugo-Pisgah CWIP Balance'!D17</f>
        <v>-50.412750000000003</v>
      </c>
      <c r="C633" s="167">
        <f>C630+E633</f>
        <v>-2.4252537437608508</v>
      </c>
      <c r="D633" s="167">
        <f>SUM(B633:C633)</f>
        <v>-52.838003743760851</v>
      </c>
      <c r="E633" s="167">
        <f>D630*($B$617/12)</f>
        <v>-0.75802494167751733</v>
      </c>
      <c r="F633" s="167">
        <f>+E633*$F$627</f>
        <v>-0.30881936123942055</v>
      </c>
    </row>
    <row r="634" spans="1:7" s="167" customFormat="1">
      <c r="A634" s="261" t="s">
        <v>119</v>
      </c>
      <c r="B634" s="167">
        <f>B633+'Lugo-Pisgah CWIP Balance'!D18</f>
        <v>-4.7547500000000014</v>
      </c>
      <c r="C634" s="167">
        <f>C633+E634</f>
        <v>-2.7004516799262719</v>
      </c>
      <c r="D634" s="167">
        <f>SUM(B634:C634)</f>
        <v>-7.4552016799262733</v>
      </c>
      <c r="E634" s="167">
        <f>D633*($B$617/12)</f>
        <v>-0.2751979361654211</v>
      </c>
      <c r="F634" s="167">
        <f t="shared" ref="F634:F644" si="101">+E634*$F$627</f>
        <v>-0.11211563919379255</v>
      </c>
    </row>
    <row r="635" spans="1:7" s="167" customFormat="1">
      <c r="A635" s="261" t="s">
        <v>120</v>
      </c>
      <c r="B635" s="167">
        <f>B634+'Lugo-Pisgah CWIP Balance'!D19</f>
        <v>77.648169999999993</v>
      </c>
      <c r="C635" s="167">
        <f>C634+E635</f>
        <v>-2.7392808553425545</v>
      </c>
      <c r="D635" s="167">
        <f>SUM(B635:C635)</f>
        <v>74.908889144657437</v>
      </c>
      <c r="E635" s="167">
        <f>D634*($B$617/12)</f>
        <v>-3.8829175416282669E-2</v>
      </c>
      <c r="F635" s="167">
        <f t="shared" si="101"/>
        <v>-1.581900606459356E-2</v>
      </c>
    </row>
    <row r="636" spans="1:7" s="167" customFormat="1">
      <c r="A636" s="261" t="s">
        <v>121</v>
      </c>
      <c r="B636" s="167">
        <f>B635+'Lugo-Pisgah CWIP Balance'!D20</f>
        <v>-186.84745000000004</v>
      </c>
      <c r="C636" s="167">
        <f>C635+E636</f>
        <v>-2.3491303910474635</v>
      </c>
      <c r="D636" s="167">
        <f>SUM(B636:C636)</f>
        <v>-189.19658039104749</v>
      </c>
      <c r="E636" s="167">
        <f>D635*($B$618/12)</f>
        <v>0.39015046429509082</v>
      </c>
      <c r="F636" s="167">
        <f t="shared" si="101"/>
        <v>0.15894729915382</v>
      </c>
    </row>
    <row r="637" spans="1:7" s="167" customFormat="1">
      <c r="A637" s="261" t="s">
        <v>75</v>
      </c>
      <c r="B637" s="167">
        <f>B636+'Lugo-Pisgah CWIP Balance'!D21</f>
        <v>-166.92271000000002</v>
      </c>
      <c r="C637" s="167">
        <f t="shared" ref="C637:C639" si="102">C636+E637</f>
        <v>-3.3345292472508357</v>
      </c>
      <c r="D637" s="167">
        <f t="shared" ref="D637:D639" si="103">SUM(B637:C637)</f>
        <v>-170.25723924725085</v>
      </c>
      <c r="E637" s="167">
        <f>D636*($B$618/12)</f>
        <v>-0.98539885620337231</v>
      </c>
      <c r="F637" s="167">
        <f t="shared" si="101"/>
        <v>-0.40145149401725388</v>
      </c>
    </row>
    <row r="638" spans="1:7" s="167" customFormat="1">
      <c r="A638" s="261" t="s">
        <v>122</v>
      </c>
      <c r="B638" s="167">
        <f>B637+'Lugo-Pisgah CWIP Balance'!D22</f>
        <v>118.84936999999994</v>
      </c>
      <c r="C638" s="167">
        <f t="shared" si="102"/>
        <v>-4.2212857016636001</v>
      </c>
      <c r="D638" s="167">
        <f t="shared" si="103"/>
        <v>114.62808429833633</v>
      </c>
      <c r="E638" s="167">
        <f>D637*($B$618/12)</f>
        <v>-0.88675645441276485</v>
      </c>
      <c r="F638" s="167">
        <f t="shared" si="101"/>
        <v>-0.36126457952776037</v>
      </c>
    </row>
    <row r="639" spans="1:7" s="167" customFormat="1">
      <c r="A639" s="261" t="s">
        <v>123</v>
      </c>
      <c r="B639" s="167">
        <f>B638+'Lugo-Pisgah CWIP Balance'!D23</f>
        <v>18.44509999999994</v>
      </c>
      <c r="C639" s="167">
        <f t="shared" si="102"/>
        <v>-3.6242644292764314</v>
      </c>
      <c r="D639" s="167">
        <f t="shared" si="103"/>
        <v>14.820835570723508</v>
      </c>
      <c r="E639" s="167">
        <f>D638*($B$619/12)</f>
        <v>0.5970212723871684</v>
      </c>
      <c r="F639" s="167">
        <f t="shared" si="101"/>
        <v>0.24322646637053238</v>
      </c>
    </row>
    <row r="640" spans="1:7" s="167" customFormat="1">
      <c r="A640" s="261" t="s">
        <v>124</v>
      </c>
      <c r="B640" s="167">
        <f>B639+'Lugo-Pisgah CWIP Balance'!D24</f>
        <v>60.164149999999935</v>
      </c>
      <c r="C640" s="167">
        <f>C639+E640</f>
        <v>-3.5470725773455798</v>
      </c>
      <c r="D640" s="167">
        <f>SUM(B640:C640)</f>
        <v>56.617077422654354</v>
      </c>
      <c r="E640" s="167">
        <f>D639*($B$619/12)</f>
        <v>7.7191851930851596E-2</v>
      </c>
      <c r="F640" s="167">
        <f t="shared" si="101"/>
        <v>3.1447960476628942E-2</v>
      </c>
    </row>
    <row r="641" spans="1:6" s="167" customFormat="1">
      <c r="A641" s="261" t="s">
        <v>125</v>
      </c>
      <c r="B641" s="167">
        <f>B640+'Lugo-Pisgah CWIP Balance'!D25</f>
        <v>-199.81168000000002</v>
      </c>
      <c r="C641" s="167">
        <f>C640+E641</f>
        <v>-3.2521919657692551</v>
      </c>
      <c r="D641" s="167">
        <f>SUM(B641:C641)</f>
        <v>-203.06387196576927</v>
      </c>
      <c r="E641" s="167">
        <f>D640*($B$619/12)</f>
        <v>0.29488061157632472</v>
      </c>
      <c r="F641" s="167">
        <f t="shared" si="101"/>
        <v>0.12013436115619469</v>
      </c>
    </row>
    <row r="642" spans="1:6" s="167" customFormat="1">
      <c r="A642" s="261" t="s">
        <v>126</v>
      </c>
      <c r="B642" s="167">
        <f>B641+'Lugo-Pisgah CWIP Balance'!D26</f>
        <v>-187.00144000000003</v>
      </c>
      <c r="C642" s="167">
        <f>C641+E642</f>
        <v>-4.3098162989243036</v>
      </c>
      <c r="D642" s="167">
        <f t="shared" ref="D642:D644" si="104">SUM(B642:C642)</f>
        <v>-191.31125629892432</v>
      </c>
      <c r="E642" s="167">
        <f>D641*($B$620/12)</f>
        <v>-1.0576243331550481</v>
      </c>
      <c r="F642" s="167">
        <f t="shared" si="101"/>
        <v>-0.43087615332736656</v>
      </c>
    </row>
    <row r="643" spans="1:6" s="167" customFormat="1">
      <c r="A643" s="261" t="s">
        <v>127</v>
      </c>
      <c r="B643" s="167">
        <f>B642+'Lugo-Pisgah CWIP Balance'!D27</f>
        <v>-107.60255000000002</v>
      </c>
      <c r="C643" s="167">
        <f t="shared" ref="C643" si="105">C642+E643</f>
        <v>-5.3062290921478681</v>
      </c>
      <c r="D643" s="167">
        <f t="shared" si="104"/>
        <v>-112.9087790921479</v>
      </c>
      <c r="E643" s="167">
        <f t="shared" ref="E643:E644" si="106">D642*($B$620/12)</f>
        <v>-0.99641279322356413</v>
      </c>
      <c r="F643" s="167">
        <f t="shared" si="101"/>
        <v>-0.40593857195928001</v>
      </c>
    </row>
    <row r="644" spans="1:6" s="167" customFormat="1">
      <c r="A644" s="358" t="s">
        <v>263</v>
      </c>
      <c r="B644" s="167">
        <f>B643+'Lugo-Pisgah CWIP Balance'!D28</f>
        <v>-73.287940000000035</v>
      </c>
      <c r="C644" s="167">
        <f>C643+E644</f>
        <v>-5.8942956499194716</v>
      </c>
      <c r="D644" s="167">
        <f t="shared" si="104"/>
        <v>-79.182235649919505</v>
      </c>
      <c r="E644" s="167">
        <f t="shared" si="106"/>
        <v>-0.58806655777160355</v>
      </c>
      <c r="F644" s="167">
        <f t="shared" si="101"/>
        <v>-0.23957831563615128</v>
      </c>
    </row>
    <row r="645" spans="1:6" s="167" customFormat="1" ht="15" thickBot="1">
      <c r="A645" s="358"/>
      <c r="E645" s="168"/>
      <c r="F645" s="168"/>
    </row>
    <row r="646" spans="1:6" s="167" customFormat="1" ht="15" thickTop="1">
      <c r="A646" s="358"/>
    </row>
    <row r="647" spans="1:6" s="167" customFormat="1">
      <c r="E647" s="306"/>
      <c r="F647" s="306"/>
    </row>
    <row r="648" spans="1:6" s="167" customFormat="1">
      <c r="A648" s="737"/>
      <c r="B648" s="737"/>
      <c r="C648" s="737"/>
      <c r="D648" s="737"/>
      <c r="E648" s="737"/>
      <c r="F648" s="737"/>
    </row>
    <row r="649" spans="1:6" s="167" customFormat="1" ht="15.75">
      <c r="A649" s="737" t="s">
        <v>145</v>
      </c>
      <c r="B649" s="737"/>
      <c r="C649" s="737"/>
      <c r="D649" s="737"/>
      <c r="E649" s="737"/>
      <c r="F649" s="737"/>
    </row>
    <row r="650" spans="1:6" s="167" customFormat="1">
      <c r="A650" s="737"/>
      <c r="B650" s="737"/>
      <c r="C650" s="737"/>
      <c r="D650" s="737"/>
      <c r="E650" s="737"/>
      <c r="F650" s="737"/>
    </row>
    <row r="651" spans="1:6" s="167" customFormat="1"/>
    <row r="652" spans="1:6" s="167" customFormat="1" ht="15">
      <c r="A652" s="544" t="s">
        <v>138</v>
      </c>
    </row>
    <row r="653" spans="1:6" s="167" customFormat="1" ht="28.5">
      <c r="A653" s="551" t="str">
        <f>A614</f>
        <v>Lugo-Pisgah</v>
      </c>
      <c r="B653" s="169" t="s">
        <v>139</v>
      </c>
      <c r="C653" s="169" t="s">
        <v>140</v>
      </c>
      <c r="D653" s="169" t="s">
        <v>141</v>
      </c>
      <c r="E653" s="169" t="s">
        <v>142</v>
      </c>
      <c r="F653" s="169" t="s">
        <v>143</v>
      </c>
    </row>
    <row r="654" spans="1:6" s="167" customFormat="1">
      <c r="A654" s="358" t="s">
        <v>276</v>
      </c>
      <c r="B654" s="167">
        <f>+F629</f>
        <v>0</v>
      </c>
      <c r="C654" s="170">
        <f>B654</f>
        <v>0</v>
      </c>
      <c r="D654" s="271">
        <v>8.3299999999999999E-2</v>
      </c>
      <c r="E654" s="170">
        <f t="shared" ref="E654:E667" si="107">+B654*D654</f>
        <v>0</v>
      </c>
      <c r="F654" s="272">
        <f>+C654*D654</f>
        <v>0</v>
      </c>
    </row>
    <row r="655" spans="1:6" s="167" customFormat="1">
      <c r="A655" s="358" t="s">
        <v>227</v>
      </c>
      <c r="B655" s="167">
        <f>+F630</f>
        <v>-0.6788955682083333</v>
      </c>
      <c r="C655" s="170">
        <f>C654+B655</f>
        <v>-0.6788955682083333</v>
      </c>
      <c r="D655" s="271">
        <v>1</v>
      </c>
      <c r="E655" s="170">
        <f t="shared" si="107"/>
        <v>-0.6788955682083333</v>
      </c>
      <c r="F655" s="170">
        <f t="shared" ref="F655:F661" si="108">+F654+E655</f>
        <v>-0.6788955682083333</v>
      </c>
    </row>
    <row r="656" spans="1:6" s="167" customFormat="1">
      <c r="A656" s="358" t="s">
        <v>262</v>
      </c>
      <c r="B656" s="170">
        <f t="shared" ref="B656:B667" si="109">+F633</f>
        <v>-0.30881936123942055</v>
      </c>
      <c r="C656" s="170">
        <f>+C655+B656</f>
        <v>-0.98771492944775385</v>
      </c>
      <c r="D656" s="271">
        <f>D655-(1/12)</f>
        <v>0.91666666666666663</v>
      </c>
      <c r="E656" s="170">
        <f t="shared" si="107"/>
        <v>-0.2830844144694688</v>
      </c>
      <c r="F656" s="170">
        <f t="shared" si="108"/>
        <v>-0.96197998267780216</v>
      </c>
    </row>
    <row r="657" spans="1:6" s="167" customFormat="1">
      <c r="A657" s="261" t="s">
        <v>119</v>
      </c>
      <c r="B657" s="170">
        <f t="shared" si="109"/>
        <v>-0.11211563919379255</v>
      </c>
      <c r="C657" s="170">
        <f>+C656+B657</f>
        <v>-1.0998305686415464</v>
      </c>
      <c r="D657" s="271">
        <f t="shared" ref="D657:D667" si="110">D656-(1/12)</f>
        <v>0.83333333333333326</v>
      </c>
      <c r="E657" s="170">
        <f t="shared" si="107"/>
        <v>-9.3429699328160448E-2</v>
      </c>
      <c r="F657" s="170">
        <f t="shared" si="108"/>
        <v>-1.0554096820059626</v>
      </c>
    </row>
    <row r="658" spans="1:6" s="167" customFormat="1">
      <c r="A658" s="261" t="s">
        <v>120</v>
      </c>
      <c r="B658" s="170">
        <f t="shared" si="109"/>
        <v>-1.581900606459356E-2</v>
      </c>
      <c r="C658" s="170">
        <f>+C657+B658</f>
        <v>-1.1156495747061399</v>
      </c>
      <c r="D658" s="271">
        <f t="shared" si="110"/>
        <v>0.74999999999999989</v>
      </c>
      <c r="E658" s="170">
        <f t="shared" si="107"/>
        <v>-1.1864254548445167E-2</v>
      </c>
      <c r="F658" s="170">
        <f t="shared" si="108"/>
        <v>-1.0672739365544077</v>
      </c>
    </row>
    <row r="659" spans="1:6" s="167" customFormat="1">
      <c r="A659" s="261" t="s">
        <v>121</v>
      </c>
      <c r="B659" s="170">
        <f t="shared" si="109"/>
        <v>0.15894729915382</v>
      </c>
      <c r="C659" s="170">
        <f>+C658+B659</f>
        <v>-0.9567022755523199</v>
      </c>
      <c r="D659" s="271">
        <f t="shared" si="110"/>
        <v>0.66666666666666652</v>
      </c>
      <c r="E659" s="170">
        <f t="shared" si="107"/>
        <v>0.10596486610254664</v>
      </c>
      <c r="F659" s="170">
        <f t="shared" si="108"/>
        <v>-0.96130907045186109</v>
      </c>
    </row>
    <row r="660" spans="1:6" s="167" customFormat="1">
      <c r="A660" s="261" t="s">
        <v>75</v>
      </c>
      <c r="B660" s="170">
        <f t="shared" si="109"/>
        <v>-0.40145149401725388</v>
      </c>
      <c r="C660" s="170">
        <f t="shared" ref="C660:C662" si="111">+C659+B660</f>
        <v>-1.3581537695695738</v>
      </c>
      <c r="D660" s="271">
        <f t="shared" si="110"/>
        <v>0.58333333333333315</v>
      </c>
      <c r="E660" s="170">
        <f t="shared" si="107"/>
        <v>-0.23418003817673136</v>
      </c>
      <c r="F660" s="170">
        <f t="shared" si="108"/>
        <v>-1.1954891086285924</v>
      </c>
    </row>
    <row r="661" spans="1:6" s="167" customFormat="1">
      <c r="A661" s="261" t="s">
        <v>122</v>
      </c>
      <c r="B661" s="170">
        <f t="shared" si="109"/>
        <v>-0.36126457952776037</v>
      </c>
      <c r="C661" s="170">
        <f t="shared" si="111"/>
        <v>-1.7194183490973343</v>
      </c>
      <c r="D661" s="271">
        <f t="shared" si="110"/>
        <v>0.49999999999999983</v>
      </c>
      <c r="E661" s="170">
        <f t="shared" si="107"/>
        <v>-0.18063228976388013</v>
      </c>
      <c r="F661" s="170">
        <f t="shared" si="108"/>
        <v>-1.3761213983924725</v>
      </c>
    </row>
    <row r="662" spans="1:6" s="167" customFormat="1">
      <c r="A662" s="261" t="s">
        <v>123</v>
      </c>
      <c r="B662" s="170">
        <f t="shared" si="109"/>
        <v>0.24322646637053238</v>
      </c>
      <c r="C662" s="170">
        <f t="shared" si="111"/>
        <v>-1.4761918827268019</v>
      </c>
      <c r="D662" s="271">
        <f t="shared" si="110"/>
        <v>0.41666666666666652</v>
      </c>
      <c r="E662" s="170">
        <f t="shared" si="107"/>
        <v>0.10134436098772179</v>
      </c>
      <c r="F662" s="170">
        <f t="shared" ref="F662" si="112">+F661+E662</f>
        <v>-1.2747770374047507</v>
      </c>
    </row>
    <row r="663" spans="1:6" s="167" customFormat="1">
      <c r="A663" s="261" t="s">
        <v>124</v>
      </c>
      <c r="B663" s="170">
        <f t="shared" si="109"/>
        <v>3.1447960476628942E-2</v>
      </c>
      <c r="C663" s="170">
        <f>+C662+B663</f>
        <v>-1.444743922250173</v>
      </c>
      <c r="D663" s="271">
        <f>D662-(1/12)</f>
        <v>0.3333333333333332</v>
      </c>
      <c r="E663" s="170">
        <f t="shared" si="107"/>
        <v>1.0482653492209643E-2</v>
      </c>
      <c r="F663" s="170">
        <f>+F662+E663</f>
        <v>-1.2642943839125411</v>
      </c>
    </row>
    <row r="664" spans="1:6" s="167" customFormat="1">
      <c r="A664" s="261" t="s">
        <v>125</v>
      </c>
      <c r="B664" s="170">
        <f t="shared" si="109"/>
        <v>0.12013436115619469</v>
      </c>
      <c r="C664" s="170">
        <f>+C663+B664</f>
        <v>-1.3246095610939783</v>
      </c>
      <c r="D664" s="271">
        <f>D663-(1/12)</f>
        <v>0.24999999999999989</v>
      </c>
      <c r="E664" s="170">
        <f t="shared" si="107"/>
        <v>3.0033590289048659E-2</v>
      </c>
      <c r="F664" s="170">
        <f>+F663+E664</f>
        <v>-1.2342607936234924</v>
      </c>
    </row>
    <row r="665" spans="1:6" s="167" customFormat="1">
      <c r="A665" s="261" t="s">
        <v>126</v>
      </c>
      <c r="B665" s="170">
        <f t="shared" si="109"/>
        <v>-0.43087615332736656</v>
      </c>
      <c r="C665" s="170">
        <f t="shared" ref="C665:C667" si="113">+C664+B665</f>
        <v>-1.7554857144213449</v>
      </c>
      <c r="D665" s="271">
        <f t="shared" si="110"/>
        <v>0.16666666666666657</v>
      </c>
      <c r="E665" s="170">
        <f t="shared" si="107"/>
        <v>-7.1812692221227714E-2</v>
      </c>
      <c r="F665" s="170">
        <f t="shared" ref="F665:F667" si="114">+F664+E665</f>
        <v>-1.3060734858447201</v>
      </c>
    </row>
    <row r="666" spans="1:6" s="167" customFormat="1">
      <c r="A666" s="261" t="s">
        <v>127</v>
      </c>
      <c r="B666" s="170">
        <f t="shared" si="109"/>
        <v>-0.40593857195928001</v>
      </c>
      <c r="C666" s="170">
        <f t="shared" si="113"/>
        <v>-2.1614242863806248</v>
      </c>
      <c r="D666" s="271">
        <f t="shared" si="110"/>
        <v>8.3333333333333245E-2</v>
      </c>
      <c r="E666" s="170">
        <f t="shared" si="107"/>
        <v>-3.3828214329939967E-2</v>
      </c>
      <c r="F666" s="170">
        <f t="shared" si="114"/>
        <v>-1.33990170017466</v>
      </c>
    </row>
    <row r="667" spans="1:6" s="167" customFormat="1">
      <c r="A667" s="358" t="s">
        <v>263</v>
      </c>
      <c r="B667" s="170">
        <f t="shared" si="109"/>
        <v>-0.23957831563615128</v>
      </c>
      <c r="C667" s="170">
        <f t="shared" si="113"/>
        <v>-2.4010026020167761</v>
      </c>
      <c r="D667" s="271">
        <f t="shared" si="110"/>
        <v>0</v>
      </c>
      <c r="E667" s="170">
        <f t="shared" si="107"/>
        <v>0</v>
      </c>
      <c r="F667" s="405">
        <f t="shared" si="114"/>
        <v>-1.33990170017466</v>
      </c>
    </row>
    <row r="668" spans="1:6" s="167" customFormat="1" ht="15" thickBot="1">
      <c r="A668" s="357" t="s">
        <v>200</v>
      </c>
      <c r="B668" s="528">
        <f>SUM(B655:B667)</f>
        <v>-2.4010026020167761</v>
      </c>
      <c r="D668" s="739" t="s">
        <v>193</v>
      </c>
      <c r="E668" s="739"/>
      <c r="F668" s="535">
        <f>SUM(F655:F667)/13</f>
        <v>-1.1581298344657123</v>
      </c>
    </row>
    <row r="669" spans="1:6" s="167" customFormat="1" ht="15" thickTop="1">
      <c r="A669" s="358"/>
      <c r="B669" s="170"/>
      <c r="C669" s="170"/>
      <c r="D669" s="271"/>
      <c r="E669" s="170"/>
      <c r="F669" s="272"/>
    </row>
    <row r="670" spans="1:6" s="167" customFormat="1"/>
    <row r="671" spans="1:6" s="167" customFormat="1"/>
    <row r="672" spans="1:6" s="167" customFormat="1" ht="18.75" thickBot="1">
      <c r="A672" s="740" t="s">
        <v>252</v>
      </c>
      <c r="B672" s="741"/>
      <c r="C672" s="741"/>
      <c r="D672" s="741"/>
      <c r="E672" s="741"/>
      <c r="F672" s="741"/>
    </row>
    <row r="673" spans="1:7" s="167" customFormat="1">
      <c r="A673" s="529" t="s">
        <v>279</v>
      </c>
      <c r="B673" s="530">
        <f t="shared" ref="B673:B682" si="115">B18</f>
        <v>6.25E-2</v>
      </c>
      <c r="C673" s="536" t="s">
        <v>153</v>
      </c>
    </row>
    <row r="674" spans="1:7" s="167" customFormat="1">
      <c r="A674" s="330" t="s">
        <v>168</v>
      </c>
      <c r="B674" s="530">
        <f t="shared" si="115"/>
        <v>6.25E-2</v>
      </c>
    </row>
    <row r="675" spans="1:7" s="167" customFormat="1">
      <c r="A675" s="330" t="s">
        <v>169</v>
      </c>
      <c r="B675" s="530">
        <f t="shared" si="115"/>
        <v>6.25E-2</v>
      </c>
    </row>
    <row r="676" spans="1:7" s="167" customFormat="1">
      <c r="A676" s="330" t="s">
        <v>170</v>
      </c>
      <c r="B676" s="530">
        <f t="shared" si="115"/>
        <v>6.25E-2</v>
      </c>
    </row>
    <row r="677" spans="1:7" s="167" customFormat="1">
      <c r="A677" s="529" t="s">
        <v>271</v>
      </c>
      <c r="B677" s="534">
        <f t="shared" si="115"/>
        <v>0.40720000000000001</v>
      </c>
    </row>
    <row r="678" spans="1:7" s="167" customFormat="1">
      <c r="A678" s="529" t="s">
        <v>268</v>
      </c>
      <c r="B678" s="530">
        <f t="shared" si="115"/>
        <v>6.25E-2</v>
      </c>
    </row>
    <row r="679" spans="1:7" s="167" customFormat="1">
      <c r="A679" s="330" t="s">
        <v>168</v>
      </c>
      <c r="B679" s="530">
        <f t="shared" si="115"/>
        <v>6.25E-2</v>
      </c>
    </row>
    <row r="680" spans="1:7" s="167" customFormat="1">
      <c r="A680" s="330" t="s">
        <v>169</v>
      </c>
      <c r="B680" s="530">
        <f t="shared" si="115"/>
        <v>6.25E-2</v>
      </c>
    </row>
    <row r="681" spans="1:7" s="167" customFormat="1">
      <c r="A681" s="330" t="s">
        <v>170</v>
      </c>
      <c r="B681" s="530">
        <f t="shared" si="115"/>
        <v>6.25E-2</v>
      </c>
    </row>
    <row r="682" spans="1:7" s="167" customFormat="1">
      <c r="A682" s="529" t="s">
        <v>270</v>
      </c>
      <c r="B682" s="534">
        <f t="shared" si="115"/>
        <v>0.40739999999999998</v>
      </c>
    </row>
    <row r="683" spans="1:7" s="167" customFormat="1">
      <c r="A683" s="533"/>
      <c r="B683" s="534"/>
    </row>
    <row r="684" spans="1:7" s="167" customFormat="1"/>
    <row r="685" spans="1:7" s="167" customFormat="1"/>
    <row r="686" spans="1:7" s="167" customFormat="1" ht="15">
      <c r="A686" s="544" t="s">
        <v>135</v>
      </c>
    </row>
    <row r="687" spans="1:7" s="167" customFormat="1" ht="57" customHeight="1">
      <c r="A687" s="742" t="str">
        <f>A672</f>
        <v>Red Bluff</v>
      </c>
      <c r="B687" s="744" t="s">
        <v>180</v>
      </c>
      <c r="C687" s="744" t="s">
        <v>181</v>
      </c>
      <c r="D687" s="744" t="s">
        <v>182</v>
      </c>
      <c r="E687" s="747" t="s">
        <v>144</v>
      </c>
      <c r="F687" s="545" t="s">
        <v>136</v>
      </c>
      <c r="G687" s="546" t="s">
        <v>197</v>
      </c>
    </row>
    <row r="688" spans="1:7" s="167" customFormat="1">
      <c r="A688" s="752"/>
      <c r="B688" s="753"/>
      <c r="C688" s="753"/>
      <c r="D688" s="754"/>
      <c r="E688" s="755"/>
      <c r="F688" s="537">
        <f>B677</f>
        <v>0.40720000000000001</v>
      </c>
      <c r="G688" s="538">
        <v>40179</v>
      </c>
    </row>
    <row r="689" spans="1:7" s="167" customFormat="1" ht="15">
      <c r="A689" s="547"/>
      <c r="B689" s="548"/>
      <c r="C689" s="548"/>
      <c r="D689" s="549"/>
      <c r="E689" s="618"/>
      <c r="F689" s="537">
        <f>B682</f>
        <v>0.40739999999999998</v>
      </c>
      <c r="G689" s="538">
        <v>40544</v>
      </c>
    </row>
    <row r="690" spans="1:7" s="167" customFormat="1" ht="15">
      <c r="A690" s="539"/>
      <c r="B690" s="540"/>
      <c r="C690" s="540"/>
      <c r="D690" s="541"/>
      <c r="E690" s="266"/>
      <c r="F690" s="550"/>
      <c r="G690" s="543"/>
    </row>
    <row r="691" spans="1:7" s="167" customFormat="1">
      <c r="A691" s="358" t="s">
        <v>276</v>
      </c>
      <c r="B691" s="167">
        <f>'Red Bluff CWIP Balance'!E15-'Beg int cap'!B28</f>
        <v>249.72563000000002</v>
      </c>
      <c r="C691" s="170">
        <f>'Beg int cap'!E28</f>
        <v>0.41399999999999998</v>
      </c>
      <c r="D691" s="167">
        <f>SUM(B691:C691)</f>
        <v>250.13963000000001</v>
      </c>
      <c r="F691" s="167">
        <f>(C691*F688)-('Beg int cap'!D41*'Def Tax'!F688)</f>
        <v>9.9767435953599992E-2</v>
      </c>
    </row>
    <row r="692" spans="1:7" s="167" customFormat="1">
      <c r="A692" s="358" t="s">
        <v>227</v>
      </c>
      <c r="B692" s="167">
        <f>B691+'Red Bluff CWIP Balance'!D16</f>
        <v>520.09799999999996</v>
      </c>
      <c r="C692" s="167">
        <f>C691+E692</f>
        <v>1.7168105729166665</v>
      </c>
      <c r="D692" s="167">
        <f>SUM(B692:C692)</f>
        <v>521.8148105729166</v>
      </c>
      <c r="E692" s="167">
        <f>D691*(B676/12)</f>
        <v>1.3028105729166666</v>
      </c>
      <c r="F692" s="167">
        <f>+E692*$F$688</f>
        <v>0.53050446529166662</v>
      </c>
    </row>
    <row r="693" spans="1:7" s="167" customFormat="1" ht="15" thickBot="1">
      <c r="A693" s="261"/>
      <c r="E693" s="168"/>
      <c r="F693" s="168"/>
    </row>
    <row r="694" spans="1:7" s="167" customFormat="1" ht="15" thickTop="1">
      <c r="A694" s="261"/>
    </row>
    <row r="695" spans="1:7" s="167" customFormat="1">
      <c r="A695" s="358" t="s">
        <v>262</v>
      </c>
      <c r="B695" s="167">
        <f>B692+'Red Bluff CWIP Balance'!D17</f>
        <v>642.59499000000005</v>
      </c>
      <c r="C695" s="167">
        <f>C692+E695</f>
        <v>4.4345960446506067</v>
      </c>
      <c r="D695" s="167">
        <f>SUM(B695:C695)</f>
        <v>647.02958604465061</v>
      </c>
      <c r="E695" s="167">
        <f>D692*($B$678/12)</f>
        <v>2.7177854717339405</v>
      </c>
      <c r="F695" s="167">
        <f>+E695*$F$689</f>
        <v>1.1072258011844074</v>
      </c>
    </row>
    <row r="696" spans="1:7" s="167" customFormat="1">
      <c r="A696" s="261" t="s">
        <v>119</v>
      </c>
      <c r="B696" s="167">
        <f>B695+'Red Bluff CWIP Balance'!D18</f>
        <v>805.92830000000004</v>
      </c>
      <c r="C696" s="167">
        <f>C695+E696</f>
        <v>7.804541805299829</v>
      </c>
      <c r="D696" s="167">
        <f>SUM(B696:C696)</f>
        <v>813.73284180529981</v>
      </c>
      <c r="E696" s="167">
        <f>D695*($B$678/12)</f>
        <v>3.3699457606492218</v>
      </c>
      <c r="F696" s="167">
        <f>+E696*$F$689</f>
        <v>1.372915902888493</v>
      </c>
    </row>
    <row r="697" spans="1:7" s="167" customFormat="1">
      <c r="A697" s="261" t="s">
        <v>120</v>
      </c>
      <c r="B697" s="167">
        <f>B696+'Red Bluff CWIP Balance'!D19</f>
        <v>1197.19722</v>
      </c>
      <c r="C697" s="167">
        <f>C696+E697</f>
        <v>12.042733689702432</v>
      </c>
      <c r="D697" s="167">
        <f>SUM(B697:C697)</f>
        <v>1209.2399536897024</v>
      </c>
      <c r="E697" s="167">
        <f>D696*($B$678/12)</f>
        <v>4.2381918844026032</v>
      </c>
      <c r="F697" s="167">
        <f t="shared" ref="F697:F706" si="116">+E697*$F$689</f>
        <v>1.7266393737056205</v>
      </c>
    </row>
    <row r="698" spans="1:7" s="167" customFormat="1">
      <c r="A698" s="261" t="s">
        <v>121</v>
      </c>
      <c r="B698" s="167">
        <f>B697+'Red Bluff CWIP Balance'!D20</f>
        <v>1635.3674800000001</v>
      </c>
      <c r="C698" s="167">
        <f>C697+E698</f>
        <v>18.340858448502964</v>
      </c>
      <c r="D698" s="167">
        <f>SUM(B698:C698)</f>
        <v>1653.7083384485031</v>
      </c>
      <c r="E698" s="167">
        <f>D697*($B$679/12)</f>
        <v>6.2981247588005331</v>
      </c>
      <c r="F698" s="167">
        <f t="shared" si="116"/>
        <v>2.5658560267353372</v>
      </c>
    </row>
    <row r="699" spans="1:7" s="167" customFormat="1">
      <c r="A699" s="261" t="s">
        <v>75</v>
      </c>
      <c r="B699" s="167">
        <f>B698+'Red Bluff CWIP Balance'!D21</f>
        <v>2542.5532200000002</v>
      </c>
      <c r="C699" s="167">
        <f t="shared" ref="C699:C701" si="117">C698+E699</f>
        <v>26.953922711255583</v>
      </c>
      <c r="D699" s="167">
        <f t="shared" ref="D699:D701" si="118">SUM(B699:C699)</f>
        <v>2569.5071427112557</v>
      </c>
      <c r="E699" s="167">
        <f t="shared" ref="E699:E700" si="119">D698*($B$679/12)</f>
        <v>8.6130642627526193</v>
      </c>
      <c r="F699" s="167">
        <f t="shared" si="116"/>
        <v>3.5089623806454169</v>
      </c>
    </row>
    <row r="700" spans="1:7" s="167" customFormat="1">
      <c r="A700" s="261" t="s">
        <v>122</v>
      </c>
      <c r="B700" s="167">
        <f>B699+'Red Bluff CWIP Balance'!D22</f>
        <v>3144.1214400000003</v>
      </c>
      <c r="C700" s="167">
        <f t="shared" si="117"/>
        <v>40.336772412876705</v>
      </c>
      <c r="D700" s="167">
        <f t="shared" si="118"/>
        <v>3184.4582124128769</v>
      </c>
      <c r="E700" s="167">
        <f t="shared" si="119"/>
        <v>13.382849701621122</v>
      </c>
      <c r="F700" s="167">
        <f t="shared" si="116"/>
        <v>5.4521729684404452</v>
      </c>
    </row>
    <row r="701" spans="1:7" s="167" customFormat="1">
      <c r="A701" s="261" t="s">
        <v>123</v>
      </c>
      <c r="B701" s="167">
        <f>B700+'Red Bluff CWIP Balance'!D23</f>
        <v>4712.9103700000005</v>
      </c>
      <c r="C701" s="167">
        <f t="shared" si="117"/>
        <v>56.922492269193768</v>
      </c>
      <c r="D701" s="167">
        <f t="shared" si="118"/>
        <v>4769.8328622691943</v>
      </c>
      <c r="E701" s="167">
        <f>D700*($B$680/12)</f>
        <v>16.585719856317066</v>
      </c>
      <c r="F701" s="167">
        <f t="shared" si="116"/>
        <v>6.7570222694635724</v>
      </c>
    </row>
    <row r="702" spans="1:7" s="167" customFormat="1">
      <c r="A702" s="261" t="s">
        <v>124</v>
      </c>
      <c r="B702" s="167">
        <f>B701+'Red Bluff CWIP Balance'!D24</f>
        <v>5635.7160300000005</v>
      </c>
      <c r="C702" s="167">
        <f>C701+E702</f>
        <v>81.76537176017915</v>
      </c>
      <c r="D702" s="167">
        <f>SUM(B702:C702)</f>
        <v>5717.4814017601793</v>
      </c>
      <c r="E702" s="167">
        <f t="shared" ref="E702:E703" si="120">D701*($B$680/12)</f>
        <v>24.842879490985386</v>
      </c>
      <c r="F702" s="167">
        <f t="shared" si="116"/>
        <v>10.120989104627446</v>
      </c>
    </row>
    <row r="703" spans="1:7" s="167" customFormat="1">
      <c r="A703" s="261" t="s">
        <v>125</v>
      </c>
      <c r="B703" s="167">
        <f>B702+'Red Bluff CWIP Balance'!D25</f>
        <v>6291.7701400000005</v>
      </c>
      <c r="C703" s="167">
        <f>C702+E703</f>
        <v>111.54392072768007</v>
      </c>
      <c r="D703" s="167">
        <f>SUM(B703:C703)</f>
        <v>6403.314060727681</v>
      </c>
      <c r="E703" s="167">
        <f t="shared" si="120"/>
        <v>29.778548967500932</v>
      </c>
      <c r="F703" s="167">
        <f t="shared" si="116"/>
        <v>12.131780849359879</v>
      </c>
    </row>
    <row r="704" spans="1:7" s="167" customFormat="1">
      <c r="A704" s="261" t="s">
        <v>126</v>
      </c>
      <c r="B704" s="167">
        <f>B703+'Red Bluff CWIP Balance'!D26</f>
        <v>7819.9103700000005</v>
      </c>
      <c r="C704" s="167">
        <f t="shared" ref="C704:C706" si="121">C703+E704</f>
        <v>144.89451479397007</v>
      </c>
      <c r="D704" s="167">
        <f t="shared" ref="D704:D706" si="122">SUM(B704:C704)</f>
        <v>7964.8048847939708</v>
      </c>
      <c r="E704" s="167">
        <f>D703*($B$681/12)</f>
        <v>33.35059406629</v>
      </c>
      <c r="F704" s="167">
        <f t="shared" si="116"/>
        <v>13.587032022606545</v>
      </c>
    </row>
    <row r="705" spans="1:6" s="167" customFormat="1">
      <c r="A705" s="261" t="s">
        <v>127</v>
      </c>
      <c r="B705" s="167">
        <f>B704+'Red Bluff CWIP Balance'!D27</f>
        <v>9090.2643900000003</v>
      </c>
      <c r="C705" s="167">
        <f t="shared" si="121"/>
        <v>186.37787356893867</v>
      </c>
      <c r="D705" s="167">
        <f t="shared" si="122"/>
        <v>9276.6422635689396</v>
      </c>
      <c r="E705" s="167">
        <f t="shared" ref="E705:E706" si="123">D704*($B$681/12)</f>
        <v>41.483358774968593</v>
      </c>
      <c r="F705" s="167">
        <f t="shared" si="116"/>
        <v>16.900320364922205</v>
      </c>
    </row>
    <row r="706" spans="1:6" s="167" customFormat="1">
      <c r="A706" s="358" t="s">
        <v>263</v>
      </c>
      <c r="B706" s="167">
        <f>B705+'Red Bluff CWIP Balance'!D28</f>
        <v>14677.655260000001</v>
      </c>
      <c r="C706" s="167">
        <f t="shared" si="121"/>
        <v>234.69371869169356</v>
      </c>
      <c r="D706" s="167">
        <f t="shared" si="122"/>
        <v>14912.348978691694</v>
      </c>
      <c r="E706" s="167">
        <f t="shared" si="123"/>
        <v>48.315845122754894</v>
      </c>
      <c r="F706" s="167">
        <f t="shared" si="116"/>
        <v>19.683875303010343</v>
      </c>
    </row>
    <row r="707" spans="1:6" s="167" customFormat="1" ht="15" thickBot="1">
      <c r="A707" s="358"/>
      <c r="E707" s="168"/>
      <c r="F707" s="168"/>
    </row>
    <row r="708" spans="1:6" s="167" customFormat="1" ht="15" thickTop="1">
      <c r="A708" s="358"/>
      <c r="E708" s="306"/>
      <c r="F708" s="306"/>
    </row>
    <row r="709" spans="1:6" s="167" customFormat="1">
      <c r="E709" s="306"/>
      <c r="F709" s="306"/>
    </row>
    <row r="710" spans="1:6" s="167" customFormat="1">
      <c r="A710" s="737"/>
      <c r="B710" s="737"/>
      <c r="C710" s="737"/>
      <c r="D710" s="737"/>
      <c r="E710" s="737"/>
      <c r="F710" s="737"/>
    </row>
    <row r="711" spans="1:6" s="167" customFormat="1" ht="15.75">
      <c r="A711" s="737" t="s">
        <v>145</v>
      </c>
      <c r="B711" s="737"/>
      <c r="C711" s="737"/>
      <c r="D711" s="737"/>
      <c r="E711" s="737"/>
      <c r="F711" s="737"/>
    </row>
    <row r="712" spans="1:6" s="167" customFormat="1">
      <c r="A712" s="737"/>
      <c r="B712" s="737"/>
      <c r="C712" s="737"/>
      <c r="D712" s="737"/>
      <c r="E712" s="737"/>
      <c r="F712" s="737"/>
    </row>
    <row r="713" spans="1:6" s="167" customFormat="1"/>
    <row r="714" spans="1:6" s="167" customFormat="1" ht="15">
      <c r="A714" s="544" t="s">
        <v>138</v>
      </c>
    </row>
    <row r="715" spans="1:6" s="167" customFormat="1" ht="28.5">
      <c r="A715" s="551" t="str">
        <f>A672</f>
        <v>Red Bluff</v>
      </c>
      <c r="B715" s="169" t="s">
        <v>139</v>
      </c>
      <c r="C715" s="169" t="s">
        <v>140</v>
      </c>
      <c r="D715" s="169" t="s">
        <v>141</v>
      </c>
      <c r="E715" s="169" t="s">
        <v>142</v>
      </c>
      <c r="F715" s="169" t="s">
        <v>143</v>
      </c>
    </row>
    <row r="716" spans="1:6" s="167" customFormat="1">
      <c r="A716" s="358" t="s">
        <v>276</v>
      </c>
      <c r="B716" s="167">
        <f>+F691</f>
        <v>9.9767435953599992E-2</v>
      </c>
      <c r="C716" s="170">
        <f>B716</f>
        <v>9.9767435953599992E-2</v>
      </c>
      <c r="D716" s="271">
        <v>8.3299999999999999E-2</v>
      </c>
      <c r="E716" s="170">
        <f>+B716*D716</f>
        <v>8.3106274149348791E-3</v>
      </c>
      <c r="F716" s="272">
        <f>+C716*D716</f>
        <v>8.3106274149348791E-3</v>
      </c>
    </row>
    <row r="717" spans="1:6" s="167" customFormat="1">
      <c r="A717" s="358" t="s">
        <v>227</v>
      </c>
      <c r="B717" s="167">
        <f>+F692</f>
        <v>0.53050446529166662</v>
      </c>
      <c r="C717" s="170">
        <f>C716+B717</f>
        <v>0.63027190124526666</v>
      </c>
      <c r="D717" s="271">
        <v>1</v>
      </c>
      <c r="E717" s="170">
        <f>+B717*D717</f>
        <v>0.53050446529166662</v>
      </c>
      <c r="F717" s="170">
        <f>+F716+E717</f>
        <v>0.53881509270660155</v>
      </c>
    </row>
    <row r="718" spans="1:6" s="167" customFormat="1">
      <c r="A718" s="358" t="s">
        <v>262</v>
      </c>
      <c r="B718" s="170">
        <f t="shared" ref="B718:B729" si="124">+F695</f>
        <v>1.1072258011844074</v>
      </c>
      <c r="C718" s="170">
        <f>+C717+B718</f>
        <v>1.7374977024296741</v>
      </c>
      <c r="D718" s="271">
        <f>D717-(1/12)</f>
        <v>0.91666666666666663</v>
      </c>
      <c r="E718" s="170">
        <f>+B718*D718</f>
        <v>1.01495698441904</v>
      </c>
      <c r="F718" s="170">
        <f>+F717+E718</f>
        <v>1.5537720771256416</v>
      </c>
    </row>
    <row r="719" spans="1:6" s="167" customFormat="1">
      <c r="A719" s="261" t="s">
        <v>119</v>
      </c>
      <c r="B719" s="170">
        <f t="shared" si="124"/>
        <v>1.372915902888493</v>
      </c>
      <c r="C719" s="170">
        <f>+C718+B719</f>
        <v>3.110413605318167</v>
      </c>
      <c r="D719" s="271">
        <f t="shared" ref="D719:D729" si="125">D718-(1/12)</f>
        <v>0.83333333333333326</v>
      </c>
      <c r="E719" s="170">
        <f t="shared" ref="E719:E729" si="126">+B719*D719</f>
        <v>1.1440965857404106</v>
      </c>
      <c r="F719" s="170">
        <f>+F718+E719</f>
        <v>2.6978686628660524</v>
      </c>
    </row>
    <row r="720" spans="1:6" s="167" customFormat="1">
      <c r="A720" s="261" t="s">
        <v>120</v>
      </c>
      <c r="B720" s="170">
        <f t="shared" si="124"/>
        <v>1.7266393737056205</v>
      </c>
      <c r="C720" s="170">
        <f>+C719+B720</f>
        <v>4.8370529790237873</v>
      </c>
      <c r="D720" s="271">
        <f t="shared" si="125"/>
        <v>0.74999999999999989</v>
      </c>
      <c r="E720" s="170">
        <f t="shared" si="126"/>
        <v>1.2949795302792151</v>
      </c>
      <c r="F720" s="170">
        <f>+F719+E720</f>
        <v>3.9928481931452673</v>
      </c>
    </row>
    <row r="721" spans="1:8" s="167" customFormat="1">
      <c r="A721" s="261" t="s">
        <v>121</v>
      </c>
      <c r="B721" s="170">
        <f t="shared" si="124"/>
        <v>2.5658560267353372</v>
      </c>
      <c r="C721" s="170">
        <f>+C720+B721</f>
        <v>7.402909005759124</v>
      </c>
      <c r="D721" s="271">
        <f t="shared" si="125"/>
        <v>0.66666666666666652</v>
      </c>
      <c r="E721" s="170">
        <f t="shared" si="126"/>
        <v>1.7105706844902244</v>
      </c>
      <c r="F721" s="170">
        <f>+F720+E721</f>
        <v>5.7034188776354915</v>
      </c>
    </row>
    <row r="722" spans="1:8" s="167" customFormat="1">
      <c r="A722" s="261" t="s">
        <v>75</v>
      </c>
      <c r="B722" s="170">
        <f t="shared" si="124"/>
        <v>3.5089623806454169</v>
      </c>
      <c r="C722" s="170">
        <f t="shared" ref="C722:C724" si="127">+C721+B722</f>
        <v>10.911871386404542</v>
      </c>
      <c r="D722" s="271">
        <f t="shared" si="125"/>
        <v>0.58333333333333315</v>
      </c>
      <c r="E722" s="170">
        <f t="shared" si="126"/>
        <v>2.046894722043159</v>
      </c>
      <c r="F722" s="170">
        <f t="shared" ref="F722:F724" si="128">+F721+E722</f>
        <v>7.7503135996786501</v>
      </c>
    </row>
    <row r="723" spans="1:8" s="167" customFormat="1">
      <c r="A723" s="261" t="s">
        <v>122</v>
      </c>
      <c r="B723" s="170">
        <f t="shared" si="124"/>
        <v>5.4521729684404452</v>
      </c>
      <c r="C723" s="170">
        <f t="shared" si="127"/>
        <v>16.364044354844985</v>
      </c>
      <c r="D723" s="271">
        <f t="shared" si="125"/>
        <v>0.49999999999999983</v>
      </c>
      <c r="E723" s="170">
        <f t="shared" si="126"/>
        <v>2.7260864842202217</v>
      </c>
      <c r="F723" s="170">
        <f t="shared" si="128"/>
        <v>10.476400083898872</v>
      </c>
    </row>
    <row r="724" spans="1:8" s="167" customFormat="1">
      <c r="A724" s="261" t="s">
        <v>123</v>
      </c>
      <c r="B724" s="170">
        <f t="shared" si="124"/>
        <v>6.7570222694635724</v>
      </c>
      <c r="C724" s="170">
        <f t="shared" si="127"/>
        <v>23.121066624308558</v>
      </c>
      <c r="D724" s="271">
        <f t="shared" si="125"/>
        <v>0.41666666666666652</v>
      </c>
      <c r="E724" s="170">
        <f t="shared" si="126"/>
        <v>2.815425945609821</v>
      </c>
      <c r="F724" s="170">
        <f t="shared" si="128"/>
        <v>13.291826029508693</v>
      </c>
    </row>
    <row r="725" spans="1:8" s="167" customFormat="1">
      <c r="A725" s="261" t="s">
        <v>124</v>
      </c>
      <c r="B725" s="170">
        <f t="shared" si="124"/>
        <v>10.120989104627446</v>
      </c>
      <c r="C725" s="170">
        <f>+C724+B725</f>
        <v>33.242055728936002</v>
      </c>
      <c r="D725" s="271">
        <f>D724-(1/12)</f>
        <v>0.3333333333333332</v>
      </c>
      <c r="E725" s="170">
        <f t="shared" si="126"/>
        <v>3.3736630348758139</v>
      </c>
      <c r="F725" s="170">
        <f>+F724+E725</f>
        <v>16.665489064384506</v>
      </c>
    </row>
    <row r="726" spans="1:8" s="167" customFormat="1">
      <c r="A726" s="261" t="s">
        <v>125</v>
      </c>
      <c r="B726" s="170">
        <f t="shared" si="124"/>
        <v>12.131780849359879</v>
      </c>
      <c r="C726" s="170">
        <f>+C725+B726</f>
        <v>45.373836578295879</v>
      </c>
      <c r="D726" s="271">
        <f>D725-(1/12)</f>
        <v>0.24999999999999989</v>
      </c>
      <c r="E726" s="170">
        <f t="shared" si="126"/>
        <v>3.0329452123399685</v>
      </c>
      <c r="F726" s="170">
        <f>+F725+E726</f>
        <v>19.698434276724473</v>
      </c>
    </row>
    <row r="727" spans="1:8" s="167" customFormat="1">
      <c r="A727" s="261" t="s">
        <v>126</v>
      </c>
      <c r="B727" s="170">
        <f t="shared" si="124"/>
        <v>13.587032022606545</v>
      </c>
      <c r="C727" s="170">
        <f t="shared" ref="C727:C728" si="129">+C726+B727</f>
        <v>58.960868600902423</v>
      </c>
      <c r="D727" s="271">
        <f t="shared" si="125"/>
        <v>0.16666666666666657</v>
      </c>
      <c r="E727" s="170">
        <f t="shared" si="126"/>
        <v>2.2645053371010895</v>
      </c>
      <c r="F727" s="170">
        <f t="shared" ref="F727:F729" si="130">+F726+E727</f>
        <v>21.962939613825561</v>
      </c>
    </row>
    <row r="728" spans="1:8" s="167" customFormat="1">
      <c r="A728" s="261" t="s">
        <v>127</v>
      </c>
      <c r="B728" s="170">
        <f t="shared" si="124"/>
        <v>16.900320364922205</v>
      </c>
      <c r="C728" s="170">
        <f t="shared" si="129"/>
        <v>75.861188965824624</v>
      </c>
      <c r="D728" s="271">
        <f t="shared" si="125"/>
        <v>8.3333333333333245E-2</v>
      </c>
      <c r="E728" s="170">
        <f t="shared" si="126"/>
        <v>1.4083600304101822</v>
      </c>
      <c r="F728" s="170">
        <f t="shared" si="130"/>
        <v>23.371299644235744</v>
      </c>
    </row>
    <row r="729" spans="1:8" s="167" customFormat="1">
      <c r="A729" s="358" t="s">
        <v>263</v>
      </c>
      <c r="B729" s="170">
        <f t="shared" si="124"/>
        <v>19.683875303010343</v>
      </c>
      <c r="C729" s="170">
        <f>+C728+B729</f>
        <v>95.545064268834963</v>
      </c>
      <c r="D729" s="271">
        <f t="shared" si="125"/>
        <v>0</v>
      </c>
      <c r="E729" s="170">
        <f t="shared" si="126"/>
        <v>0</v>
      </c>
      <c r="F729" s="405">
        <f t="shared" si="130"/>
        <v>23.371299644235744</v>
      </c>
    </row>
    <row r="730" spans="1:8" s="167" customFormat="1" ht="15" thickBot="1">
      <c r="A730" s="358" t="s">
        <v>200</v>
      </c>
      <c r="B730" s="528">
        <f>SUM(B717:B729)</f>
        <v>95.445296832881368</v>
      </c>
      <c r="D730" s="739" t="s">
        <v>193</v>
      </c>
      <c r="E730" s="739"/>
      <c r="F730" s="535">
        <f>SUM(F717:F729)/13</f>
        <v>11.621132681536254</v>
      </c>
    </row>
    <row r="731" spans="1:8" s="167" customFormat="1" ht="15" thickTop="1">
      <c r="A731" s="358"/>
      <c r="B731" s="170"/>
      <c r="C731" s="170"/>
      <c r="D731" s="271"/>
      <c r="E731" s="170"/>
      <c r="F731" s="272"/>
    </row>
    <row r="735" spans="1:8" s="167" customFormat="1" ht="18.75" thickBot="1">
      <c r="A735" s="740" t="s">
        <v>286</v>
      </c>
      <c r="B735" s="741"/>
      <c r="C735" s="741"/>
      <c r="D735" s="741"/>
      <c r="E735" s="741"/>
      <c r="F735" s="741"/>
      <c r="H735" s="536"/>
    </row>
    <row r="736" spans="1:8" s="167" customFormat="1">
      <c r="A736" s="588" t="s">
        <v>272</v>
      </c>
      <c r="B736" s="530">
        <f>+B23</f>
        <v>6.25E-2</v>
      </c>
    </row>
    <row r="737" spans="1:7" s="167" customFormat="1">
      <c r="A737" s="589" t="s">
        <v>168</v>
      </c>
      <c r="B737" s="530">
        <f>+B24</f>
        <v>6.25E-2</v>
      </c>
    </row>
    <row r="738" spans="1:7" s="167" customFormat="1">
      <c r="A738" s="589" t="s">
        <v>169</v>
      </c>
      <c r="B738" s="530">
        <f>+B25</f>
        <v>6.25E-2</v>
      </c>
    </row>
    <row r="739" spans="1:7" s="167" customFormat="1">
      <c r="A739" s="589" t="s">
        <v>170</v>
      </c>
      <c r="B739" s="530">
        <f>+B26</f>
        <v>6.25E-2</v>
      </c>
    </row>
    <row r="740" spans="1:7" s="167" customFormat="1">
      <c r="A740" s="588" t="s">
        <v>270</v>
      </c>
      <c r="B740" s="534">
        <f>+B27</f>
        <v>0.40739999999999998</v>
      </c>
    </row>
    <row r="741" spans="1:7">
      <c r="A741" s="137"/>
      <c r="B741" s="156"/>
    </row>
    <row r="744" spans="1:7" ht="15">
      <c r="A744" s="139" t="s">
        <v>135</v>
      </c>
    </row>
    <row r="745" spans="1:7" ht="42.75">
      <c r="A745" s="750" t="str">
        <f>A735</f>
        <v>Whirlwind</v>
      </c>
      <c r="B745" s="744" t="s">
        <v>180</v>
      </c>
      <c r="C745" s="744" t="s">
        <v>181</v>
      </c>
      <c r="D745" s="744" t="s">
        <v>182</v>
      </c>
      <c r="E745" s="747" t="s">
        <v>144</v>
      </c>
      <c r="F745" s="545" t="s">
        <v>136</v>
      </c>
      <c r="G745" s="572" t="s">
        <v>197</v>
      </c>
    </row>
    <row r="746" spans="1:7" s="167" customFormat="1">
      <c r="A746" s="751"/>
      <c r="B746" s="745"/>
      <c r="C746" s="745"/>
      <c r="D746" s="746"/>
      <c r="E746" s="748"/>
      <c r="F746" s="537">
        <f>B740</f>
        <v>0.40739999999999998</v>
      </c>
      <c r="G746" s="538">
        <v>40544</v>
      </c>
    </row>
    <row r="747" spans="1:7" ht="15">
      <c r="A747" s="263"/>
      <c r="B747" s="540"/>
      <c r="C747" s="540"/>
      <c r="D747" s="541"/>
      <c r="E747" s="266"/>
      <c r="F747" s="550"/>
      <c r="G747" s="305"/>
    </row>
    <row r="748" spans="1:7" s="167" customFormat="1">
      <c r="A748" s="358" t="s">
        <v>294</v>
      </c>
      <c r="B748" s="167">
        <f>'Whirlwind CWIP Balance'!E15-'Beg int cap'!B47</f>
        <v>26.16413</v>
      </c>
      <c r="C748" s="170">
        <f>'Beg int cap'!E47</f>
        <v>0</v>
      </c>
      <c r="D748" s="167">
        <f>SUM(B748:C748)</f>
        <v>26.16413</v>
      </c>
      <c r="F748" s="167">
        <f>(C748*F746)-('Beg int cap'!D60*'Def Tax'!F746)</f>
        <v>0</v>
      </c>
      <c r="G748" s="543"/>
    </row>
    <row r="749" spans="1:7" s="167" customFormat="1">
      <c r="A749" s="358" t="s">
        <v>121</v>
      </c>
      <c r="B749" s="167">
        <f>B748+'Whirlwind CWIP Balance'!D16</f>
        <v>40.848019999999998</v>
      </c>
      <c r="C749" s="167">
        <f>C748+E749</f>
        <v>0.13627151041666666</v>
      </c>
      <c r="D749" s="167">
        <f>SUM(B749:C749)</f>
        <v>40.984291510416668</v>
      </c>
      <c r="E749" s="167">
        <f>D748*(B737/12)</f>
        <v>0.13627151041666666</v>
      </c>
      <c r="F749" s="167">
        <f>+E749*$F$746</f>
        <v>5.5517013343749998E-2</v>
      </c>
    </row>
    <row r="750" spans="1:7" s="167" customFormat="1">
      <c r="A750" s="358" t="s">
        <v>75</v>
      </c>
      <c r="B750" s="167">
        <f>B749+'Whirlwind CWIP Balance'!D17</f>
        <v>119.80374</v>
      </c>
      <c r="C750" s="167">
        <f t="shared" ref="C750:C757" si="131">C749+E750</f>
        <v>0.34973136203342015</v>
      </c>
      <c r="D750" s="167">
        <f t="shared" ref="D750:D757" si="132">SUM(B750:C750)</f>
        <v>120.15347136203343</v>
      </c>
      <c r="E750" s="167">
        <f>D749*(B737/12)</f>
        <v>0.21345985161675346</v>
      </c>
      <c r="F750" s="167">
        <f t="shared" ref="F750:F757" si="133">+E750*$F$746</f>
        <v>8.6963543548665354E-2</v>
      </c>
    </row>
    <row r="751" spans="1:7" s="167" customFormat="1">
      <c r="A751" s="358" t="s">
        <v>122</v>
      </c>
      <c r="B751" s="167">
        <f>B750+'Whirlwind CWIP Balance'!D18</f>
        <v>217.91434000000001</v>
      </c>
      <c r="C751" s="167">
        <f t="shared" si="131"/>
        <v>0.97553069204401088</v>
      </c>
      <c r="D751" s="167">
        <f t="shared" si="132"/>
        <v>218.88987069204401</v>
      </c>
      <c r="E751" s="306">
        <f>D750*(B737/12)</f>
        <v>0.62579933001059074</v>
      </c>
      <c r="F751" s="167">
        <f t="shared" si="133"/>
        <v>0.25495064704631465</v>
      </c>
    </row>
    <row r="752" spans="1:7" s="167" customFormat="1">
      <c r="A752" s="358" t="s">
        <v>123</v>
      </c>
      <c r="B752" s="167">
        <f>B751+'Whirlwind CWIP Balance'!D19</f>
        <v>236.25814</v>
      </c>
      <c r="C752" s="167">
        <f t="shared" si="131"/>
        <v>2.1155821018984069</v>
      </c>
      <c r="D752" s="167">
        <f t="shared" si="132"/>
        <v>238.37372210189841</v>
      </c>
      <c r="E752" s="167">
        <f>D751*(B738/12)</f>
        <v>1.1400514098543959</v>
      </c>
      <c r="F752" s="167">
        <f t="shared" si="133"/>
        <v>0.46445694437468088</v>
      </c>
    </row>
    <row r="753" spans="1:6" s="167" customFormat="1">
      <c r="A753" s="261" t="s">
        <v>124</v>
      </c>
      <c r="B753" s="167">
        <f>B752+'Whirlwind CWIP Balance'!D20</f>
        <v>371.26434</v>
      </c>
      <c r="C753" s="167">
        <f t="shared" si="131"/>
        <v>3.3571119045124611</v>
      </c>
      <c r="D753" s="167">
        <f t="shared" si="132"/>
        <v>374.62145190451247</v>
      </c>
      <c r="E753" s="167">
        <f>D752*(B738/12)</f>
        <v>1.2415298026140542</v>
      </c>
      <c r="F753" s="167">
        <f t="shared" si="133"/>
        <v>0.5057992415849657</v>
      </c>
    </row>
    <row r="754" spans="1:6" s="167" customFormat="1">
      <c r="A754" s="261" t="s">
        <v>125</v>
      </c>
      <c r="B754" s="167">
        <f>B753+'Whirlwind CWIP Balance'!D21</f>
        <v>629.59163000000001</v>
      </c>
      <c r="C754" s="167">
        <f t="shared" si="131"/>
        <v>5.308265299848463</v>
      </c>
      <c r="D754" s="167">
        <f t="shared" si="132"/>
        <v>634.89989529984848</v>
      </c>
      <c r="E754" s="306">
        <f>D753*(B738/12)</f>
        <v>1.9511533953360023</v>
      </c>
      <c r="F754" s="167">
        <f t="shared" si="133"/>
        <v>0.7948998932598873</v>
      </c>
    </row>
    <row r="755" spans="1:6" s="167" customFormat="1">
      <c r="A755" s="261" t="s">
        <v>126</v>
      </c>
      <c r="B755" s="167">
        <f>B754+'Whirlwind CWIP Balance'!D22</f>
        <v>1602.95048</v>
      </c>
      <c r="C755" s="167">
        <f t="shared" si="131"/>
        <v>8.6150355878685065</v>
      </c>
      <c r="D755" s="167">
        <f t="shared" si="132"/>
        <v>1611.5655155878685</v>
      </c>
      <c r="E755" s="167">
        <f>D754*(B739/12)</f>
        <v>3.306770288020044</v>
      </c>
      <c r="F755" s="167">
        <f t="shared" si="133"/>
        <v>1.3471782153393659</v>
      </c>
    </row>
    <row r="756" spans="1:6" s="167" customFormat="1">
      <c r="A756" s="261" t="s">
        <v>127</v>
      </c>
      <c r="B756" s="167">
        <f>B755+'Whirlwind CWIP Balance'!D23</f>
        <v>2617.40274</v>
      </c>
      <c r="C756" s="167">
        <f t="shared" si="131"/>
        <v>17.00860598155532</v>
      </c>
      <c r="D756" s="167">
        <f t="shared" si="132"/>
        <v>2634.4113459815553</v>
      </c>
      <c r="E756" s="167">
        <f>D755*(B739/12)</f>
        <v>8.3935703936868151</v>
      </c>
      <c r="F756" s="167">
        <f t="shared" si="133"/>
        <v>3.4195405783880082</v>
      </c>
    </row>
    <row r="757" spans="1:6" s="167" customFormat="1">
      <c r="A757" s="358" t="s">
        <v>263</v>
      </c>
      <c r="B757" s="167">
        <f>B756+'Whirlwind CWIP Balance'!D24</f>
        <v>2893.21216</v>
      </c>
      <c r="C757" s="167">
        <f t="shared" si="131"/>
        <v>30.729498408542586</v>
      </c>
      <c r="D757" s="167">
        <f t="shared" si="132"/>
        <v>2923.9416584085425</v>
      </c>
      <c r="E757" s="167">
        <f>D756*(B739/12)</f>
        <v>13.720892426987266</v>
      </c>
      <c r="F757" s="167">
        <f t="shared" si="133"/>
        <v>5.5898915747546116</v>
      </c>
    </row>
    <row r="758" spans="1:6" s="167" customFormat="1" ht="15" thickBot="1">
      <c r="A758" s="358"/>
      <c r="E758" s="168"/>
      <c r="F758" s="168"/>
    </row>
    <row r="759" spans="1:6" ht="15" thickTop="1">
      <c r="A759" s="357"/>
      <c r="B759" s="167"/>
      <c r="C759" s="167"/>
      <c r="D759" s="167"/>
      <c r="E759" s="306"/>
      <c r="F759" s="306"/>
    </row>
    <row r="760" spans="1:6">
      <c r="E760" s="306"/>
      <c r="F760" s="140"/>
    </row>
    <row r="761" spans="1:6">
      <c r="A761" s="749"/>
      <c r="B761" s="749"/>
      <c r="C761" s="749"/>
      <c r="D761" s="749"/>
      <c r="E761" s="749"/>
      <c r="F761" s="749"/>
    </row>
    <row r="762" spans="1:6" ht="15.75">
      <c r="A762" s="749" t="s">
        <v>145</v>
      </c>
      <c r="B762" s="749"/>
      <c r="C762" s="749"/>
      <c r="D762" s="749"/>
      <c r="E762" s="749"/>
      <c r="F762" s="749"/>
    </row>
    <row r="763" spans="1:6">
      <c r="A763" s="749"/>
      <c r="B763" s="749"/>
      <c r="C763" s="749"/>
      <c r="D763" s="749"/>
      <c r="E763" s="749"/>
      <c r="F763" s="749"/>
    </row>
    <row r="765" spans="1:6" ht="15">
      <c r="A765" s="139" t="s">
        <v>138</v>
      </c>
    </row>
    <row r="766" spans="1:6" ht="28.5">
      <c r="A766" s="143" t="str">
        <f>A735</f>
        <v>Whirlwind</v>
      </c>
      <c r="B766" s="144" t="s">
        <v>139</v>
      </c>
      <c r="C766" s="144" t="s">
        <v>140</v>
      </c>
      <c r="D766" s="144" t="s">
        <v>141</v>
      </c>
      <c r="E766" s="169" t="s">
        <v>142</v>
      </c>
      <c r="F766" s="144" t="s">
        <v>143</v>
      </c>
    </row>
    <row r="767" spans="1:6" s="167" customFormat="1">
      <c r="A767" s="358" t="s">
        <v>300</v>
      </c>
      <c r="B767" s="167">
        <f t="shared" ref="B767:B776" si="134">+F748</f>
        <v>0</v>
      </c>
      <c r="C767" s="170">
        <f>B767</f>
        <v>0</v>
      </c>
      <c r="D767" s="271">
        <f>D125</f>
        <v>0.74999999999999989</v>
      </c>
      <c r="E767" s="170">
        <f t="shared" ref="E767:E776" si="135">+B767*D767</f>
        <v>0</v>
      </c>
      <c r="F767" s="272">
        <f>+C767*D767</f>
        <v>0</v>
      </c>
    </row>
    <row r="768" spans="1:6" s="167" customFormat="1">
      <c r="A768" s="261" t="s">
        <v>121</v>
      </c>
      <c r="B768" s="167">
        <f t="shared" si="134"/>
        <v>5.5517013343749998E-2</v>
      </c>
      <c r="C768" s="170">
        <f>C767+B768</f>
        <v>5.5517013343749998E-2</v>
      </c>
      <c r="D768" s="271">
        <f>D767-(1/12)</f>
        <v>0.66666666666666652</v>
      </c>
      <c r="E768" s="170">
        <f t="shared" si="135"/>
        <v>3.7011342229166654E-2</v>
      </c>
      <c r="F768" s="170">
        <f>+F767+E768</f>
        <v>3.7011342229166654E-2</v>
      </c>
    </row>
    <row r="769" spans="1:7" s="167" customFormat="1">
      <c r="A769" s="261" t="s">
        <v>75</v>
      </c>
      <c r="B769" s="167">
        <f t="shared" si="134"/>
        <v>8.6963543548665354E-2</v>
      </c>
      <c r="C769" s="170">
        <f>+C768+B769</f>
        <v>0.14248055689241534</v>
      </c>
      <c r="D769" s="271">
        <f t="shared" ref="D769:D776" si="136">D768-(1/12)</f>
        <v>0.58333333333333315</v>
      </c>
      <c r="E769" s="170">
        <f t="shared" si="135"/>
        <v>5.0728733736721439E-2</v>
      </c>
      <c r="F769" s="170">
        <f t="shared" ref="F769:F776" si="137">+F768+E769</f>
        <v>8.7740075965888092E-2</v>
      </c>
    </row>
    <row r="770" spans="1:7" s="167" customFormat="1">
      <c r="A770" s="261" t="s">
        <v>122</v>
      </c>
      <c r="B770" s="167">
        <f t="shared" si="134"/>
        <v>0.25495064704631465</v>
      </c>
      <c r="C770" s="170">
        <f>+C769+B770</f>
        <v>0.39743120393872999</v>
      </c>
      <c r="D770" s="271">
        <f t="shared" si="136"/>
        <v>0.49999999999999983</v>
      </c>
      <c r="E770" s="170">
        <f t="shared" si="135"/>
        <v>0.12747532352315727</v>
      </c>
      <c r="F770" s="170">
        <f t="shared" si="137"/>
        <v>0.21521539948904536</v>
      </c>
    </row>
    <row r="771" spans="1:7" s="167" customFormat="1">
      <c r="A771" s="261" t="s">
        <v>123</v>
      </c>
      <c r="B771" s="167">
        <f t="shared" si="134"/>
        <v>0.46445694437468088</v>
      </c>
      <c r="C771" s="170">
        <f>+C770+B771</f>
        <v>0.86188814831341087</v>
      </c>
      <c r="D771" s="271">
        <f t="shared" si="136"/>
        <v>0.41666666666666652</v>
      </c>
      <c r="E771" s="170">
        <f t="shared" si="135"/>
        <v>0.19352372682278363</v>
      </c>
      <c r="F771" s="170">
        <f t="shared" si="137"/>
        <v>0.40873912631182896</v>
      </c>
    </row>
    <row r="772" spans="1:7" s="167" customFormat="1">
      <c r="A772" s="261" t="s">
        <v>124</v>
      </c>
      <c r="B772" s="167">
        <f t="shared" si="134"/>
        <v>0.5057992415849657</v>
      </c>
      <c r="C772" s="170">
        <f>+C771+B772</f>
        <v>1.3676873898983766</v>
      </c>
      <c r="D772" s="271">
        <f t="shared" si="136"/>
        <v>0.3333333333333332</v>
      </c>
      <c r="E772" s="170">
        <f t="shared" si="135"/>
        <v>0.16859974719498849</v>
      </c>
      <c r="F772" s="170">
        <f t="shared" si="137"/>
        <v>0.57733887350681745</v>
      </c>
    </row>
    <row r="773" spans="1:7" s="167" customFormat="1">
      <c r="A773" s="261" t="s">
        <v>125</v>
      </c>
      <c r="B773" s="167">
        <f t="shared" si="134"/>
        <v>0.7948998932598873</v>
      </c>
      <c r="C773" s="170">
        <f>+C772+B773</f>
        <v>2.1625872831582638</v>
      </c>
      <c r="D773" s="271">
        <f t="shared" si="136"/>
        <v>0.24999999999999989</v>
      </c>
      <c r="E773" s="170">
        <f t="shared" si="135"/>
        <v>0.19872497331497174</v>
      </c>
      <c r="F773" s="170">
        <f t="shared" si="137"/>
        <v>0.77606384682178919</v>
      </c>
    </row>
    <row r="774" spans="1:7" s="167" customFormat="1">
      <c r="A774" s="261" t="s">
        <v>126</v>
      </c>
      <c r="B774" s="167">
        <f t="shared" si="134"/>
        <v>1.3471782153393659</v>
      </c>
      <c r="C774" s="170">
        <f t="shared" ref="C774:C775" si="138">+C773+B774</f>
        <v>3.5097654984976296</v>
      </c>
      <c r="D774" s="271">
        <f t="shared" si="136"/>
        <v>0.16666666666666657</v>
      </c>
      <c r="E774" s="170">
        <f t="shared" si="135"/>
        <v>0.22452970255656085</v>
      </c>
      <c r="F774" s="170">
        <f t="shared" si="137"/>
        <v>1.00059354937835</v>
      </c>
    </row>
    <row r="775" spans="1:7" s="167" customFormat="1">
      <c r="A775" s="261" t="s">
        <v>127</v>
      </c>
      <c r="B775" s="167">
        <f t="shared" si="134"/>
        <v>3.4195405783880082</v>
      </c>
      <c r="C775" s="170">
        <f t="shared" si="138"/>
        <v>6.9293060768856378</v>
      </c>
      <c r="D775" s="271">
        <f t="shared" si="136"/>
        <v>8.3333333333333245E-2</v>
      </c>
      <c r="E775" s="170">
        <f t="shared" si="135"/>
        <v>0.28496171486566707</v>
      </c>
      <c r="F775" s="170">
        <f t="shared" si="137"/>
        <v>1.2855552642440171</v>
      </c>
    </row>
    <row r="776" spans="1:7" s="167" customFormat="1">
      <c r="A776" s="358" t="s">
        <v>263</v>
      </c>
      <c r="B776" s="167">
        <f t="shared" si="134"/>
        <v>5.5898915747546116</v>
      </c>
      <c r="C776" s="170">
        <f>+C775+B776</f>
        <v>12.519197651640249</v>
      </c>
      <c r="D776" s="271">
        <f t="shared" si="136"/>
        <v>0</v>
      </c>
      <c r="E776" s="170">
        <f t="shared" si="135"/>
        <v>0</v>
      </c>
      <c r="F776" s="170">
        <f t="shared" si="137"/>
        <v>1.2855552642440171</v>
      </c>
    </row>
    <row r="777" spans="1:7" s="167" customFormat="1" ht="15" thickBot="1">
      <c r="A777" s="357" t="s">
        <v>301</v>
      </c>
      <c r="B777" s="528">
        <f>SUM(B767:B776)</f>
        <v>12.519197651640249</v>
      </c>
      <c r="D777" s="738" t="s">
        <v>302</v>
      </c>
      <c r="E777" s="739"/>
      <c r="F777" s="168">
        <f>SUM(F767:F776)/10</f>
        <v>0.56738127421909201</v>
      </c>
      <c r="G777" s="555"/>
    </row>
    <row r="778" spans="1:7" ht="15" thickTop="1">
      <c r="A778" s="357"/>
      <c r="B778" s="272"/>
      <c r="C778" s="167"/>
      <c r="D778" s="589"/>
      <c r="E778" s="589"/>
      <c r="F778" s="306"/>
    </row>
    <row r="781" spans="1:7" s="167" customFormat="1" ht="18.75" thickBot="1">
      <c r="A781" s="740" t="s">
        <v>287</v>
      </c>
      <c r="B781" s="741"/>
      <c r="C781" s="741"/>
      <c r="D781" s="741"/>
      <c r="E781" s="741"/>
      <c r="F781" s="741"/>
    </row>
    <row r="782" spans="1:7" s="167" customFormat="1">
      <c r="A782" s="588" t="s">
        <v>303</v>
      </c>
      <c r="B782" s="530">
        <f>+B23</f>
        <v>6.25E-2</v>
      </c>
      <c r="C782" s="536" t="s">
        <v>153</v>
      </c>
    </row>
    <row r="783" spans="1:7" s="167" customFormat="1">
      <c r="A783" s="589" t="s">
        <v>168</v>
      </c>
      <c r="B783" s="530">
        <f>+B24</f>
        <v>6.25E-2</v>
      </c>
      <c r="E783" s="577"/>
      <c r="F783" s="530"/>
    </row>
    <row r="784" spans="1:7" s="167" customFormat="1">
      <c r="A784" s="589" t="s">
        <v>169</v>
      </c>
      <c r="B784" s="530">
        <f>+B25</f>
        <v>6.25E-2</v>
      </c>
      <c r="E784" s="578"/>
      <c r="F784" s="530"/>
    </row>
    <row r="785" spans="1:7" s="167" customFormat="1">
      <c r="A785" s="589" t="s">
        <v>170</v>
      </c>
      <c r="B785" s="530">
        <f>+B26</f>
        <v>6.25E-2</v>
      </c>
      <c r="E785" s="578"/>
      <c r="F785" s="530"/>
    </row>
    <row r="786" spans="1:7" s="167" customFormat="1">
      <c r="A786" s="588" t="s">
        <v>269</v>
      </c>
      <c r="B786" s="534">
        <f>+B27</f>
        <v>0.40739999999999998</v>
      </c>
      <c r="E786" s="578"/>
      <c r="F786" s="530"/>
    </row>
    <row r="787" spans="1:7" s="167" customFormat="1">
      <c r="A787" s="533"/>
      <c r="B787" s="534"/>
    </row>
    <row r="788" spans="1:7" s="167" customFormat="1"/>
    <row r="789" spans="1:7" s="167" customFormat="1"/>
    <row r="790" spans="1:7" s="167" customFormat="1" ht="15">
      <c r="A790" s="544" t="s">
        <v>135</v>
      </c>
    </row>
    <row r="791" spans="1:7" s="167" customFormat="1" ht="42.75">
      <c r="A791" s="742" t="str">
        <f>A781</f>
        <v>Colorado River</v>
      </c>
      <c r="B791" s="744" t="s">
        <v>180</v>
      </c>
      <c r="C791" s="744" t="s">
        <v>181</v>
      </c>
      <c r="D791" s="744" t="s">
        <v>182</v>
      </c>
      <c r="E791" s="747" t="s">
        <v>144</v>
      </c>
      <c r="F791" s="545" t="s">
        <v>136</v>
      </c>
      <c r="G791" s="571" t="s">
        <v>197</v>
      </c>
    </row>
    <row r="792" spans="1:7" s="167" customFormat="1">
      <c r="A792" s="743"/>
      <c r="B792" s="745"/>
      <c r="C792" s="745"/>
      <c r="D792" s="746"/>
      <c r="E792" s="748"/>
      <c r="F792" s="537">
        <f>B786</f>
        <v>0.40739999999999998</v>
      </c>
      <c r="G792" s="538">
        <v>40544</v>
      </c>
    </row>
    <row r="793" spans="1:7" s="167" customFormat="1" ht="15">
      <c r="A793" s="539"/>
      <c r="B793" s="540"/>
      <c r="C793" s="540"/>
      <c r="D793" s="541"/>
      <c r="E793" s="266"/>
      <c r="F793" s="550"/>
      <c r="G793" s="543"/>
    </row>
    <row r="794" spans="1:7" s="167" customFormat="1" ht="15">
      <c r="A794" s="539"/>
      <c r="B794" s="540"/>
      <c r="C794" s="540"/>
      <c r="D794" s="541"/>
      <c r="E794" s="266"/>
      <c r="F794" s="550"/>
      <c r="G794" s="543"/>
    </row>
    <row r="795" spans="1:7" s="167" customFormat="1">
      <c r="A795" s="358" t="s">
        <v>294</v>
      </c>
      <c r="B795" s="167">
        <f>'CR CWIP Balance'!E15-'Beg int cap'!B48</f>
        <v>307.04764</v>
      </c>
      <c r="C795" s="170">
        <f>'Beg int cap'!E48</f>
        <v>0</v>
      </c>
      <c r="D795" s="167">
        <f t="shared" ref="D795:D804" si="139">SUM(B795:C795)</f>
        <v>307.04764</v>
      </c>
      <c r="F795" s="167">
        <f>(C795*F792)-('Beg int cap'!D61*'Def Tax'!F792)</f>
        <v>0</v>
      </c>
    </row>
    <row r="796" spans="1:7" s="167" customFormat="1">
      <c r="A796" s="358" t="s">
        <v>121</v>
      </c>
      <c r="B796" s="167">
        <f>B795+'CR CWIP Balance'!D16</f>
        <v>1478.65002</v>
      </c>
      <c r="C796" s="167">
        <f t="shared" ref="C796:C804" si="140">C795+E796</f>
        <v>1.5992064583333332</v>
      </c>
      <c r="D796" s="167">
        <f t="shared" si="139"/>
        <v>1480.2492264583334</v>
      </c>
      <c r="E796" s="306">
        <f>D795*(B$783/12)</f>
        <v>1.5992064583333332</v>
      </c>
      <c r="F796" s="167">
        <f t="shared" ref="F796:F804" si="141">+E796*$F$792</f>
        <v>0.65151671112499987</v>
      </c>
    </row>
    <row r="797" spans="1:7" s="167" customFormat="1">
      <c r="A797" s="358" t="s">
        <v>75</v>
      </c>
      <c r="B797" s="167">
        <f>B796+'CR CWIP Balance'!D17</f>
        <v>1680.6366700000001</v>
      </c>
      <c r="C797" s="167">
        <f t="shared" si="140"/>
        <v>9.3088378461371519</v>
      </c>
      <c r="D797" s="167">
        <f t="shared" si="139"/>
        <v>1689.9455078461372</v>
      </c>
      <c r="E797" s="306">
        <f>D796*(B$783/12)</f>
        <v>7.7096313878038192</v>
      </c>
      <c r="F797" s="167">
        <f t="shared" si="141"/>
        <v>3.1409038273912757</v>
      </c>
    </row>
    <row r="798" spans="1:7" s="167" customFormat="1">
      <c r="A798" s="358" t="s">
        <v>122</v>
      </c>
      <c r="B798" s="167">
        <f>B797+'CR CWIP Balance'!D18</f>
        <v>1924.1005399999999</v>
      </c>
      <c r="C798" s="167">
        <f t="shared" si="140"/>
        <v>18.110637366169115</v>
      </c>
      <c r="D798" s="167">
        <f t="shared" si="139"/>
        <v>1942.2111773661691</v>
      </c>
      <c r="E798" s="306">
        <f>D797*(B$783/12)</f>
        <v>8.8017995200319632</v>
      </c>
      <c r="F798" s="167">
        <f t="shared" si="141"/>
        <v>3.5858531244610217</v>
      </c>
    </row>
    <row r="799" spans="1:7" s="167" customFormat="1">
      <c r="A799" s="358" t="s">
        <v>123</v>
      </c>
      <c r="B799" s="167">
        <f>B798+'CR CWIP Balance'!D19</f>
        <v>2012.6341199999999</v>
      </c>
      <c r="C799" s="167">
        <f t="shared" si="140"/>
        <v>28.226320581617912</v>
      </c>
      <c r="D799" s="167">
        <f t="shared" si="139"/>
        <v>2040.8604405816179</v>
      </c>
      <c r="E799" s="167">
        <f>D798*($B$784/12)</f>
        <v>10.115683215448797</v>
      </c>
      <c r="F799" s="167">
        <f t="shared" si="141"/>
        <v>4.1211293419738402</v>
      </c>
    </row>
    <row r="800" spans="1:7" s="167" customFormat="1">
      <c r="A800" s="358" t="s">
        <v>124</v>
      </c>
      <c r="B800" s="167">
        <f>B799+'CR CWIP Balance'!D20</f>
        <v>2084.2801100000001</v>
      </c>
      <c r="C800" s="167">
        <f t="shared" si="140"/>
        <v>38.855802042980507</v>
      </c>
      <c r="D800" s="167">
        <f t="shared" si="139"/>
        <v>2123.1359120429806</v>
      </c>
      <c r="E800" s="167">
        <f>D799*($B$784/12)</f>
        <v>10.629481461362593</v>
      </c>
      <c r="F800" s="167">
        <f t="shared" si="141"/>
        <v>4.3304507473591203</v>
      </c>
    </row>
    <row r="801" spans="1:6" s="167" customFormat="1">
      <c r="A801" s="358" t="s">
        <v>125</v>
      </c>
      <c r="B801" s="167">
        <f>B800+'CR CWIP Balance'!D21</f>
        <v>2243.3728799999999</v>
      </c>
      <c r="C801" s="167">
        <f t="shared" si="140"/>
        <v>49.913801584871031</v>
      </c>
      <c r="D801" s="167">
        <f t="shared" si="139"/>
        <v>2293.2866815848711</v>
      </c>
      <c r="E801" s="306">
        <f>D800*($B$784/12)</f>
        <v>11.057999541890524</v>
      </c>
      <c r="F801" s="167">
        <f t="shared" si="141"/>
        <v>4.5050290133661992</v>
      </c>
    </row>
    <row r="802" spans="1:6" s="167" customFormat="1">
      <c r="A802" s="358" t="s">
        <v>126</v>
      </c>
      <c r="B802" s="167">
        <f>B801+'CR CWIP Balance'!D22</f>
        <v>5527.3527100000001</v>
      </c>
      <c r="C802" s="167">
        <f t="shared" si="140"/>
        <v>61.858003051458901</v>
      </c>
      <c r="D802" s="167">
        <f t="shared" si="139"/>
        <v>5589.2107130514587</v>
      </c>
      <c r="E802" s="167">
        <f>D801*($B$785/12)</f>
        <v>11.94420146658787</v>
      </c>
      <c r="F802" s="167">
        <f t="shared" si="141"/>
        <v>4.8660676774878979</v>
      </c>
    </row>
    <row r="803" spans="1:6" s="167" customFormat="1">
      <c r="A803" s="358" t="s">
        <v>127</v>
      </c>
      <c r="B803" s="167">
        <f>B802+'CR CWIP Balance'!D23</f>
        <v>8950.7164900000007</v>
      </c>
      <c r="C803" s="167">
        <f t="shared" si="140"/>
        <v>90.96847551526858</v>
      </c>
      <c r="D803" s="167">
        <f t="shared" si="139"/>
        <v>9041.6849655152691</v>
      </c>
      <c r="E803" s="167">
        <f>D802*($B$785/12)</f>
        <v>29.110472463809678</v>
      </c>
      <c r="F803" s="167">
        <f t="shared" si="141"/>
        <v>11.859606481756062</v>
      </c>
    </row>
    <row r="804" spans="1:6" s="167" customFormat="1">
      <c r="A804" s="358" t="s">
        <v>304</v>
      </c>
      <c r="B804" s="167">
        <f>B803+'CR CWIP Balance'!D24</f>
        <v>10959.973889999999</v>
      </c>
      <c r="C804" s="167">
        <f t="shared" si="140"/>
        <v>138.06058471066061</v>
      </c>
      <c r="D804" s="167">
        <f t="shared" si="139"/>
        <v>11098.034474710659</v>
      </c>
      <c r="E804" s="167">
        <f>D803*($B$785/12)</f>
        <v>47.092109195392027</v>
      </c>
      <c r="F804" s="167">
        <f t="shared" si="141"/>
        <v>19.185325286202712</v>
      </c>
    </row>
    <row r="805" spans="1:6" s="167" customFormat="1" ht="15" thickBot="1">
      <c r="A805" s="358"/>
      <c r="E805" s="168"/>
      <c r="F805" s="168"/>
    </row>
    <row r="806" spans="1:6" s="167" customFormat="1" ht="15" thickTop="1">
      <c r="A806" s="358"/>
    </row>
    <row r="807" spans="1:6" s="167" customFormat="1">
      <c r="A807" s="737"/>
      <c r="B807" s="737"/>
      <c r="C807" s="737"/>
      <c r="D807" s="737"/>
      <c r="E807" s="737"/>
      <c r="F807" s="737"/>
    </row>
    <row r="808" spans="1:6" s="167" customFormat="1" ht="15.75">
      <c r="A808" s="737" t="s">
        <v>145</v>
      </c>
      <c r="B808" s="737"/>
      <c r="C808" s="737"/>
      <c r="D808" s="737"/>
      <c r="E808" s="737"/>
      <c r="F808" s="737"/>
    </row>
    <row r="809" spans="1:6" s="167" customFormat="1">
      <c r="A809" s="737"/>
      <c r="B809" s="737"/>
      <c r="C809" s="737"/>
      <c r="D809" s="737"/>
      <c r="E809" s="737"/>
      <c r="F809" s="737"/>
    </row>
    <row r="810" spans="1:6" s="167" customFormat="1"/>
    <row r="811" spans="1:6" s="167" customFormat="1" ht="15">
      <c r="A811" s="544" t="s">
        <v>138</v>
      </c>
    </row>
    <row r="812" spans="1:6" s="167" customFormat="1" ht="28.5">
      <c r="A812" s="551" t="str">
        <f>A781</f>
        <v>Colorado River</v>
      </c>
      <c r="B812" s="169" t="s">
        <v>139</v>
      </c>
      <c r="C812" s="169" t="s">
        <v>140</v>
      </c>
      <c r="D812" s="169" t="s">
        <v>141</v>
      </c>
      <c r="E812" s="169" t="s">
        <v>142</v>
      </c>
      <c r="F812" s="169" t="s">
        <v>143</v>
      </c>
    </row>
    <row r="813" spans="1:6" s="167" customFormat="1">
      <c r="A813" s="358" t="s">
        <v>294</v>
      </c>
      <c r="B813" s="167">
        <f t="shared" ref="B813:B822" si="142">+F795</f>
        <v>0</v>
      </c>
      <c r="C813" s="170">
        <f>B813</f>
        <v>0</v>
      </c>
      <c r="D813" s="271">
        <f>D125</f>
        <v>0.74999999999999989</v>
      </c>
      <c r="E813" s="170">
        <f>+B813*D813</f>
        <v>0</v>
      </c>
      <c r="F813" s="272">
        <f>+C813*D813</f>
        <v>0</v>
      </c>
    </row>
    <row r="814" spans="1:6" s="167" customFormat="1">
      <c r="A814" s="261" t="s">
        <v>121</v>
      </c>
      <c r="B814" s="167">
        <f t="shared" si="142"/>
        <v>0.65151671112499987</v>
      </c>
      <c r="C814" s="170">
        <f>C813+B814</f>
        <v>0.65151671112499987</v>
      </c>
      <c r="D814" s="271">
        <f>D813-(1/12)</f>
        <v>0.66666666666666652</v>
      </c>
      <c r="E814" s="170">
        <f>+B814*D814</f>
        <v>0.43434447408333315</v>
      </c>
      <c r="F814" s="170">
        <f t="shared" ref="F814:F822" si="143">+F813+E814</f>
        <v>0.43434447408333315</v>
      </c>
    </row>
    <row r="815" spans="1:6" s="167" customFormat="1">
      <c r="A815" s="261" t="s">
        <v>75</v>
      </c>
      <c r="B815" s="170">
        <f t="shared" si="142"/>
        <v>3.1409038273912757</v>
      </c>
      <c r="C815" s="170">
        <f t="shared" ref="C815:C822" si="144">+C814+B815</f>
        <v>3.7924205385162755</v>
      </c>
      <c r="D815" s="271">
        <f>D814-(1/12)</f>
        <v>0.58333333333333315</v>
      </c>
      <c r="E815" s="170">
        <f t="shared" ref="E815:E822" si="145">+B815*D815</f>
        <v>1.8321938993115769</v>
      </c>
      <c r="F815" s="170">
        <f t="shared" si="143"/>
        <v>2.2665383733949103</v>
      </c>
    </row>
    <row r="816" spans="1:6" s="167" customFormat="1">
      <c r="A816" s="261" t="s">
        <v>122</v>
      </c>
      <c r="B816" s="170">
        <f t="shared" si="142"/>
        <v>3.5858531244610217</v>
      </c>
      <c r="C816" s="170">
        <f t="shared" si="144"/>
        <v>7.3782736629772971</v>
      </c>
      <c r="D816" s="271">
        <f t="shared" ref="D816:D821" si="146">D815-(1/12)</f>
        <v>0.49999999999999983</v>
      </c>
      <c r="E816" s="170">
        <f t="shared" si="145"/>
        <v>1.7929265622305102</v>
      </c>
      <c r="F816" s="170">
        <f t="shared" si="143"/>
        <v>4.0594649356254209</v>
      </c>
    </row>
    <row r="817" spans="1:6" s="167" customFormat="1">
      <c r="A817" s="261" t="s">
        <v>123</v>
      </c>
      <c r="B817" s="170">
        <f t="shared" si="142"/>
        <v>4.1211293419738402</v>
      </c>
      <c r="C817" s="170">
        <f t="shared" si="144"/>
        <v>11.499403004951137</v>
      </c>
      <c r="D817" s="271">
        <f t="shared" si="146"/>
        <v>0.41666666666666652</v>
      </c>
      <c r="E817" s="170">
        <f t="shared" si="145"/>
        <v>1.7171372258224329</v>
      </c>
      <c r="F817" s="170">
        <f t="shared" si="143"/>
        <v>5.7766021614478538</v>
      </c>
    </row>
    <row r="818" spans="1:6" s="167" customFormat="1">
      <c r="A818" s="261" t="s">
        <v>124</v>
      </c>
      <c r="B818" s="170">
        <f t="shared" si="142"/>
        <v>4.3304507473591203</v>
      </c>
      <c r="C818" s="170">
        <f t="shared" si="144"/>
        <v>15.829853752310257</v>
      </c>
      <c r="D818" s="271">
        <f t="shared" si="146"/>
        <v>0.3333333333333332</v>
      </c>
      <c r="E818" s="170">
        <f t="shared" si="145"/>
        <v>1.4434835824530394</v>
      </c>
      <c r="F818" s="170">
        <f t="shared" si="143"/>
        <v>7.220085743900893</v>
      </c>
    </row>
    <row r="819" spans="1:6" s="167" customFormat="1">
      <c r="A819" s="261" t="s">
        <v>125</v>
      </c>
      <c r="B819" s="170">
        <f t="shared" si="142"/>
        <v>4.5050290133661992</v>
      </c>
      <c r="C819" s="170">
        <f t="shared" si="144"/>
        <v>20.334882765676454</v>
      </c>
      <c r="D819" s="271">
        <f t="shared" si="146"/>
        <v>0.24999999999999989</v>
      </c>
      <c r="E819" s="170">
        <f t="shared" si="145"/>
        <v>1.1262572533415494</v>
      </c>
      <c r="F819" s="170">
        <f t="shared" si="143"/>
        <v>8.3463429972424414</v>
      </c>
    </row>
    <row r="820" spans="1:6" s="167" customFormat="1">
      <c r="A820" s="261" t="s">
        <v>126</v>
      </c>
      <c r="B820" s="170">
        <f t="shared" si="142"/>
        <v>4.8660676774878979</v>
      </c>
      <c r="C820" s="170">
        <f t="shared" si="144"/>
        <v>25.200950443164352</v>
      </c>
      <c r="D820" s="271">
        <f t="shared" si="146"/>
        <v>0.16666666666666657</v>
      </c>
      <c r="E820" s="170">
        <f t="shared" si="145"/>
        <v>0.81101127958131591</v>
      </c>
      <c r="F820" s="170">
        <f t="shared" si="143"/>
        <v>9.1573542768237566</v>
      </c>
    </row>
    <row r="821" spans="1:6" s="167" customFormat="1">
      <c r="A821" s="261" t="s">
        <v>127</v>
      </c>
      <c r="B821" s="170">
        <f t="shared" si="142"/>
        <v>11.859606481756062</v>
      </c>
      <c r="C821" s="170">
        <f t="shared" si="144"/>
        <v>37.060556924920412</v>
      </c>
      <c r="D821" s="271">
        <f t="shared" si="146"/>
        <v>8.3333333333333245E-2</v>
      </c>
      <c r="E821" s="170">
        <f t="shared" si="145"/>
        <v>0.9883005401463375</v>
      </c>
      <c r="F821" s="170">
        <f t="shared" si="143"/>
        <v>10.145654816970094</v>
      </c>
    </row>
    <row r="822" spans="1:6" s="167" customFormat="1">
      <c r="A822" s="358" t="s">
        <v>263</v>
      </c>
      <c r="B822" s="170">
        <f t="shared" si="142"/>
        <v>19.185325286202712</v>
      </c>
      <c r="C822" s="170">
        <f t="shared" si="144"/>
        <v>56.245882211123124</v>
      </c>
      <c r="D822" s="271">
        <f>D821-(1/12)</f>
        <v>0</v>
      </c>
      <c r="E822" s="170">
        <f t="shared" si="145"/>
        <v>0</v>
      </c>
      <c r="F822" s="170">
        <f t="shared" si="143"/>
        <v>10.145654816970094</v>
      </c>
    </row>
    <row r="823" spans="1:6" s="167" customFormat="1" ht="15" thickBot="1">
      <c r="A823" s="357" t="s">
        <v>301</v>
      </c>
      <c r="B823" s="528">
        <f>SUM(B813:B822)</f>
        <v>56.245882211123124</v>
      </c>
      <c r="D823" s="738" t="s">
        <v>302</v>
      </c>
      <c r="E823" s="739"/>
      <c r="F823" s="168">
        <f>SUM(F813:F822)/10</f>
        <v>5.7552042596458799</v>
      </c>
    </row>
    <row r="824" spans="1:6" s="167" customFormat="1" ht="15" thickTop="1">
      <c r="A824" s="358"/>
      <c r="B824" s="170"/>
      <c r="C824" s="170"/>
      <c r="D824" s="271"/>
      <c r="E824" s="170"/>
      <c r="F824" s="272"/>
    </row>
    <row r="825" spans="1:6" s="167" customFormat="1"/>
    <row r="826" spans="1:6" s="167" customFormat="1"/>
    <row r="827" spans="1:6" s="167" customFormat="1" ht="18.75" thickBot="1">
      <c r="A827" s="740" t="s">
        <v>288</v>
      </c>
      <c r="B827" s="741"/>
      <c r="C827" s="741"/>
      <c r="D827" s="741"/>
      <c r="E827" s="741"/>
      <c r="F827" s="741"/>
    </row>
    <row r="828" spans="1:6" s="167" customFormat="1">
      <c r="A828" s="588" t="s">
        <v>303</v>
      </c>
      <c r="B828" s="530">
        <f>+B23</f>
        <v>6.25E-2</v>
      </c>
      <c r="C828" s="536" t="s">
        <v>153</v>
      </c>
    </row>
    <row r="829" spans="1:6" s="167" customFormat="1">
      <c r="A829" s="589" t="s">
        <v>168</v>
      </c>
      <c r="B829" s="530">
        <f>+B24</f>
        <v>6.25E-2</v>
      </c>
    </row>
    <row r="830" spans="1:6" s="167" customFormat="1">
      <c r="A830" s="589" t="s">
        <v>169</v>
      </c>
      <c r="B830" s="530">
        <f>+B25</f>
        <v>6.25E-2</v>
      </c>
    </row>
    <row r="831" spans="1:6" s="167" customFormat="1">
      <c r="A831" s="589" t="s">
        <v>170</v>
      </c>
      <c r="B831" s="530">
        <f>+B26</f>
        <v>6.25E-2</v>
      </c>
    </row>
    <row r="832" spans="1:6" s="167" customFormat="1">
      <c r="A832" s="588" t="s">
        <v>270</v>
      </c>
      <c r="B832" s="534">
        <f>+B27</f>
        <v>0.40739999999999998</v>
      </c>
    </row>
    <row r="833" spans="1:7" s="167" customFormat="1">
      <c r="A833" s="533"/>
      <c r="B833" s="534"/>
    </row>
    <row r="834" spans="1:7" s="167" customFormat="1"/>
    <row r="835" spans="1:7" s="167" customFormat="1"/>
    <row r="836" spans="1:7" s="167" customFormat="1" ht="15">
      <c r="A836" s="544" t="s">
        <v>135</v>
      </c>
    </row>
    <row r="837" spans="1:7" s="167" customFormat="1" ht="42.75">
      <c r="A837" s="742" t="str">
        <f>A827</f>
        <v>South of Kramer</v>
      </c>
      <c r="B837" s="744" t="s">
        <v>180</v>
      </c>
      <c r="C837" s="744" t="s">
        <v>181</v>
      </c>
      <c r="D837" s="744" t="s">
        <v>182</v>
      </c>
      <c r="E837" s="747" t="s">
        <v>144</v>
      </c>
      <c r="F837" s="545" t="s">
        <v>136</v>
      </c>
      <c r="G837" s="571" t="s">
        <v>197</v>
      </c>
    </row>
    <row r="838" spans="1:7" s="167" customFormat="1">
      <c r="A838" s="743"/>
      <c r="B838" s="745"/>
      <c r="C838" s="745"/>
      <c r="D838" s="746"/>
      <c r="E838" s="748"/>
      <c r="F838" s="537">
        <f>B832</f>
        <v>0.40739999999999998</v>
      </c>
      <c r="G838" s="538">
        <v>40544</v>
      </c>
    </row>
    <row r="839" spans="1:7" s="167" customFormat="1" ht="15">
      <c r="A839" s="539"/>
      <c r="B839" s="540"/>
      <c r="C839" s="540"/>
      <c r="D839" s="541"/>
      <c r="E839" s="266"/>
      <c r="F839" s="550"/>
      <c r="G839" s="543"/>
    </row>
    <row r="840" spans="1:7" s="167" customFormat="1">
      <c r="A840" s="358" t="s">
        <v>294</v>
      </c>
      <c r="B840" s="167">
        <f>'S. of Kramer CWIP Balance'!E15-'Beg int cap'!B49</f>
        <v>266.77069</v>
      </c>
      <c r="C840" s="170">
        <f>'Beg int cap'!E49</f>
        <v>0</v>
      </c>
      <c r="D840" s="167">
        <f t="shared" ref="D840:D849" si="147">SUM(B840:C840)</f>
        <v>266.77069</v>
      </c>
      <c r="F840" s="167">
        <f>(C840*F838)-('Beg int cap'!D62*'Def Tax'!F838)</f>
        <v>0</v>
      </c>
    </row>
    <row r="841" spans="1:7" s="167" customFormat="1">
      <c r="A841" s="261" t="s">
        <v>121</v>
      </c>
      <c r="B841" s="167">
        <f>B840+'S. of Kramer CWIP Balance'!D16</f>
        <v>348.48525999999998</v>
      </c>
      <c r="C841" s="167">
        <f t="shared" ref="C841:C849" si="148">C840+E841</f>
        <v>1.3894306770833333</v>
      </c>
      <c r="D841" s="167">
        <f t="shared" si="147"/>
        <v>349.87469067708332</v>
      </c>
      <c r="E841" s="167">
        <f>D840*($B$829/12)</f>
        <v>1.3894306770833333</v>
      </c>
      <c r="F841" s="167">
        <f>+E841*$F$838</f>
        <v>0.56605405784374996</v>
      </c>
    </row>
    <row r="842" spans="1:7" s="167" customFormat="1">
      <c r="A842" s="261" t="s">
        <v>75</v>
      </c>
      <c r="B842" s="167">
        <f>B841+'S. of Kramer CWIP Balance'!D17</f>
        <v>443.06207000000001</v>
      </c>
      <c r="C842" s="167">
        <f t="shared" si="148"/>
        <v>3.2116946910264756</v>
      </c>
      <c r="D842" s="167">
        <f t="shared" si="147"/>
        <v>446.27376469102649</v>
      </c>
      <c r="E842" s="167">
        <f>D841*($B$829/12)</f>
        <v>1.8222640139431423</v>
      </c>
      <c r="F842" s="167">
        <f>+E842*$F$838</f>
        <v>0.74239035928043617</v>
      </c>
    </row>
    <row r="843" spans="1:7" s="167" customFormat="1">
      <c r="A843" s="261" t="s">
        <v>122</v>
      </c>
      <c r="B843" s="167">
        <f>B842+'S. of Kramer CWIP Balance'!D18</f>
        <v>580.56236999999999</v>
      </c>
      <c r="C843" s="167">
        <f t="shared" si="148"/>
        <v>5.5360372154589053</v>
      </c>
      <c r="D843" s="167">
        <f t="shared" si="147"/>
        <v>586.09840721545891</v>
      </c>
      <c r="E843" s="306">
        <f>D842*($B$829/12)</f>
        <v>2.3243425244324296</v>
      </c>
      <c r="F843" s="167">
        <f t="shared" ref="F843:F849" si="149">+E843*$F$838</f>
        <v>0.94693714445377175</v>
      </c>
    </row>
    <row r="844" spans="1:7" s="167" customFormat="1">
      <c r="A844" s="261" t="s">
        <v>123</v>
      </c>
      <c r="B844" s="167">
        <f>B843+'S. of Kramer CWIP Balance'!D19</f>
        <v>717.95977000000005</v>
      </c>
      <c r="C844" s="167">
        <f t="shared" si="148"/>
        <v>8.588633086372754</v>
      </c>
      <c r="D844" s="167">
        <f t="shared" si="147"/>
        <v>726.54840308637279</v>
      </c>
      <c r="E844" s="167">
        <f>D843*($B$830/12)</f>
        <v>3.0525958709138483</v>
      </c>
      <c r="F844" s="167">
        <f t="shared" si="149"/>
        <v>1.2436275578103018</v>
      </c>
    </row>
    <row r="845" spans="1:7" s="167" customFormat="1">
      <c r="A845" s="261" t="s">
        <v>124</v>
      </c>
      <c r="B845" s="167">
        <f>B844+'S. of Kramer CWIP Balance'!D20</f>
        <v>953.82284000000004</v>
      </c>
      <c r="C845" s="167">
        <f t="shared" si="148"/>
        <v>12.372739352447612</v>
      </c>
      <c r="D845" s="167">
        <f t="shared" si="147"/>
        <v>966.19557935244768</v>
      </c>
      <c r="E845" s="167">
        <f>D844*($B$830/12)</f>
        <v>3.7841062660748581</v>
      </c>
      <c r="F845" s="167">
        <f t="shared" si="149"/>
        <v>1.541644892798897</v>
      </c>
    </row>
    <row r="846" spans="1:7" s="167" customFormat="1">
      <c r="A846" s="261" t="s">
        <v>125</v>
      </c>
      <c r="B846" s="167">
        <f>B845+'S. of Kramer CWIP Balance'!D21</f>
        <v>1247.3477399999999</v>
      </c>
      <c r="C846" s="167">
        <f t="shared" si="148"/>
        <v>17.405007994908274</v>
      </c>
      <c r="D846" s="167">
        <f t="shared" si="147"/>
        <v>1264.7527479949083</v>
      </c>
      <c r="E846" s="306">
        <f>D845*($B$830/12)</f>
        <v>5.0322686424606644</v>
      </c>
      <c r="F846" s="167">
        <f t="shared" si="149"/>
        <v>2.0501462449384746</v>
      </c>
    </row>
    <row r="847" spans="1:7" s="167" customFormat="1">
      <c r="A847" s="261" t="s">
        <v>126</v>
      </c>
      <c r="B847" s="167">
        <f>B846+'S. of Kramer CWIP Balance'!D22</f>
        <v>1533.96072</v>
      </c>
      <c r="C847" s="167">
        <f t="shared" si="148"/>
        <v>23.992261890715088</v>
      </c>
      <c r="D847" s="167">
        <f t="shared" si="147"/>
        <v>1557.9529818907151</v>
      </c>
      <c r="E847" s="167">
        <f>D846*($B$831/12)</f>
        <v>6.5872538958068141</v>
      </c>
      <c r="F847" s="167">
        <f t="shared" si="149"/>
        <v>2.6836472371516962</v>
      </c>
    </row>
    <row r="848" spans="1:7" s="167" customFormat="1">
      <c r="A848" s="261" t="s">
        <v>127</v>
      </c>
      <c r="B848" s="167">
        <f>B847+'S. of Kramer CWIP Balance'!D23</f>
        <v>1798.1977199999999</v>
      </c>
      <c r="C848" s="167">
        <f t="shared" si="148"/>
        <v>32.106600338062563</v>
      </c>
      <c r="D848" s="167">
        <f t="shared" si="147"/>
        <v>1830.3043203380626</v>
      </c>
      <c r="E848" s="167">
        <f>D847*($B$831/12)</f>
        <v>8.1143384473474747</v>
      </c>
      <c r="F848" s="167">
        <f t="shared" si="149"/>
        <v>3.3057814834493611</v>
      </c>
    </row>
    <row r="849" spans="1:6" s="167" customFormat="1">
      <c r="A849" s="358" t="s">
        <v>263</v>
      </c>
      <c r="B849" s="167">
        <f>B848+'S. of Kramer CWIP Balance'!D24</f>
        <v>2144.4204</v>
      </c>
      <c r="C849" s="167">
        <f t="shared" si="148"/>
        <v>41.639435339823308</v>
      </c>
      <c r="D849" s="167">
        <f t="shared" si="147"/>
        <v>2186.0598353398232</v>
      </c>
      <c r="E849" s="167">
        <f>D848*($B$831/12)</f>
        <v>9.5328350017607413</v>
      </c>
      <c r="F849" s="167">
        <f t="shared" si="149"/>
        <v>3.8836769797173258</v>
      </c>
    </row>
    <row r="850" spans="1:6" s="167" customFormat="1" ht="15" thickBot="1">
      <c r="A850" s="358"/>
      <c r="E850" s="168"/>
      <c r="F850" s="168"/>
    </row>
    <row r="851" spans="1:6" s="167" customFormat="1" ht="15" thickTop="1">
      <c r="A851" s="737"/>
      <c r="B851" s="737"/>
      <c r="C851" s="737"/>
      <c r="D851" s="737"/>
      <c r="E851" s="737"/>
      <c r="F851" s="737"/>
    </row>
    <row r="852" spans="1:6" s="167" customFormat="1" ht="15.75">
      <c r="A852" s="737" t="s">
        <v>145</v>
      </c>
      <c r="B852" s="737"/>
      <c r="C852" s="737"/>
      <c r="D852" s="737"/>
      <c r="E852" s="737"/>
      <c r="F852" s="737"/>
    </row>
    <row r="853" spans="1:6" s="167" customFormat="1">
      <c r="A853" s="737"/>
      <c r="B853" s="737"/>
      <c r="C853" s="737"/>
      <c r="D853" s="737"/>
      <c r="E853" s="737"/>
      <c r="F853" s="737"/>
    </row>
    <row r="854" spans="1:6" s="167" customFormat="1"/>
    <row r="855" spans="1:6" s="167" customFormat="1" ht="15">
      <c r="A855" s="544" t="s">
        <v>138</v>
      </c>
    </row>
    <row r="856" spans="1:6" s="167" customFormat="1" ht="28.5">
      <c r="A856" s="551" t="str">
        <f>A827</f>
        <v>South of Kramer</v>
      </c>
      <c r="B856" s="169" t="s">
        <v>139</v>
      </c>
      <c r="C856" s="169" t="s">
        <v>140</v>
      </c>
      <c r="D856" s="169" t="s">
        <v>141</v>
      </c>
      <c r="E856" s="169" t="s">
        <v>142</v>
      </c>
      <c r="F856" s="169" t="s">
        <v>143</v>
      </c>
    </row>
    <row r="857" spans="1:6" s="167" customFormat="1">
      <c r="A857" s="358" t="s">
        <v>294</v>
      </c>
      <c r="B857" s="167">
        <f t="shared" ref="B857:B866" si="150">+F840</f>
        <v>0</v>
      </c>
      <c r="C857" s="170">
        <f>B857</f>
        <v>0</v>
      </c>
      <c r="D857" s="271">
        <f>D125</f>
        <v>0.74999999999999989</v>
      </c>
      <c r="E857" s="170">
        <f t="shared" ref="E857:E866" si="151">+B857*D857</f>
        <v>0</v>
      </c>
      <c r="F857" s="272">
        <f>+C857*D857</f>
        <v>0</v>
      </c>
    </row>
    <row r="858" spans="1:6" s="167" customFormat="1">
      <c r="A858" s="261" t="s">
        <v>121</v>
      </c>
      <c r="B858" s="167">
        <f t="shared" si="150"/>
        <v>0.56605405784374996</v>
      </c>
      <c r="C858" s="170">
        <f>C857+B858</f>
        <v>0.56605405784374996</v>
      </c>
      <c r="D858" s="271">
        <f>D857-(1/12)</f>
        <v>0.66666666666666652</v>
      </c>
      <c r="E858" s="170">
        <f t="shared" si="151"/>
        <v>0.37736937189583319</v>
      </c>
      <c r="F858" s="170">
        <f t="shared" ref="F858:F866" si="152">+F857+E858</f>
        <v>0.37736937189583319</v>
      </c>
    </row>
    <row r="859" spans="1:6" s="167" customFormat="1">
      <c r="A859" s="261" t="s">
        <v>75</v>
      </c>
      <c r="B859" s="167">
        <f t="shared" si="150"/>
        <v>0.74239035928043617</v>
      </c>
      <c r="C859" s="170">
        <f t="shared" ref="C859:C866" si="153">+C858+B859</f>
        <v>1.308444417124186</v>
      </c>
      <c r="D859" s="271">
        <f>D858-(1/12)</f>
        <v>0.58333333333333315</v>
      </c>
      <c r="E859" s="170">
        <f t="shared" si="151"/>
        <v>0.43306104291358766</v>
      </c>
      <c r="F859" s="170">
        <f t="shared" si="152"/>
        <v>0.8104304148094208</v>
      </c>
    </row>
    <row r="860" spans="1:6" s="167" customFormat="1">
      <c r="A860" s="261" t="s">
        <v>122</v>
      </c>
      <c r="B860" s="167">
        <f t="shared" si="150"/>
        <v>0.94693714445377175</v>
      </c>
      <c r="C860" s="170">
        <f t="shared" si="153"/>
        <v>2.2553815615779578</v>
      </c>
      <c r="D860" s="271">
        <f t="shared" ref="D860:D865" si="154">D859-(1/12)</f>
        <v>0.49999999999999983</v>
      </c>
      <c r="E860" s="170">
        <f t="shared" si="151"/>
        <v>0.47346857222688571</v>
      </c>
      <c r="F860" s="170">
        <f t="shared" si="152"/>
        <v>1.2838989870363064</v>
      </c>
    </row>
    <row r="861" spans="1:6" s="167" customFormat="1">
      <c r="A861" s="261" t="s">
        <v>123</v>
      </c>
      <c r="B861" s="167">
        <f t="shared" si="150"/>
        <v>1.2436275578103018</v>
      </c>
      <c r="C861" s="170">
        <f t="shared" si="153"/>
        <v>3.4990091193882593</v>
      </c>
      <c r="D861" s="271">
        <f t="shared" si="154"/>
        <v>0.41666666666666652</v>
      </c>
      <c r="E861" s="170">
        <f t="shared" si="151"/>
        <v>0.51817814908762561</v>
      </c>
      <c r="F861" s="170">
        <f t="shared" si="152"/>
        <v>1.8020771361239321</v>
      </c>
    </row>
    <row r="862" spans="1:6" s="167" customFormat="1">
      <c r="A862" s="261" t="s">
        <v>124</v>
      </c>
      <c r="B862" s="167">
        <f t="shared" si="150"/>
        <v>1.541644892798897</v>
      </c>
      <c r="C862" s="170">
        <f t="shared" si="153"/>
        <v>5.0406540121871561</v>
      </c>
      <c r="D862" s="271">
        <f t="shared" si="154"/>
        <v>0.3333333333333332</v>
      </c>
      <c r="E862" s="170">
        <f t="shared" si="151"/>
        <v>0.51388163093296546</v>
      </c>
      <c r="F862" s="170">
        <f t="shared" si="152"/>
        <v>2.3159587670568973</v>
      </c>
    </row>
    <row r="863" spans="1:6" s="167" customFormat="1">
      <c r="A863" s="261" t="s">
        <v>125</v>
      </c>
      <c r="B863" s="167">
        <f t="shared" si="150"/>
        <v>2.0501462449384746</v>
      </c>
      <c r="C863" s="170">
        <f t="shared" si="153"/>
        <v>7.0908002571256308</v>
      </c>
      <c r="D863" s="271">
        <f t="shared" si="154"/>
        <v>0.24999999999999989</v>
      </c>
      <c r="E863" s="170">
        <f t="shared" si="151"/>
        <v>0.51253656123461844</v>
      </c>
      <c r="F863" s="170">
        <f t="shared" si="152"/>
        <v>2.828495328291516</v>
      </c>
    </row>
    <row r="864" spans="1:6" s="167" customFormat="1">
      <c r="A864" s="261" t="s">
        <v>126</v>
      </c>
      <c r="B864" s="167">
        <f t="shared" si="150"/>
        <v>2.6836472371516962</v>
      </c>
      <c r="C864" s="170">
        <f t="shared" si="153"/>
        <v>9.774447494277327</v>
      </c>
      <c r="D864" s="271">
        <f t="shared" si="154"/>
        <v>0.16666666666666657</v>
      </c>
      <c r="E864" s="170">
        <f t="shared" si="151"/>
        <v>0.44727453952528246</v>
      </c>
      <c r="F864" s="170">
        <f t="shared" si="152"/>
        <v>3.2757698678167984</v>
      </c>
    </row>
    <row r="865" spans="1:6" s="167" customFormat="1">
      <c r="A865" s="261" t="s">
        <v>127</v>
      </c>
      <c r="B865" s="167">
        <f t="shared" si="150"/>
        <v>3.3057814834493611</v>
      </c>
      <c r="C865" s="170">
        <f t="shared" si="153"/>
        <v>13.080228977726687</v>
      </c>
      <c r="D865" s="271">
        <f t="shared" si="154"/>
        <v>8.3333333333333245E-2</v>
      </c>
      <c r="E865" s="170">
        <f t="shared" si="151"/>
        <v>0.27548179028744646</v>
      </c>
      <c r="F865" s="170">
        <f t="shared" si="152"/>
        <v>3.5512516581042446</v>
      </c>
    </row>
    <row r="866" spans="1:6" s="167" customFormat="1">
      <c r="A866" s="358" t="s">
        <v>263</v>
      </c>
      <c r="B866" s="167">
        <f t="shared" si="150"/>
        <v>3.8836769797173258</v>
      </c>
      <c r="C866" s="170">
        <f t="shared" si="153"/>
        <v>16.963905957444013</v>
      </c>
      <c r="D866" s="271">
        <f>D865-(1/12)</f>
        <v>0</v>
      </c>
      <c r="E866" s="170">
        <f t="shared" si="151"/>
        <v>0</v>
      </c>
      <c r="F866" s="405">
        <f t="shared" si="152"/>
        <v>3.5512516581042446</v>
      </c>
    </row>
    <row r="867" spans="1:6" s="167" customFormat="1" ht="15" thickBot="1">
      <c r="A867" s="358" t="s">
        <v>301</v>
      </c>
      <c r="B867" s="528">
        <f>SUM(B857:B866)</f>
        <v>16.963905957444013</v>
      </c>
      <c r="D867" s="738" t="s">
        <v>302</v>
      </c>
      <c r="E867" s="739"/>
      <c r="F867" s="535">
        <f>SUM(F857:F866)/10</f>
        <v>1.9796503189239196</v>
      </c>
    </row>
    <row r="868" spans="1:6" s="167" customFormat="1" ht="15" thickTop="1">
      <c r="A868" s="358"/>
      <c r="B868" s="170"/>
      <c r="C868" s="170"/>
      <c r="D868" s="271"/>
      <c r="E868" s="170"/>
      <c r="F868" s="272"/>
    </row>
    <row r="871" spans="1:6" s="167" customFormat="1" ht="18.75" thickBot="1">
      <c r="A871" s="740" t="s">
        <v>289</v>
      </c>
      <c r="B871" s="741"/>
      <c r="C871" s="741"/>
      <c r="D871" s="741"/>
      <c r="E871" s="741"/>
      <c r="F871" s="741"/>
    </row>
    <row r="872" spans="1:6" s="167" customFormat="1">
      <c r="A872" s="588" t="s">
        <v>303</v>
      </c>
      <c r="B872" s="530">
        <f>B23</f>
        <v>6.25E-2</v>
      </c>
      <c r="C872" s="536" t="s">
        <v>153</v>
      </c>
    </row>
    <row r="873" spans="1:6" s="167" customFormat="1">
      <c r="A873" s="589" t="s">
        <v>168</v>
      </c>
      <c r="B873" s="530">
        <f>B24</f>
        <v>6.25E-2</v>
      </c>
    </row>
    <row r="874" spans="1:6" s="167" customFormat="1">
      <c r="A874" s="589" t="s">
        <v>169</v>
      </c>
      <c r="B874" s="530">
        <f>B25</f>
        <v>6.25E-2</v>
      </c>
    </row>
    <row r="875" spans="1:6" s="167" customFormat="1">
      <c r="A875" s="589" t="s">
        <v>170</v>
      </c>
      <c r="B875" s="530">
        <f>B26</f>
        <v>6.25E-2</v>
      </c>
    </row>
    <row r="876" spans="1:6" s="167" customFormat="1">
      <c r="A876" s="588" t="s">
        <v>270</v>
      </c>
      <c r="B876" s="534">
        <f>B27</f>
        <v>0.40739999999999998</v>
      </c>
    </row>
    <row r="877" spans="1:6" s="167" customFormat="1">
      <c r="A877" s="533"/>
      <c r="B877" s="534"/>
    </row>
    <row r="878" spans="1:6" s="167" customFormat="1"/>
    <row r="879" spans="1:6" s="167" customFormat="1"/>
    <row r="880" spans="1:6" s="167" customFormat="1" ht="15">
      <c r="A880" s="544" t="s">
        <v>135</v>
      </c>
    </row>
    <row r="881" spans="1:7" s="167" customFormat="1" ht="42.75">
      <c r="A881" s="742" t="str">
        <f>A871</f>
        <v>West of Devers</v>
      </c>
      <c r="B881" s="744" t="s">
        <v>180</v>
      </c>
      <c r="C881" s="744" t="s">
        <v>181</v>
      </c>
      <c r="D881" s="744" t="s">
        <v>182</v>
      </c>
      <c r="E881" s="747" t="s">
        <v>144</v>
      </c>
      <c r="F881" s="545" t="s">
        <v>136</v>
      </c>
      <c r="G881" s="571" t="s">
        <v>197</v>
      </c>
    </row>
    <row r="882" spans="1:7" s="167" customFormat="1">
      <c r="A882" s="743"/>
      <c r="B882" s="745"/>
      <c r="C882" s="745"/>
      <c r="D882" s="746"/>
      <c r="E882" s="748"/>
      <c r="F882" s="537">
        <f>B876</f>
        <v>0.40739999999999998</v>
      </c>
      <c r="G882" s="538">
        <v>40544</v>
      </c>
    </row>
    <row r="883" spans="1:7" s="167" customFormat="1" ht="15">
      <c r="A883" s="539"/>
      <c r="B883" s="540"/>
      <c r="C883" s="540"/>
      <c r="D883" s="541"/>
      <c r="E883" s="266"/>
      <c r="F883" s="550"/>
      <c r="G883" s="543"/>
    </row>
    <row r="884" spans="1:7" s="167" customFormat="1">
      <c r="A884" s="358" t="s">
        <v>294</v>
      </c>
      <c r="B884" s="167">
        <f>'W. of Devers CWIP Balance'!E15-'Beg int cap'!B50</f>
        <v>1932.15182</v>
      </c>
      <c r="C884" s="170">
        <f>'Beg int cap'!E512</f>
        <v>0</v>
      </c>
      <c r="D884" s="167">
        <f t="shared" ref="D884:D893" si="155">SUM(B884:C884)</f>
        <v>1932.15182</v>
      </c>
      <c r="F884" s="167">
        <f>(C884*F882)-('Beg int cap'!D63*'Def Tax'!F882)</f>
        <v>0</v>
      </c>
    </row>
    <row r="885" spans="1:7" s="167" customFormat="1">
      <c r="A885" s="261" t="s">
        <v>121</v>
      </c>
      <c r="B885" s="167">
        <f>B884+'W. of Devers CWIP Balance'!D16</f>
        <v>2031.81385</v>
      </c>
      <c r="C885" s="167">
        <f t="shared" ref="C885:C893" si="156">C884+E885</f>
        <v>10.063290729166667</v>
      </c>
      <c r="D885" s="167">
        <f t="shared" si="155"/>
        <v>2041.8771407291667</v>
      </c>
      <c r="E885" s="306">
        <f>D884*($B$873/12)</f>
        <v>10.063290729166667</v>
      </c>
      <c r="F885" s="167">
        <f t="shared" ref="F885:F893" si="157">+E885*$F$882</f>
        <v>4.0997846430624998</v>
      </c>
    </row>
    <row r="886" spans="1:7" s="167" customFormat="1">
      <c r="A886" s="261" t="s">
        <v>75</v>
      </c>
      <c r="B886" s="167">
        <f>B885+'W. of Devers CWIP Balance'!D17</f>
        <v>2139.3131100000001</v>
      </c>
      <c r="C886" s="167">
        <f t="shared" si="156"/>
        <v>20.698067503797745</v>
      </c>
      <c r="D886" s="167">
        <f t="shared" si="155"/>
        <v>2160.0111775037976</v>
      </c>
      <c r="E886" s="306">
        <f>D885*($B$873/12)</f>
        <v>10.634776774631076</v>
      </c>
      <c r="F886" s="167">
        <f t="shared" si="157"/>
        <v>4.3326080579847002</v>
      </c>
    </row>
    <row r="887" spans="1:7" s="167" customFormat="1">
      <c r="A887" s="261" t="s">
        <v>122</v>
      </c>
      <c r="B887" s="167">
        <f>B886+'W. of Devers CWIP Balance'!D18</f>
        <v>2294.2993099999999</v>
      </c>
      <c r="C887" s="167">
        <f t="shared" si="156"/>
        <v>31.948125719963357</v>
      </c>
      <c r="D887" s="167">
        <f t="shared" si="155"/>
        <v>2326.2474357199631</v>
      </c>
      <c r="E887" s="306">
        <f>D886*($B$873/12)</f>
        <v>11.250058216165613</v>
      </c>
      <c r="F887" s="167">
        <f t="shared" si="157"/>
        <v>4.5832737172658709</v>
      </c>
    </row>
    <row r="888" spans="1:7" s="167" customFormat="1">
      <c r="A888" s="261" t="s">
        <v>123</v>
      </c>
      <c r="B888" s="167">
        <f>B887+'W. of Devers CWIP Balance'!D19</f>
        <v>2522.6017499999998</v>
      </c>
      <c r="C888" s="167">
        <f t="shared" si="156"/>
        <v>44.063997781004829</v>
      </c>
      <c r="D888" s="167">
        <f t="shared" si="155"/>
        <v>2566.6657477810045</v>
      </c>
      <c r="E888" s="306">
        <f>D887*($B$874/12)</f>
        <v>12.115872061041474</v>
      </c>
      <c r="F888" s="167">
        <f t="shared" si="157"/>
        <v>4.9360062776682962</v>
      </c>
    </row>
    <row r="889" spans="1:7" s="167" customFormat="1">
      <c r="A889" s="261" t="s">
        <v>124</v>
      </c>
      <c r="B889" s="167">
        <f>B888+'W. of Devers CWIP Balance'!D20</f>
        <v>2834.5557699999999</v>
      </c>
      <c r="C889" s="167">
        <f t="shared" si="156"/>
        <v>57.432048550697559</v>
      </c>
      <c r="D889" s="167">
        <f t="shared" si="155"/>
        <v>2891.9878185506973</v>
      </c>
      <c r="E889" s="306">
        <f>D888*($B$874/12)</f>
        <v>13.368050769692731</v>
      </c>
      <c r="F889" s="167">
        <f t="shared" si="157"/>
        <v>5.4461438835728186</v>
      </c>
    </row>
    <row r="890" spans="1:7" s="167" customFormat="1">
      <c r="A890" s="261" t="s">
        <v>125</v>
      </c>
      <c r="B890" s="167">
        <f>B889+'W. of Devers CWIP Balance'!D21</f>
        <v>3206.9245900000001</v>
      </c>
      <c r="C890" s="167">
        <f t="shared" si="156"/>
        <v>72.494485105649105</v>
      </c>
      <c r="D890" s="167">
        <f t="shared" si="155"/>
        <v>3279.419075105649</v>
      </c>
      <c r="E890" s="306">
        <f>D889*($B$874/12)</f>
        <v>15.062436554951548</v>
      </c>
      <c r="F890" s="167">
        <f t="shared" si="157"/>
        <v>6.1364366524872604</v>
      </c>
    </row>
    <row r="891" spans="1:7" s="167" customFormat="1">
      <c r="A891" s="261" t="s">
        <v>126</v>
      </c>
      <c r="B891" s="167">
        <f>B890+'W. of Devers CWIP Balance'!D22</f>
        <v>3552.03008</v>
      </c>
      <c r="C891" s="167">
        <f t="shared" si="156"/>
        <v>89.574792788491024</v>
      </c>
      <c r="D891" s="167">
        <f t="shared" si="155"/>
        <v>3641.6048727884909</v>
      </c>
      <c r="E891" s="167">
        <f>D890*($B$875/12)</f>
        <v>17.080307682841919</v>
      </c>
      <c r="F891" s="167">
        <f t="shared" si="157"/>
        <v>6.9585173499897977</v>
      </c>
    </row>
    <row r="892" spans="1:7" s="167" customFormat="1">
      <c r="A892" s="261" t="s">
        <v>127</v>
      </c>
      <c r="B892" s="167">
        <f>B891+'W. of Devers CWIP Balance'!D23</f>
        <v>3935.1401000000001</v>
      </c>
      <c r="C892" s="167">
        <f t="shared" si="156"/>
        <v>108.54148483426441</v>
      </c>
      <c r="D892" s="167">
        <f t="shared" si="155"/>
        <v>4043.6815848342644</v>
      </c>
      <c r="E892" s="167">
        <f>D891*($B$875/12)</f>
        <v>18.966692045773389</v>
      </c>
      <c r="F892" s="167">
        <f t="shared" si="157"/>
        <v>7.7270303394480786</v>
      </c>
    </row>
    <row r="893" spans="1:7" s="167" customFormat="1">
      <c r="A893" s="358" t="s">
        <v>263</v>
      </c>
      <c r="B893" s="167">
        <f>B892+'W. of Devers CWIP Balance'!D24</f>
        <v>4824.4580599999999</v>
      </c>
      <c r="C893" s="167">
        <f t="shared" si="156"/>
        <v>129.60232642194288</v>
      </c>
      <c r="D893" s="167">
        <f t="shared" si="155"/>
        <v>4954.0603864219429</v>
      </c>
      <c r="E893" s="167">
        <f>D892*($B$875/12)</f>
        <v>21.06084158767846</v>
      </c>
      <c r="F893" s="167">
        <f t="shared" si="157"/>
        <v>8.580186862820204</v>
      </c>
    </row>
    <row r="894" spans="1:7" s="167" customFormat="1" ht="15" thickBot="1">
      <c r="A894" s="358"/>
      <c r="E894" s="168"/>
      <c r="F894" s="168"/>
    </row>
    <row r="895" spans="1:7" s="167" customFormat="1" ht="15" thickTop="1">
      <c r="A895" s="358"/>
      <c r="E895" s="306"/>
      <c r="F895" s="306"/>
    </row>
    <row r="896" spans="1:7" s="167" customFormat="1">
      <c r="E896" s="306"/>
      <c r="F896" s="306"/>
    </row>
    <row r="897" spans="1:6" s="167" customFormat="1">
      <c r="A897" s="737"/>
      <c r="B897" s="737"/>
      <c r="C897" s="737"/>
      <c r="D897" s="737"/>
      <c r="E897" s="737"/>
      <c r="F897" s="737"/>
    </row>
    <row r="898" spans="1:6" s="167" customFormat="1" ht="15.75">
      <c r="A898" s="737" t="s">
        <v>145</v>
      </c>
      <c r="B898" s="737"/>
      <c r="C898" s="737"/>
      <c r="D898" s="737"/>
      <c r="E898" s="737"/>
      <c r="F898" s="737"/>
    </row>
    <row r="899" spans="1:6" s="167" customFormat="1">
      <c r="A899" s="737"/>
      <c r="B899" s="737"/>
      <c r="C899" s="737"/>
      <c r="D899" s="737"/>
      <c r="E899" s="737"/>
      <c r="F899" s="737"/>
    </row>
    <row r="900" spans="1:6" s="167" customFormat="1"/>
    <row r="901" spans="1:6" s="167" customFormat="1" ht="15">
      <c r="A901" s="544" t="s">
        <v>138</v>
      </c>
    </row>
    <row r="902" spans="1:6" s="167" customFormat="1" ht="28.5">
      <c r="A902" s="551" t="str">
        <f>A871</f>
        <v>West of Devers</v>
      </c>
      <c r="B902" s="169" t="s">
        <v>139</v>
      </c>
      <c r="C902" s="169" t="s">
        <v>140</v>
      </c>
      <c r="D902" s="169" t="s">
        <v>141</v>
      </c>
      <c r="E902" s="169" t="s">
        <v>142</v>
      </c>
      <c r="F902" s="169" t="s">
        <v>143</v>
      </c>
    </row>
    <row r="903" spans="1:6" s="167" customFormat="1">
      <c r="A903" s="358" t="s">
        <v>294</v>
      </c>
      <c r="B903" s="167">
        <f t="shared" ref="B903:B912" si="158">+F884</f>
        <v>0</v>
      </c>
      <c r="C903" s="170">
        <f>B903</f>
        <v>0</v>
      </c>
      <c r="D903" s="271">
        <f>D125</f>
        <v>0.74999999999999989</v>
      </c>
      <c r="E903" s="170">
        <f t="shared" ref="E903:E912" si="159">+B903*D903</f>
        <v>0</v>
      </c>
      <c r="F903" s="272">
        <f>+C903*D903</f>
        <v>0</v>
      </c>
    </row>
    <row r="904" spans="1:6" s="167" customFormat="1">
      <c r="A904" s="261" t="s">
        <v>121</v>
      </c>
      <c r="B904" s="167">
        <f t="shared" si="158"/>
        <v>4.0997846430624998</v>
      </c>
      <c r="C904" s="170">
        <f>C903+B904</f>
        <v>4.0997846430624998</v>
      </c>
      <c r="D904" s="271">
        <f>D903-(1/12)</f>
        <v>0.66666666666666652</v>
      </c>
      <c r="E904" s="170">
        <f t="shared" si="159"/>
        <v>2.7331897620416661</v>
      </c>
      <c r="F904" s="170">
        <f t="shared" ref="F904:F912" si="160">+F903+E904</f>
        <v>2.7331897620416661</v>
      </c>
    </row>
    <row r="905" spans="1:6" s="167" customFormat="1">
      <c r="A905" s="261" t="s">
        <v>75</v>
      </c>
      <c r="B905" s="167">
        <f t="shared" si="158"/>
        <v>4.3326080579847002</v>
      </c>
      <c r="C905" s="170">
        <f t="shared" ref="C905:C912" si="161">+C904+B905</f>
        <v>8.4323927010471991</v>
      </c>
      <c r="D905" s="271">
        <f>D904-(1/12)</f>
        <v>0.58333333333333315</v>
      </c>
      <c r="E905" s="170">
        <f t="shared" si="159"/>
        <v>2.5273547004910744</v>
      </c>
      <c r="F905" s="170">
        <f t="shared" si="160"/>
        <v>5.2605444625327404</v>
      </c>
    </row>
    <row r="906" spans="1:6" s="167" customFormat="1">
      <c r="A906" s="261" t="s">
        <v>122</v>
      </c>
      <c r="B906" s="167">
        <f t="shared" si="158"/>
        <v>4.5832737172658709</v>
      </c>
      <c r="C906" s="170">
        <f t="shared" si="161"/>
        <v>13.015666418313071</v>
      </c>
      <c r="D906" s="271">
        <f t="shared" ref="D906:D911" si="162">D905-(1/12)</f>
        <v>0.49999999999999983</v>
      </c>
      <c r="E906" s="170">
        <f t="shared" si="159"/>
        <v>2.2916368586329345</v>
      </c>
      <c r="F906" s="170">
        <f t="shared" si="160"/>
        <v>7.5521813211656745</v>
      </c>
    </row>
    <row r="907" spans="1:6" s="167" customFormat="1">
      <c r="A907" s="261" t="s">
        <v>123</v>
      </c>
      <c r="B907" s="167">
        <f t="shared" si="158"/>
        <v>4.9360062776682962</v>
      </c>
      <c r="C907" s="170">
        <f t="shared" si="161"/>
        <v>17.951672695981365</v>
      </c>
      <c r="D907" s="271">
        <f t="shared" si="162"/>
        <v>0.41666666666666652</v>
      </c>
      <c r="E907" s="170">
        <f t="shared" si="159"/>
        <v>2.0566692823617894</v>
      </c>
      <c r="F907" s="170">
        <f t="shared" si="160"/>
        <v>9.6088506035274648</v>
      </c>
    </row>
    <row r="908" spans="1:6" s="167" customFormat="1">
      <c r="A908" s="261" t="s">
        <v>124</v>
      </c>
      <c r="B908" s="167">
        <f t="shared" si="158"/>
        <v>5.4461438835728186</v>
      </c>
      <c r="C908" s="170">
        <f t="shared" si="161"/>
        <v>23.397816579554185</v>
      </c>
      <c r="D908" s="271">
        <f t="shared" si="162"/>
        <v>0.3333333333333332</v>
      </c>
      <c r="E908" s="170">
        <f t="shared" si="159"/>
        <v>1.8153812945242722</v>
      </c>
      <c r="F908" s="170">
        <f t="shared" si="160"/>
        <v>11.424231898051737</v>
      </c>
    </row>
    <row r="909" spans="1:6" s="167" customFormat="1">
      <c r="A909" s="261" t="s">
        <v>125</v>
      </c>
      <c r="B909" s="167">
        <f t="shared" si="158"/>
        <v>6.1364366524872604</v>
      </c>
      <c r="C909" s="170">
        <f t="shared" si="161"/>
        <v>29.534253232041443</v>
      </c>
      <c r="D909" s="271">
        <f t="shared" si="162"/>
        <v>0.24999999999999989</v>
      </c>
      <c r="E909" s="170">
        <f t="shared" si="159"/>
        <v>1.5341091631218144</v>
      </c>
      <c r="F909" s="170">
        <f t="shared" si="160"/>
        <v>12.958341061173551</v>
      </c>
    </row>
    <row r="910" spans="1:6" s="167" customFormat="1">
      <c r="A910" s="261" t="s">
        <v>126</v>
      </c>
      <c r="B910" s="167">
        <f t="shared" si="158"/>
        <v>6.9585173499897977</v>
      </c>
      <c r="C910" s="170">
        <f t="shared" si="161"/>
        <v>36.492770582031241</v>
      </c>
      <c r="D910" s="271">
        <f t="shared" si="162"/>
        <v>0.16666666666666657</v>
      </c>
      <c r="E910" s="170">
        <f t="shared" si="159"/>
        <v>1.1597528916649655</v>
      </c>
      <c r="F910" s="170">
        <f t="shared" si="160"/>
        <v>14.118093952838516</v>
      </c>
    </row>
    <row r="911" spans="1:6" s="167" customFormat="1">
      <c r="A911" s="261" t="s">
        <v>127</v>
      </c>
      <c r="B911" s="167">
        <f t="shared" si="158"/>
        <v>7.7270303394480786</v>
      </c>
      <c r="C911" s="170">
        <f t="shared" si="161"/>
        <v>44.219800921479319</v>
      </c>
      <c r="D911" s="271">
        <f t="shared" si="162"/>
        <v>8.3333333333333245E-2</v>
      </c>
      <c r="E911" s="170">
        <f t="shared" si="159"/>
        <v>0.64391919495400585</v>
      </c>
      <c r="F911" s="170">
        <f t="shared" si="160"/>
        <v>14.762013147792521</v>
      </c>
    </row>
    <row r="912" spans="1:6" s="167" customFormat="1">
      <c r="A912" s="358" t="s">
        <v>263</v>
      </c>
      <c r="B912" s="167">
        <f t="shared" si="158"/>
        <v>8.580186862820204</v>
      </c>
      <c r="C912" s="170">
        <f t="shared" si="161"/>
        <v>52.799987784299525</v>
      </c>
      <c r="D912" s="271">
        <f>D911-(1/12)</f>
        <v>0</v>
      </c>
      <c r="E912" s="170">
        <f t="shared" si="159"/>
        <v>0</v>
      </c>
      <c r="F912" s="170">
        <f t="shared" si="160"/>
        <v>14.762013147792521</v>
      </c>
    </row>
    <row r="913" spans="1:6" s="167" customFormat="1" ht="15" thickBot="1">
      <c r="A913" s="358" t="s">
        <v>301</v>
      </c>
      <c r="B913" s="528">
        <f>SUM(B903:B912)</f>
        <v>52.799987784299525</v>
      </c>
      <c r="D913" s="738" t="s">
        <v>302</v>
      </c>
      <c r="E913" s="739"/>
      <c r="F913" s="168">
        <f>SUM(F903:F912)/10</f>
        <v>9.3179459356916379</v>
      </c>
    </row>
    <row r="914" spans="1:6" s="167" customFormat="1" ht="15" thickTop="1">
      <c r="A914" s="358"/>
      <c r="B914" s="170"/>
      <c r="C914" s="170"/>
      <c r="D914" s="271"/>
      <c r="E914" s="170"/>
      <c r="F914" s="272"/>
    </row>
  </sheetData>
  <mergeCells count="113">
    <mergeCell ref="A1:F1"/>
    <mergeCell ref="A2:F2"/>
    <mergeCell ref="A3:F3"/>
    <mergeCell ref="A4:F4"/>
    <mergeCell ref="D542:E542"/>
    <mergeCell ref="A7:F7"/>
    <mergeCell ref="A117:F117"/>
    <mergeCell ref="A99:F99"/>
    <mergeCell ref="A199:F199"/>
    <mergeCell ref="D178:E178"/>
    <mergeCell ref="B31:B32"/>
    <mergeCell ref="E31:E32"/>
    <mergeCell ref="A118:F118"/>
    <mergeCell ref="A31:A32"/>
    <mergeCell ref="C31:C32"/>
    <mergeCell ref="D31:D32"/>
    <mergeCell ref="D135:E135"/>
    <mergeCell ref="D325:E325"/>
    <mergeCell ref="D353:E353"/>
    <mergeCell ref="D367:E367"/>
    <mergeCell ref="B222:B223"/>
    <mergeCell ref="E222:E223"/>
    <mergeCell ref="A308:F308"/>
    <mergeCell ref="A306:F306"/>
    <mergeCell ref="A307:F307"/>
    <mergeCell ref="D160:E160"/>
    <mergeCell ref="A222:A223"/>
    <mergeCell ref="C222:C223"/>
    <mergeCell ref="D222:D223"/>
    <mergeCell ref="D196:E196"/>
    <mergeCell ref="A489:F489"/>
    <mergeCell ref="A488:F488"/>
    <mergeCell ref="D385:E385"/>
    <mergeCell ref="D510:E510"/>
    <mergeCell ref="D528:E528"/>
    <mergeCell ref="A487:F487"/>
    <mergeCell ref="A387:F387"/>
    <mergeCell ref="B412:B413"/>
    <mergeCell ref="E412:E413"/>
    <mergeCell ref="C412:C413"/>
    <mergeCell ref="D412:D413"/>
    <mergeCell ref="A412:A413"/>
    <mergeCell ref="D556:E556"/>
    <mergeCell ref="A591:F591"/>
    <mergeCell ref="A592:F592"/>
    <mergeCell ref="A593:F593"/>
    <mergeCell ref="A558:F558"/>
    <mergeCell ref="A570:A571"/>
    <mergeCell ref="B570:B571"/>
    <mergeCell ref="C570:C571"/>
    <mergeCell ref="D570:D571"/>
    <mergeCell ref="E570:E571"/>
    <mergeCell ref="A648:F648"/>
    <mergeCell ref="A649:F649"/>
    <mergeCell ref="A650:F650"/>
    <mergeCell ref="D668:E668"/>
    <mergeCell ref="D611:E611"/>
    <mergeCell ref="A614:F614"/>
    <mergeCell ref="A625:A626"/>
    <mergeCell ref="B625:B626"/>
    <mergeCell ref="C625:C626"/>
    <mergeCell ref="D625:D626"/>
    <mergeCell ref="E625:E626"/>
    <mergeCell ref="A672:F672"/>
    <mergeCell ref="A687:A688"/>
    <mergeCell ref="B687:B688"/>
    <mergeCell ref="C687:C688"/>
    <mergeCell ref="D687:D688"/>
    <mergeCell ref="E687:E688"/>
    <mergeCell ref="A710:F710"/>
    <mergeCell ref="A711:F711"/>
    <mergeCell ref="A712:F712"/>
    <mergeCell ref="D730:E730"/>
    <mergeCell ref="A761:F761"/>
    <mergeCell ref="A762:F762"/>
    <mergeCell ref="A763:F763"/>
    <mergeCell ref="D777:E777"/>
    <mergeCell ref="A735:F735"/>
    <mergeCell ref="A745:A746"/>
    <mergeCell ref="B745:B746"/>
    <mergeCell ref="C745:C746"/>
    <mergeCell ref="D745:D746"/>
    <mergeCell ref="E745:E746"/>
    <mergeCell ref="A807:F807"/>
    <mergeCell ref="A808:F808"/>
    <mergeCell ref="A809:F809"/>
    <mergeCell ref="D823:E823"/>
    <mergeCell ref="A781:F781"/>
    <mergeCell ref="A791:A792"/>
    <mergeCell ref="B791:B792"/>
    <mergeCell ref="C791:C792"/>
    <mergeCell ref="D791:D792"/>
    <mergeCell ref="E791:E792"/>
    <mergeCell ref="A851:F851"/>
    <mergeCell ref="A852:F852"/>
    <mergeCell ref="A853:F853"/>
    <mergeCell ref="D867:E867"/>
    <mergeCell ref="A827:F827"/>
    <mergeCell ref="A837:A838"/>
    <mergeCell ref="B837:B838"/>
    <mergeCell ref="C837:C838"/>
    <mergeCell ref="D837:D838"/>
    <mergeCell ref="E837:E838"/>
    <mergeCell ref="A897:F897"/>
    <mergeCell ref="A898:F898"/>
    <mergeCell ref="A899:F899"/>
    <mergeCell ref="D913:E913"/>
    <mergeCell ref="A871:F871"/>
    <mergeCell ref="A881:A882"/>
    <mergeCell ref="B881:B882"/>
    <mergeCell ref="C881:C882"/>
    <mergeCell ref="D881:D882"/>
    <mergeCell ref="E881:E882"/>
  </mergeCells>
  <phoneticPr fontId="4" type="noConversion"/>
  <printOptions horizontalCentered="1"/>
  <pageMargins left="0.75" right="0.75" top="0.44" bottom="0.53" header="0.28000000000000003" footer="0.19"/>
  <pageSetup scale="63" fitToHeight="3" orientation="portrait" cellComments="asDisplayed" r:id="rId1"/>
  <headerFooter alignWithMargins="0">
    <oddHeader>&amp;RAttachment 4
WP-Schedule 3
CWIP Balancing Acct 12-31-11 Balance
&amp;P of &amp;N</oddHeader>
    <oddFooter>&amp;R&amp;A</oddFooter>
  </headerFooter>
  <rowBreaks count="9" manualBreakCount="9">
    <brk id="196" max="6" man="1"/>
    <brk id="386" max="6" man="1"/>
    <brk id="557" max="6" man="1"/>
    <brk id="613" max="6" man="1"/>
    <brk id="671" max="6" man="1"/>
    <brk id="733" max="6" man="1"/>
    <brk id="779" max="6" man="1"/>
    <brk id="825" max="6" man="1"/>
    <brk id="869" max="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AX42"/>
  <sheetViews>
    <sheetView zoomScaleNormal="100" workbookViewId="0">
      <pane xSplit="2" ySplit="5" topLeftCell="AR6" activePane="bottomRight" state="frozen"/>
      <selection pane="topRight" activeCell="C1" sqref="C1"/>
      <selection pane="bottomLeft" activeCell="A6" sqref="A6"/>
      <selection pane="bottomRight" activeCell="B20" sqref="B20"/>
    </sheetView>
  </sheetViews>
  <sheetFormatPr defaultRowHeight="12.75" outlineLevelCol="2"/>
  <cols>
    <col min="1" max="1" width="2.5703125" style="38" bestFit="1" customWidth="1"/>
    <col min="2" max="2" width="55.85546875" customWidth="1"/>
    <col min="3" max="3" width="7.42578125" hidden="1" customWidth="1" outlineLevel="1"/>
    <col min="4" max="4" width="8.28515625" hidden="1" customWidth="1" outlineLevel="1"/>
    <col min="5" max="5" width="10.28515625" hidden="1" customWidth="1" outlineLevel="1" collapsed="1"/>
    <col min="6" max="23" width="10.28515625" hidden="1" customWidth="1" outlineLevel="1"/>
    <col min="24" max="25" width="10.28515625" hidden="1" customWidth="1" outlineLevel="2"/>
    <col min="26" max="26" width="11.140625" hidden="1" customWidth="1" outlineLevel="1"/>
    <col min="27" max="27" width="11.140625" hidden="1" customWidth="1" outlineLevel="1" collapsed="1"/>
    <col min="28" max="29" width="11.140625" hidden="1" customWidth="1" outlineLevel="1"/>
    <col min="30" max="31" width="12.140625" hidden="1" customWidth="1" outlineLevel="1"/>
    <col min="32" max="32" width="11.140625" hidden="1" customWidth="1" outlineLevel="1"/>
    <col min="33" max="35" width="10.85546875" hidden="1" customWidth="1" outlineLevel="1"/>
    <col min="36" max="36" width="10.85546875" customWidth="1" collapsed="1"/>
    <col min="37" max="38" width="11.140625" customWidth="1"/>
    <col min="39" max="43" width="11.140625" bestFit="1" customWidth="1"/>
    <col min="44" max="46" width="12.140625" bestFit="1" customWidth="1"/>
    <col min="47" max="47" width="12.140625" customWidth="1"/>
    <col min="48" max="49" width="12.28515625" bestFit="1" customWidth="1"/>
    <col min="50" max="50" width="12.140625" bestFit="1" customWidth="1"/>
  </cols>
  <sheetData>
    <row r="1" spans="1:50" ht="15.75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1"/>
      <c r="W1" s="691"/>
      <c r="X1" s="691"/>
      <c r="Y1" s="691"/>
      <c r="Z1" s="691"/>
      <c r="AA1" s="691"/>
      <c r="AB1" s="691"/>
      <c r="AC1" s="691"/>
      <c r="AD1" s="691"/>
      <c r="AE1" s="691"/>
      <c r="AF1" s="691"/>
      <c r="AG1" s="691"/>
      <c r="AH1" s="691"/>
      <c r="AI1" s="691"/>
      <c r="AJ1" s="691"/>
      <c r="AK1" s="691"/>
      <c r="AL1" s="691"/>
      <c r="AM1" s="691"/>
      <c r="AN1" s="691"/>
      <c r="AO1" s="691"/>
      <c r="AP1" s="691"/>
      <c r="AQ1" s="691"/>
      <c r="AR1" s="691"/>
      <c r="AS1" s="691"/>
      <c r="AT1" s="691"/>
      <c r="AU1" s="691"/>
      <c r="AV1" s="691"/>
      <c r="AW1" s="691"/>
      <c r="AX1" s="691"/>
    </row>
    <row r="2" spans="1:50" ht="15">
      <c r="A2" s="692" t="s">
        <v>6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</row>
    <row r="3" spans="1:50" ht="15">
      <c r="A3" s="692">
        <v>2011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692"/>
      <c r="AU3" s="692"/>
      <c r="AV3" s="692"/>
      <c r="AW3" s="692"/>
      <c r="AX3" s="692"/>
    </row>
    <row r="4" spans="1:50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  <c r="AX4" s="693"/>
    </row>
    <row r="5" spans="1:50" ht="15.75">
      <c r="A5" s="691" t="s">
        <v>7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  <c r="AA5" s="691"/>
      <c r="AB5" s="691"/>
      <c r="AC5" s="691"/>
      <c r="AD5" s="691"/>
      <c r="AE5" s="691"/>
      <c r="AF5" s="691"/>
      <c r="AG5" s="691"/>
      <c r="AH5" s="691"/>
      <c r="AI5" s="691"/>
      <c r="AJ5" s="691"/>
      <c r="AK5" s="691"/>
      <c r="AL5" s="691"/>
      <c r="AM5" s="691"/>
      <c r="AN5" s="691"/>
      <c r="AO5" s="691"/>
      <c r="AP5" s="691"/>
      <c r="AQ5" s="691"/>
      <c r="AR5" s="691"/>
      <c r="AS5" s="691"/>
      <c r="AT5" s="691"/>
      <c r="AU5" s="691"/>
      <c r="AV5" s="691"/>
      <c r="AW5" s="691"/>
      <c r="AX5" s="691"/>
    </row>
    <row r="6" spans="1:50" ht="15.75">
      <c r="A6" s="6"/>
      <c r="B6" s="6"/>
      <c r="C6" s="6"/>
      <c r="D6" s="6"/>
      <c r="E6" s="6"/>
    </row>
    <row r="7" spans="1:50" ht="15.75">
      <c r="A7" s="6"/>
      <c r="B7" s="6"/>
      <c r="C7" s="6"/>
      <c r="D7" s="6"/>
      <c r="E7" s="6"/>
    </row>
    <row r="8" spans="1:50" ht="15.75">
      <c r="A8" s="6"/>
      <c r="B8" s="6"/>
      <c r="C8" s="6"/>
      <c r="D8" s="6"/>
      <c r="E8" s="6"/>
    </row>
    <row r="9" spans="1:50" ht="15.75">
      <c r="A9" s="6"/>
      <c r="B9" s="6"/>
      <c r="C9" s="6"/>
      <c r="D9" s="6"/>
      <c r="E9" s="6"/>
    </row>
    <row r="11" spans="1:50" ht="15.75">
      <c r="A11" s="696" t="s">
        <v>8</v>
      </c>
      <c r="B11" s="696"/>
      <c r="C11" s="696"/>
      <c r="D11" s="696"/>
      <c r="E11" s="696"/>
      <c r="F11" s="696"/>
      <c r="G11" s="696"/>
      <c r="H11" s="696"/>
      <c r="I11" s="696"/>
      <c r="J11" s="696"/>
      <c r="K11" s="696"/>
      <c r="L11" s="696"/>
      <c r="M11" s="696"/>
      <c r="N11" s="696"/>
      <c r="O11" s="696"/>
    </row>
    <row r="12" spans="1:50" ht="17.25" customHeight="1">
      <c r="A12" s="70" t="s">
        <v>69</v>
      </c>
      <c r="B12" s="56" t="s">
        <v>71</v>
      </c>
    </row>
    <row r="13" spans="1:50">
      <c r="A13" s="70" t="s">
        <v>70</v>
      </c>
      <c r="B13" s="56" t="s">
        <v>72</v>
      </c>
    </row>
    <row r="14" spans="1:50">
      <c r="A14" s="70"/>
      <c r="C14" s="687">
        <v>2008</v>
      </c>
      <c r="D14" s="688"/>
      <c r="E14" s="688"/>
      <c r="F14" s="688"/>
      <c r="G14" s="688"/>
      <c r="H14" s="688"/>
      <c r="I14" s="688"/>
      <c r="J14" s="688"/>
      <c r="K14" s="688"/>
      <c r="L14" s="688"/>
      <c r="M14" s="688"/>
      <c r="N14" s="689"/>
      <c r="O14" s="687">
        <v>2009</v>
      </c>
      <c r="P14" s="688"/>
      <c r="Q14" s="688"/>
      <c r="R14" s="688"/>
      <c r="S14" s="688"/>
      <c r="T14" s="688"/>
      <c r="U14" s="688"/>
      <c r="V14" s="688"/>
      <c r="W14" s="688"/>
      <c r="X14" s="688"/>
      <c r="Y14" s="688"/>
      <c r="Z14" s="689"/>
      <c r="AA14" s="687">
        <v>2010</v>
      </c>
      <c r="AB14" s="688"/>
      <c r="AC14" s="688"/>
      <c r="AD14" s="688"/>
      <c r="AE14" s="688"/>
      <c r="AF14" s="688"/>
      <c r="AG14" s="688"/>
      <c r="AH14" s="688"/>
      <c r="AI14" s="688"/>
      <c r="AJ14" s="688"/>
      <c r="AK14" s="688"/>
      <c r="AL14" s="689"/>
      <c r="AM14" s="687">
        <v>2011</v>
      </c>
      <c r="AN14" s="688"/>
      <c r="AO14" s="688"/>
      <c r="AP14" s="688"/>
      <c r="AQ14" s="688"/>
      <c r="AR14" s="688"/>
      <c r="AS14" s="688"/>
      <c r="AT14" s="688"/>
      <c r="AU14" s="688"/>
      <c r="AV14" s="688"/>
      <c r="AW14" s="688"/>
      <c r="AX14" s="689"/>
    </row>
    <row r="15" spans="1:50" ht="23.25" customHeight="1">
      <c r="A15" s="694" t="s">
        <v>74</v>
      </c>
      <c r="B15" s="695"/>
      <c r="C15" s="97" t="s">
        <v>100</v>
      </c>
      <c r="D15" s="97" t="s">
        <v>76</v>
      </c>
      <c r="E15" s="97" t="s">
        <v>77</v>
      </c>
      <c r="F15" s="97" t="s">
        <v>78</v>
      </c>
      <c r="G15" s="97" t="s">
        <v>75</v>
      </c>
      <c r="H15" s="97" t="s">
        <v>79</v>
      </c>
      <c r="I15" s="97" t="s">
        <v>80</v>
      </c>
      <c r="J15" s="97" t="s">
        <v>81</v>
      </c>
      <c r="K15" s="97" t="s">
        <v>82</v>
      </c>
      <c r="L15" s="97" t="s">
        <v>83</v>
      </c>
      <c r="M15" s="97" t="s">
        <v>84</v>
      </c>
      <c r="N15" s="97" t="s">
        <v>101</v>
      </c>
      <c r="O15" s="97" t="s">
        <v>100</v>
      </c>
      <c r="P15" s="97" t="s">
        <v>76</v>
      </c>
      <c r="Q15" s="97" t="s">
        <v>77</v>
      </c>
      <c r="R15" s="97" t="s">
        <v>78</v>
      </c>
      <c r="S15" s="97" t="s">
        <v>75</v>
      </c>
      <c r="T15" s="97" t="s">
        <v>79</v>
      </c>
      <c r="U15" s="97" t="s">
        <v>80</v>
      </c>
      <c r="V15" s="97" t="s">
        <v>81</v>
      </c>
      <c r="W15" s="97" t="s">
        <v>82</v>
      </c>
      <c r="X15" s="97" t="s">
        <v>83</v>
      </c>
      <c r="Y15" s="97" t="s">
        <v>84</v>
      </c>
      <c r="Z15" s="97" t="s">
        <v>101</v>
      </c>
      <c r="AA15" s="97" t="s">
        <v>100</v>
      </c>
      <c r="AB15" s="97" t="s">
        <v>76</v>
      </c>
      <c r="AC15" s="97" t="s">
        <v>77</v>
      </c>
      <c r="AD15" s="97" t="s">
        <v>78</v>
      </c>
      <c r="AE15" s="97" t="s">
        <v>75</v>
      </c>
      <c r="AF15" s="97" t="s">
        <v>79</v>
      </c>
      <c r="AG15" s="97" t="s">
        <v>80</v>
      </c>
      <c r="AH15" s="97" t="s">
        <v>81</v>
      </c>
      <c r="AI15" s="97" t="s">
        <v>82</v>
      </c>
      <c r="AJ15" s="97" t="s">
        <v>83</v>
      </c>
      <c r="AK15" s="97" t="s">
        <v>84</v>
      </c>
      <c r="AL15" s="97" t="s">
        <v>101</v>
      </c>
      <c r="AM15" s="97" t="s">
        <v>100</v>
      </c>
      <c r="AN15" s="97" t="s">
        <v>76</v>
      </c>
      <c r="AO15" s="97" t="s">
        <v>77</v>
      </c>
      <c r="AP15" s="97" t="s">
        <v>78</v>
      </c>
      <c r="AQ15" s="97" t="s">
        <v>75</v>
      </c>
      <c r="AR15" s="97" t="s">
        <v>79</v>
      </c>
      <c r="AS15" s="97" t="s">
        <v>80</v>
      </c>
      <c r="AT15" s="97" t="s">
        <v>81</v>
      </c>
      <c r="AU15" s="97" t="s">
        <v>82</v>
      </c>
      <c r="AV15" s="97" t="s">
        <v>83</v>
      </c>
      <c r="AW15" s="97" t="s">
        <v>84</v>
      </c>
      <c r="AX15" s="97" t="s">
        <v>101</v>
      </c>
    </row>
    <row r="16" spans="1:50" ht="40.5" customHeight="1">
      <c r="B16" s="337" t="s">
        <v>320</v>
      </c>
      <c r="C16" s="60"/>
    </row>
    <row r="17" spans="1:50">
      <c r="A17" s="70"/>
      <c r="B17" s="3" t="s">
        <v>3</v>
      </c>
      <c r="C17" s="60">
        <f>'DPV2 Rev Req'!C69</f>
        <v>0</v>
      </c>
      <c r="D17" s="60">
        <f>'DPV2 Rev Req'!D69</f>
        <v>0</v>
      </c>
      <c r="E17" s="162">
        <f>'DPV2 Rev Req'!E69</f>
        <v>236.80436924035047</v>
      </c>
      <c r="F17" s="162">
        <f>'DPV2 Rev Req'!F69</f>
        <v>239.91052840512441</v>
      </c>
      <c r="G17" s="162">
        <f>'DPV2 Rev Req'!G69</f>
        <v>244.29776107803133</v>
      </c>
      <c r="H17" s="162">
        <f>'DPV2 Rev Req'!H69</f>
        <v>248.97325966949342</v>
      </c>
      <c r="I17" s="162">
        <f>'DPV2 Rev Req'!I69</f>
        <v>253.02192390217255</v>
      </c>
      <c r="J17" s="162">
        <f>'DPV2 Rev Req'!J69</f>
        <v>256.21044675134254</v>
      </c>
      <c r="K17" s="162">
        <f>'DPV2 Rev Req'!K69</f>
        <v>261.89789432723649</v>
      </c>
      <c r="L17" s="162">
        <f>'DPV2 Rev Req'!L69</f>
        <v>267.37704177339884</v>
      </c>
      <c r="M17" s="162">
        <f>'DPV2 Rev Req'!M69</f>
        <v>269.98135555460044</v>
      </c>
      <c r="N17" s="162">
        <f>'DPV2 Rev Req'!N69</f>
        <v>276.65161546570943</v>
      </c>
      <c r="O17" s="162">
        <f>'DPV2 Rev Req'!O69</f>
        <v>298.05740787067043</v>
      </c>
      <c r="P17" s="162">
        <f>'DPV2 Rev Req'!P69</f>
        <v>302.89081471880121</v>
      </c>
      <c r="Q17" s="162">
        <f>'DPV2 Rev Req'!Q69</f>
        <v>311.25158537211178</v>
      </c>
      <c r="R17" s="162">
        <f>'DPV2 Rev Req'!R69</f>
        <v>323.75415495894242</v>
      </c>
      <c r="S17" s="162">
        <f>'DPV2 Rev Req'!S69</f>
        <v>343.6018720074365</v>
      </c>
      <c r="T17" s="162">
        <f>'DPV2 Rev Req'!T69</f>
        <v>354.60171586949764</v>
      </c>
      <c r="U17" s="162">
        <f>'DPV2 Rev Req'!U69</f>
        <v>369.49418960640065</v>
      </c>
      <c r="V17" s="162">
        <f>'DPV2 Rev Req'!V69</f>
        <v>401.92874772825337</v>
      </c>
      <c r="W17" s="162">
        <f>'DPV2 Rev Req'!W69</f>
        <v>433.78309998554494</v>
      </c>
      <c r="X17" s="162">
        <f>'DPV2 Rev Req'!X69</f>
        <v>440.02002888995389</v>
      </c>
      <c r="Y17" s="162">
        <f>'DPV2 Rev Req'!Y69</f>
        <v>417.87526557007834</v>
      </c>
      <c r="Z17" s="162">
        <f>'DPV2 Rev Req'!Z69</f>
        <v>422.88318508432991</v>
      </c>
      <c r="AA17" s="162">
        <f>'DPV2 Rev Req'!AA69</f>
        <v>439.39838920544236</v>
      </c>
      <c r="AB17" s="162">
        <f>'DPV2 Rev Req'!AB69</f>
        <v>439.84814765690919</v>
      </c>
      <c r="AC17" s="162">
        <f>'DPV2 Rev Req'!AC69</f>
        <v>448.02013774097611</v>
      </c>
      <c r="AD17" s="162">
        <f>'DPV2 Rev Req'!AD69</f>
        <v>460.04155541820359</v>
      </c>
      <c r="AE17" s="162">
        <f>'DPV2 Rev Req'!AE69</f>
        <v>472.67204542900743</v>
      </c>
      <c r="AF17" s="162">
        <f>'DPV2 Rev Req'!AF69</f>
        <v>437.83097635113302</v>
      </c>
      <c r="AG17" s="162">
        <f>'DPV2 Rev Req'!AG69</f>
        <v>404.48942851241446</v>
      </c>
      <c r="AH17" s="162">
        <f>'DPV2 Rev Req'!AH69</f>
        <v>416.5609563982847</v>
      </c>
      <c r="AI17" s="162">
        <f>'DPV2 Rev Req'!AI69</f>
        <v>433.88153241297454</v>
      </c>
      <c r="AJ17" s="162">
        <f>'DPV2 Rev Req'!AJ69</f>
        <v>464.67306782636791</v>
      </c>
      <c r="AK17" s="162">
        <f>'DPV2 Rev Req'!AK69</f>
        <v>488.90931883104901</v>
      </c>
      <c r="AL17" s="162">
        <f>'DPV2 Rev Req'!AL69</f>
        <v>508.63915938108795</v>
      </c>
      <c r="AM17" s="459">
        <f>'DPV2 Rev Req'!AM69</f>
        <v>527.10628911448634</v>
      </c>
      <c r="AN17" s="459">
        <f>'DPV2 Rev Req'!AN69</f>
        <v>545.52341799447402</v>
      </c>
      <c r="AO17" s="459">
        <f>'DPV2 Rev Req'!AO69</f>
        <v>573.19237487193254</v>
      </c>
      <c r="AP17" s="459">
        <f>'DPV2 Rev Req'!AP69</f>
        <v>600.13602144190918</v>
      </c>
      <c r="AQ17" s="459">
        <f>'DPV2 Rev Req'!AQ69</f>
        <v>625.81097124152961</v>
      </c>
      <c r="AR17" s="459">
        <f>'DPV2 Rev Req'!AR69</f>
        <v>672.09764251353113</v>
      </c>
      <c r="AS17" s="459">
        <f>'DPV2 Rev Req'!AS69</f>
        <v>727.36281210244408</v>
      </c>
      <c r="AT17" s="459">
        <f>'DPV2 Rev Req'!AT69</f>
        <v>788.50557929196816</v>
      </c>
      <c r="AU17" s="459">
        <f>'DPV2 Rev Req'!AU69</f>
        <v>895.61615369257697</v>
      </c>
      <c r="AV17" s="459">
        <f>'DPV2 Rev Req'!AV69</f>
        <v>1052.2399631390192</v>
      </c>
      <c r="AW17" s="459">
        <f>'DPV2 Rev Req'!AW69</f>
        <v>1266.5593786349398</v>
      </c>
      <c r="AX17" s="459">
        <f>'DPV2 Rev Req'!AX69</f>
        <v>1533.730195293351</v>
      </c>
    </row>
    <row r="18" spans="1:50">
      <c r="A18" s="70"/>
      <c r="B18" s="3" t="s">
        <v>4</v>
      </c>
      <c r="C18" s="60">
        <f>'Tehachapi Rev Req'!C69</f>
        <v>0</v>
      </c>
      <c r="D18" s="60">
        <f>'Tehachapi Rev Req'!D69</f>
        <v>0</v>
      </c>
      <c r="E18" s="162">
        <f>'Tehachapi Rev Req'!E69</f>
        <v>606.59548344142684</v>
      </c>
      <c r="F18" s="162">
        <f>'Tehachapi Rev Req'!F69</f>
        <v>696.16686782942236</v>
      </c>
      <c r="G18" s="162">
        <f>'Tehachapi Rev Req'!G69</f>
        <v>801.98607458846789</v>
      </c>
      <c r="H18" s="162">
        <f>'Tehachapi Rev Req'!H69</f>
        <v>970.07315789719166</v>
      </c>
      <c r="I18" s="162">
        <f>'Tehachapi Rev Req'!I69</f>
        <v>1144.9968458397984</v>
      </c>
      <c r="J18" s="162">
        <f>'Tehachapi Rev Req'!J69</f>
        <v>1325.816850653111</v>
      </c>
      <c r="K18" s="162">
        <f>'Tehachapi Rev Req'!K69</f>
        <v>1483.7945362727241</v>
      </c>
      <c r="L18" s="162">
        <f>'Tehachapi Rev Req'!L69</f>
        <v>1664.7671405982142</v>
      </c>
      <c r="M18" s="162">
        <f>'Tehachapi Rev Req'!M69</f>
        <v>1837.5987213423552</v>
      </c>
      <c r="N18" s="162">
        <f>'Tehachapi Rev Req'!N69</f>
        <v>2062.395886637762</v>
      </c>
      <c r="O18" s="162">
        <f>'Tehachapi Rev Req'!O69</f>
        <v>2382.2129314219196</v>
      </c>
      <c r="P18" s="162">
        <f>'Tehachapi Rev Req'!P69</f>
        <v>2427.0311547648707</v>
      </c>
      <c r="Q18" s="162">
        <f>'Tehachapi Rev Req'!Q69</f>
        <v>2554.3592451803202</v>
      </c>
      <c r="R18" s="162">
        <f>'Tehachapi Rev Req'!R69</f>
        <v>2781.2857287226661</v>
      </c>
      <c r="S18" s="162">
        <f>'Tehachapi Rev Req'!S69</f>
        <v>3051.3949637573423</v>
      </c>
      <c r="T18" s="162">
        <f>'Tehachapi Rev Req'!T69</f>
        <v>3350.9835520295237</v>
      </c>
      <c r="U18" s="162">
        <f>'Tehachapi Rev Req'!U69</f>
        <v>3640.6704687104238</v>
      </c>
      <c r="V18" s="162">
        <f>'Tehachapi Rev Req'!V69</f>
        <v>3830.5288446611125</v>
      </c>
      <c r="W18" s="162">
        <f>'Tehachapi Rev Req'!W69</f>
        <v>3996.9415983883091</v>
      </c>
      <c r="X18" s="162">
        <f>'Tehachapi Rev Req'!X69</f>
        <v>3431.4041489860469</v>
      </c>
      <c r="Y18" s="162">
        <f>'Tehachapi Rev Req'!Y69</f>
        <v>2312.1046007607702</v>
      </c>
      <c r="Z18" s="162">
        <f>'Tehachapi Rev Req'!Z69</f>
        <v>1557.8466872258859</v>
      </c>
      <c r="AA18" s="162">
        <f>'Tehachapi Rev Req'!AA69</f>
        <v>1306.8407470532225</v>
      </c>
      <c r="AB18" s="162">
        <f>'Tehachapi Rev Req'!AB69</f>
        <v>1496.9576097094957</v>
      </c>
      <c r="AC18" s="162">
        <f>'Tehachapi Rev Req'!AC69</f>
        <v>1703.6743044980228</v>
      </c>
      <c r="AD18" s="363">
        <f>'Tehachapi Rev Req'!AD69</f>
        <v>1943.0955644230849</v>
      </c>
      <c r="AE18" s="363">
        <f>'Tehachapi Rev Req'!AE69</f>
        <v>2278.1638965133807</v>
      </c>
      <c r="AF18" s="363">
        <f>'Tehachapi Rev Req'!AF69</f>
        <v>2615.2320687744359</v>
      </c>
      <c r="AG18" s="363">
        <f>'Tehachapi Rev Req'!AG69</f>
        <v>3068.311224401361</v>
      </c>
      <c r="AH18" s="363">
        <f>'Tehachapi Rev Req'!AH69</f>
        <v>3582.1264441814556</v>
      </c>
      <c r="AI18" s="363">
        <f>'Tehachapi Rev Req'!AI69</f>
        <v>3968.3024634873564</v>
      </c>
      <c r="AJ18" s="363">
        <f>'Tehachapi Rev Req'!AJ69</f>
        <v>4368.4189964976813</v>
      </c>
      <c r="AK18" s="363">
        <f>'Tehachapi Rev Req'!AK69</f>
        <v>4907.1676235138129</v>
      </c>
      <c r="AL18" s="363">
        <f>'Tehachapi Rev Req'!AL69</f>
        <v>5767.423454149357</v>
      </c>
      <c r="AM18" s="459">
        <f>'Tehachapi Rev Req'!AM69</f>
        <v>6395.5168091655487</v>
      </c>
      <c r="AN18" s="459">
        <f>'Tehachapi Rev Req'!AN69</f>
        <v>6802.7654260946638</v>
      </c>
      <c r="AO18" s="459">
        <f>'Tehachapi Rev Req'!AO69</f>
        <v>7352.9765480320257</v>
      </c>
      <c r="AP18" s="458">
        <f>'Tehachapi Rev Req'!AP69</f>
        <v>7898.4675729648361</v>
      </c>
      <c r="AQ18" s="458">
        <f>'Tehachapi Rev Req'!AQ69</f>
        <v>8427.7706491862373</v>
      </c>
      <c r="AR18" s="458">
        <f>'Tehachapi Rev Req'!AR69</f>
        <v>8796.4976403977944</v>
      </c>
      <c r="AS18" s="458">
        <f>'Tehachapi Rev Req'!AS69</f>
        <v>9086.5831977562211</v>
      </c>
      <c r="AT18" s="458">
        <f>'Tehachapi Rev Req'!AT69</f>
        <v>9478.0147844653784</v>
      </c>
      <c r="AU18" s="458">
        <f>'Tehachapi Rev Req'!AU69</f>
        <v>9956.1178518350061</v>
      </c>
      <c r="AV18" s="458">
        <f>'Tehachapi Rev Req'!AV69</f>
        <v>10461.638496808848</v>
      </c>
      <c r="AW18" s="458">
        <f>'Tehachapi Rev Req'!AW69</f>
        <v>10969.887526286991</v>
      </c>
      <c r="AX18" s="458">
        <f>'Tehachapi Rev Req'!AX69</f>
        <v>11567.32100484156</v>
      </c>
    </row>
    <row r="19" spans="1:50">
      <c r="A19" s="70"/>
      <c r="B19" s="3" t="s">
        <v>5</v>
      </c>
      <c r="C19" s="93">
        <f>'Rancho Vista Rev Req'!C69</f>
        <v>0</v>
      </c>
      <c r="D19" s="93">
        <f>'Rancho Vista Rev Req'!D69</f>
        <v>0</v>
      </c>
      <c r="E19" s="363">
        <f>'Rancho Vista Rev Req'!E69</f>
        <v>511.86240860382213</v>
      </c>
      <c r="F19" s="363">
        <f>'Rancho Vista Rev Req'!F69</f>
        <v>723.73714872873632</v>
      </c>
      <c r="G19" s="363">
        <f>'Rancho Vista Rev Req'!G69</f>
        <v>777.69161111106416</v>
      </c>
      <c r="H19" s="363">
        <f>'Rancho Vista Rev Req'!H69</f>
        <v>927.48834485839564</v>
      </c>
      <c r="I19" s="363">
        <f>'Rancho Vista Rev Req'!I69</f>
        <v>1270.5137810680217</v>
      </c>
      <c r="J19" s="363">
        <f>'Rancho Vista Rev Req'!J69</f>
        <v>1360.3532593858922</v>
      </c>
      <c r="K19" s="363">
        <f>'Rancho Vista Rev Req'!K69</f>
        <v>1246.2467643325701</v>
      </c>
      <c r="L19" s="363">
        <f>'Rancho Vista Rev Req'!L69</f>
        <v>1278.5483155310196</v>
      </c>
      <c r="M19" s="363">
        <f>'Rancho Vista Rev Req'!M69</f>
        <v>1368.9297727588514</v>
      </c>
      <c r="N19" s="363">
        <f>'Rancho Vista Rev Req'!N69</f>
        <v>1507.3050878139413</v>
      </c>
      <c r="O19" s="363">
        <f>'Rancho Vista Rev Req'!O69</f>
        <v>1667.6046222372831</v>
      </c>
      <c r="P19" s="363">
        <f>'Rancho Vista Rev Req'!P69</f>
        <v>1714.8599088714832</v>
      </c>
      <c r="Q19" s="363">
        <f>'Rancho Vista Rev Req'!Q69</f>
        <v>1749.9772933813952</v>
      </c>
      <c r="R19" s="363">
        <f>'Rancho Vista Rev Req'!R69</f>
        <v>1814.9218775113463</v>
      </c>
      <c r="S19" s="363">
        <f>'Rancho Vista Rev Req'!S69</f>
        <v>3.5951293631334737E-4</v>
      </c>
      <c r="T19" s="363">
        <f>'Rancho Vista Rev Req'!T69</f>
        <v>0</v>
      </c>
      <c r="U19" s="363">
        <f>'Rancho Vista Rev Req'!U69</f>
        <v>0</v>
      </c>
      <c r="V19" s="363">
        <f>'Rancho Vista Rev Req'!V69</f>
        <v>0</v>
      </c>
      <c r="W19" s="363">
        <f>'Rancho Vista Rev Req'!W69</f>
        <v>0</v>
      </c>
      <c r="X19" s="363">
        <f>'Rancho Vista Rev Req'!X69</f>
        <v>0</v>
      </c>
      <c r="Y19" s="363">
        <f>'Rancho Vista Rev Req'!Y69</f>
        <v>0</v>
      </c>
      <c r="Z19" s="363">
        <f>'Rancho Vista Rev Req'!Z69</f>
        <v>0</v>
      </c>
      <c r="AA19" s="363">
        <f>'Rancho Vista Rev Req'!AA69</f>
        <v>0</v>
      </c>
      <c r="AB19" s="363">
        <f>'Rancho Vista Rev Req'!AB69</f>
        <v>0</v>
      </c>
      <c r="AC19" s="363">
        <f>'Rancho Vista Rev Req'!AC69</f>
        <v>0</v>
      </c>
      <c r="AD19" s="363">
        <f>'Rancho Vista Rev Req'!AD69</f>
        <v>0</v>
      </c>
      <c r="AE19" s="363">
        <f>'Rancho Vista Rev Req'!AE69</f>
        <v>0</v>
      </c>
      <c r="AF19" s="363">
        <f>'Rancho Vista Rev Req'!AF69</f>
        <v>0</v>
      </c>
      <c r="AG19" s="363">
        <f>'Rancho Vista Rev Req'!AG69</f>
        <v>0</v>
      </c>
      <c r="AH19" s="363">
        <f>'Rancho Vista Rev Req'!AH69</f>
        <v>0</v>
      </c>
      <c r="AI19" s="363">
        <f>'Rancho Vista Rev Req'!AI69</f>
        <v>0</v>
      </c>
      <c r="AJ19" s="363">
        <f>'Rancho Vista Rev Req'!AJ69</f>
        <v>0</v>
      </c>
      <c r="AK19" s="363">
        <f>'Rancho Vista Rev Req'!AK69</f>
        <v>0</v>
      </c>
      <c r="AL19" s="363">
        <f>'Rancho Vista Rev Req'!AL69</f>
        <v>0</v>
      </c>
      <c r="AM19" s="458">
        <f>'Rancho Vista Rev Req'!AM69</f>
        <v>0</v>
      </c>
      <c r="AN19" s="458">
        <f>'Rancho Vista Rev Req'!AN69</f>
        <v>0</v>
      </c>
      <c r="AO19" s="458">
        <f>'Rancho Vista Rev Req'!AO69</f>
        <v>0</v>
      </c>
      <c r="AP19" s="458">
        <f>'Rancho Vista Rev Req'!AP69</f>
        <v>0</v>
      </c>
      <c r="AQ19" s="458">
        <f>'Rancho Vista Rev Req'!AQ69</f>
        <v>0</v>
      </c>
      <c r="AR19" s="458">
        <f>'Rancho Vista Rev Req'!AR69</f>
        <v>0</v>
      </c>
      <c r="AS19" s="458">
        <f>'Rancho Vista Rev Req'!AS69</f>
        <v>0</v>
      </c>
      <c r="AT19" s="458">
        <f>'Rancho Vista Rev Req'!AT69</f>
        <v>0</v>
      </c>
      <c r="AU19" s="458">
        <f>'Rancho Vista Rev Req'!AU69</f>
        <v>0</v>
      </c>
      <c r="AV19" s="458">
        <f>'Rancho Vista Rev Req'!AV69</f>
        <v>0</v>
      </c>
      <c r="AW19" s="458">
        <f>'Rancho Vista Rev Req'!AW69</f>
        <v>0</v>
      </c>
      <c r="AX19" s="458">
        <f>'Rancho Vista Rev Req'!AX69</f>
        <v>0</v>
      </c>
    </row>
    <row r="20" spans="1:50">
      <c r="A20" s="70"/>
      <c r="B20" s="3" t="s">
        <v>253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363">
        <f>'Rancho Vista Rev Req'!AA70</f>
        <v>0</v>
      </c>
      <c r="AB20" s="363">
        <f>'Rancho Vista Rev Req'!AB70</f>
        <v>0</v>
      </c>
      <c r="AC20" s="363">
        <f>'Rancho Vista Rev Req'!AC70</f>
        <v>0</v>
      </c>
      <c r="AD20" s="363">
        <f>'Rancho Vista Rev Req'!AD70</f>
        <v>0</v>
      </c>
      <c r="AE20" s="363">
        <f>'Rancho Vista Rev Req'!AE70</f>
        <v>0</v>
      </c>
      <c r="AF20" s="363">
        <f>'Rancho Vista Rev Req'!AF70</f>
        <v>0</v>
      </c>
      <c r="AG20" s="363">
        <f>'Rancho Vista Rev Req'!AG70</f>
        <v>0</v>
      </c>
      <c r="AH20" s="363">
        <f>'Rancho Vista Rev Req'!AH70</f>
        <v>0</v>
      </c>
      <c r="AI20" s="363">
        <f>'Rancho Vista Rev Req'!AI70</f>
        <v>0</v>
      </c>
      <c r="AJ20" s="363">
        <f>'Rancho Vista Rev Req'!AJ70</f>
        <v>0</v>
      </c>
      <c r="AK20" s="363">
        <f>'Rancho Vista Rev Req'!AK70</f>
        <v>0</v>
      </c>
      <c r="AL20" s="458">
        <f>'Eldorado Ivanpah Rev Req'!C69</f>
        <v>94.782836215730498</v>
      </c>
      <c r="AM20" s="458">
        <f>'Eldorado Ivanpah Rev Req'!D69</f>
        <v>98.842196881244348</v>
      </c>
      <c r="AN20" s="458">
        <f>'Eldorado Ivanpah Rev Req'!E69</f>
        <v>103.50759205622794</v>
      </c>
      <c r="AO20" s="458">
        <f>'Eldorado Ivanpah Rev Req'!F69</f>
        <v>110.84602756117292</v>
      </c>
      <c r="AP20" s="458">
        <f>'Eldorado Ivanpah Rev Req'!G69</f>
        <v>123.80138079874766</v>
      </c>
      <c r="AQ20" s="458">
        <f>'Eldorado Ivanpah Rev Req'!H69</f>
        <v>136.52323880221334</v>
      </c>
      <c r="AR20" s="458">
        <f>'Eldorado Ivanpah Rev Req'!I69</f>
        <v>145.50545486238849</v>
      </c>
      <c r="AS20" s="458">
        <f>'Eldorado Ivanpah Rev Req'!J69</f>
        <v>156.01699183517377</v>
      </c>
      <c r="AT20" s="458">
        <f>'Eldorado Ivanpah Rev Req'!K69</f>
        <v>169.20361011430998</v>
      </c>
      <c r="AU20" s="458">
        <f>'Eldorado Ivanpah Rev Req'!L69</f>
        <v>184.77313834980865</v>
      </c>
      <c r="AV20" s="458">
        <f>'Eldorado Ivanpah Rev Req'!M69</f>
        <v>219.85936151748621</v>
      </c>
      <c r="AW20" s="458">
        <f>'Eldorado Ivanpah Rev Req'!N69</f>
        <v>232.73025857789747</v>
      </c>
      <c r="AX20" s="458">
        <f>'Eldorado Ivanpah Rev Req'!O69</f>
        <v>267.42840988834644</v>
      </c>
    </row>
    <row r="21" spans="1:50">
      <c r="A21" s="70"/>
      <c r="B21" s="86" t="s">
        <v>251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363">
        <f>'Rancho Vista Rev Req'!AA71</f>
        <v>0</v>
      </c>
      <c r="AB21" s="363">
        <f>'Rancho Vista Rev Req'!AB71</f>
        <v>0</v>
      </c>
      <c r="AC21" s="363">
        <f>'Rancho Vista Rev Req'!AC71</f>
        <v>0</v>
      </c>
      <c r="AD21" s="363">
        <f>'Rancho Vista Rev Req'!AD71</f>
        <v>0</v>
      </c>
      <c r="AE21" s="363">
        <f>'Rancho Vista Rev Req'!AE71</f>
        <v>0</v>
      </c>
      <c r="AF21" s="363">
        <f>'Rancho Vista Rev Req'!AF71</f>
        <v>0</v>
      </c>
      <c r="AG21" s="363">
        <f>'Rancho Vista Rev Req'!AG71</f>
        <v>0</v>
      </c>
      <c r="AH21" s="363">
        <f>'Rancho Vista Rev Req'!AH71</f>
        <v>0</v>
      </c>
      <c r="AI21" s="363">
        <f>'Rancho Vista Rev Req'!AI71</f>
        <v>0</v>
      </c>
      <c r="AJ21" s="363">
        <f>'Rancho Vista Rev Req'!AJ71</f>
        <v>0</v>
      </c>
      <c r="AK21" s="363">
        <f>'Rancho Vista Rev Req'!AK71</f>
        <v>0</v>
      </c>
      <c r="AL21" s="458">
        <f>'Lugo-Pisgah Rev Req'!C69</f>
        <v>-2.3973450914178711</v>
      </c>
      <c r="AM21" s="458">
        <f>'Lugo-Pisgah Rev Req'!D69</f>
        <v>-1.0005651596052521</v>
      </c>
      <c r="AN21" s="458">
        <f>'Lugo-Pisgah Rev Req'!E69</f>
        <v>-0.29203434303367148</v>
      </c>
      <c r="AO21" s="458">
        <f>'Lugo-Pisgah Rev Req'!F69</f>
        <v>0.36140586698917149</v>
      </c>
      <c r="AP21" s="458">
        <f>'Lugo-Pisgah Rev Req'!G69</f>
        <v>-0.56800076403317745</v>
      </c>
      <c r="AQ21" s="458">
        <f>'Lugo-Pisgah Rev Req'!H69</f>
        <v>-1.8176458520993561</v>
      </c>
      <c r="AR21" s="458">
        <f>'Lugo-Pisgah Rev Req'!I69</f>
        <v>-0.25865162426508942</v>
      </c>
      <c r="AS21" s="458">
        <f>'Lugo-Pisgah Rev Req'!J69</f>
        <v>0.68760254533199061</v>
      </c>
      <c r="AT21" s="458">
        <f>'Lugo-Pisgah Rev Req'!K69</f>
        <v>0.38847150940758801</v>
      </c>
      <c r="AU21" s="458">
        <f>'Lugo-Pisgah Rev Req'!L69</f>
        <v>-0.72589400931719306</v>
      </c>
      <c r="AV21" s="458">
        <f>'Lugo-Pisgah Rev Req'!M69</f>
        <v>-1.98834760325615</v>
      </c>
      <c r="AW21" s="458">
        <f>'Lugo-Pisgah Rev Req'!N69</f>
        <v>-1.5179987481496235</v>
      </c>
      <c r="AX21" s="458">
        <f>'Lugo-Pisgah Rev Req'!O69</f>
        <v>-0.9374577285133725</v>
      </c>
    </row>
    <row r="22" spans="1:50">
      <c r="A22" s="70"/>
      <c r="B22" s="3" t="s">
        <v>252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363">
        <f>'Rancho Vista Rev Req'!AA72</f>
        <v>0</v>
      </c>
      <c r="AB22" s="363">
        <f>'Rancho Vista Rev Req'!AB72</f>
        <v>0</v>
      </c>
      <c r="AC22" s="363">
        <f>'Rancho Vista Rev Req'!AC72</f>
        <v>0</v>
      </c>
      <c r="AD22" s="363">
        <f>'Rancho Vista Rev Req'!AD72</f>
        <v>0</v>
      </c>
      <c r="AE22" s="363">
        <f>'Rancho Vista Rev Req'!AE72</f>
        <v>0</v>
      </c>
      <c r="AF22" s="363">
        <f>'Rancho Vista Rev Req'!AF72</f>
        <v>0</v>
      </c>
      <c r="AG22" s="363">
        <f>'Rancho Vista Rev Req'!AG72</f>
        <v>0</v>
      </c>
      <c r="AH22" s="363">
        <f>'Rancho Vista Rev Req'!AH72</f>
        <v>0</v>
      </c>
      <c r="AI22" s="363">
        <f>'Rancho Vista Rev Req'!AI72</f>
        <v>0</v>
      </c>
      <c r="AJ22" s="363">
        <f>'Rancho Vista Rev Req'!AJ72</f>
        <v>0</v>
      </c>
      <c r="AK22" s="363">
        <f>'Rancho Vista Rev Req'!AK72</f>
        <v>0</v>
      </c>
      <c r="AL22" s="458">
        <f>'Red Bluff Rev Req'!C69</f>
        <v>3.9803480044541395</v>
      </c>
      <c r="AM22" s="458">
        <f>'Red Bluff Rev Req'!D69</f>
        <v>5.9539066411739903</v>
      </c>
      <c r="AN22" s="458">
        <f>'Red Bluff Rev Req'!E69</f>
        <v>7.4246055523538317</v>
      </c>
      <c r="AO22" s="458">
        <f>'Red Bluff Rev Req'!F69</f>
        <v>10.269284571064393</v>
      </c>
      <c r="AP22" s="458">
        <f>'Red Bluff Rev Req'!G69</f>
        <v>14.520402798825476</v>
      </c>
      <c r="AQ22" s="458">
        <f>'Red Bluff Rev Req'!H69</f>
        <v>21.410013349818573</v>
      </c>
      <c r="AR22" s="458">
        <f>'Red Bluff Rev Req'!I69</f>
        <v>29.139298672412686</v>
      </c>
      <c r="AS22" s="458">
        <f>'Red Bluff Rev Req'!J69</f>
        <v>40.251097084196061</v>
      </c>
      <c r="AT22" s="458">
        <f>'Red Bluff Rev Req'!K69</f>
        <v>53.006798011409828</v>
      </c>
      <c r="AU22" s="458">
        <f>'Red Bluff Rev Req'!L69</f>
        <v>61.102441099638952</v>
      </c>
      <c r="AV22" s="458">
        <f>'Red Bluff Rev Req'!M69</f>
        <v>72.283664936404364</v>
      </c>
      <c r="AW22" s="458">
        <f>'Red Bluff Rev Req'!N69</f>
        <v>86.593765876001015</v>
      </c>
      <c r="AX22" s="458">
        <f>'Red Bluff Rev Req'!O69</f>
        <v>121.62175487502749</v>
      </c>
    </row>
    <row r="23" spans="1:50" s="355" customFormat="1">
      <c r="A23" s="568"/>
      <c r="B23" s="569" t="s">
        <v>286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59">
        <v>0</v>
      </c>
      <c r="X23" s="59">
        <v>0</v>
      </c>
      <c r="Y23" s="59">
        <v>0</v>
      </c>
      <c r="Z23" s="59">
        <v>0</v>
      </c>
      <c r="AA23" s="458">
        <v>0</v>
      </c>
      <c r="AB23" s="458">
        <v>0</v>
      </c>
      <c r="AC23" s="458">
        <v>0</v>
      </c>
      <c r="AD23" s="458">
        <v>0</v>
      </c>
      <c r="AE23" s="458">
        <v>0</v>
      </c>
      <c r="AF23" s="458">
        <v>0</v>
      </c>
      <c r="AG23" s="458">
        <v>0</v>
      </c>
      <c r="AH23" s="458">
        <v>0</v>
      </c>
      <c r="AI23" s="458">
        <v>0</v>
      </c>
      <c r="AJ23" s="458">
        <v>0</v>
      </c>
      <c r="AK23" s="458">
        <v>0</v>
      </c>
      <c r="AL23" s="458">
        <v>0</v>
      </c>
      <c r="AM23" s="458">
        <v>0</v>
      </c>
      <c r="AN23" s="458">
        <v>0</v>
      </c>
      <c r="AO23" s="458">
        <v>0</v>
      </c>
      <c r="AP23" s="458">
        <f>'Whirlwind Rev Req'!C69</f>
        <v>0.34240508438994177</v>
      </c>
      <c r="AQ23" s="458">
        <f>'Whirlwind Rev Req'!D69</f>
        <v>0.82104694484448826</v>
      </c>
      <c r="AR23" s="458">
        <f>'Whirlwind Rev Req'!E69</f>
        <v>1.7261963976702961</v>
      </c>
      <c r="AS23" s="458">
        <f>'Whirlwind Rev Req'!F69</f>
        <v>2.3225490420870831</v>
      </c>
      <c r="AT23" s="458">
        <f>'Whirlwind Rev Req'!G69</f>
        <v>3.1075173475851576</v>
      </c>
      <c r="AU23" s="458">
        <f>'Whirlwind Rev Req'!H69</f>
        <v>5.1180572179361352</v>
      </c>
      <c r="AV23" s="458">
        <f>'Whirlwind Rev Req'!I69</f>
        <v>13.58978750325738</v>
      </c>
      <c r="AW23" s="458">
        <f>'Whirlwind Rev Req'!J69</f>
        <v>27.240789872407163</v>
      </c>
      <c r="AX23" s="458">
        <f>'Whirlwind Rev Req'!K69</f>
        <v>37.49381088889529</v>
      </c>
    </row>
    <row r="24" spans="1:50" s="355" customFormat="1">
      <c r="A24" s="568"/>
      <c r="B24" s="569" t="s">
        <v>287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59">
        <v>0</v>
      </c>
      <c r="X24" s="59">
        <v>0</v>
      </c>
      <c r="Y24" s="59">
        <v>0</v>
      </c>
      <c r="Z24" s="59">
        <v>0</v>
      </c>
      <c r="AA24" s="458">
        <v>0</v>
      </c>
      <c r="AB24" s="458">
        <v>0</v>
      </c>
      <c r="AC24" s="458">
        <v>0</v>
      </c>
      <c r="AD24" s="458">
        <v>0</v>
      </c>
      <c r="AE24" s="458">
        <v>0</v>
      </c>
      <c r="AF24" s="458">
        <v>0</v>
      </c>
      <c r="AG24" s="458">
        <v>0</v>
      </c>
      <c r="AH24" s="458">
        <v>0</v>
      </c>
      <c r="AI24" s="458">
        <v>0</v>
      </c>
      <c r="AJ24" s="458">
        <v>0</v>
      </c>
      <c r="AK24" s="458">
        <v>0</v>
      </c>
      <c r="AL24" s="458">
        <v>0</v>
      </c>
      <c r="AM24" s="458">
        <v>0</v>
      </c>
      <c r="AN24" s="458">
        <v>0</v>
      </c>
      <c r="AO24" s="458">
        <v>0</v>
      </c>
      <c r="AP24" s="458">
        <f>'CR Rev Req'!C69</f>
        <v>9.1213273295005433</v>
      </c>
      <c r="AQ24" s="458">
        <f>'CR Rev Req'!D69</f>
        <v>16.14759536438266</v>
      </c>
      <c r="AR24" s="458">
        <f>'CR Rev Req'!E69</f>
        <v>18.440928702398914</v>
      </c>
      <c r="AS24" s="458">
        <f>'CR Rev Req'!F69</f>
        <v>20.154306067826109</v>
      </c>
      <c r="AT24" s="458">
        <f>'CR Rev Req'!G69</f>
        <v>20.988452371765948</v>
      </c>
      <c r="AU24" s="458">
        <f>'CR Rev Req'!H69</f>
        <v>22.179905633934212</v>
      </c>
      <c r="AV24" s="458">
        <f>'CR Rev Req'!I69</f>
        <v>39.772651585763143</v>
      </c>
      <c r="AW24" s="458">
        <f>'CR Rev Req'!J69</f>
        <v>74.034831671071203</v>
      </c>
      <c r="AX24" s="458">
        <f>'CR Rev Req'!K69</f>
        <v>101.78323088122009</v>
      </c>
    </row>
    <row r="25" spans="1:50" s="355" customFormat="1">
      <c r="A25" s="568"/>
      <c r="B25" s="569" t="s">
        <v>288</v>
      </c>
      <c r="C25" s="59">
        <v>0</v>
      </c>
      <c r="D25" s="59">
        <v>0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0</v>
      </c>
      <c r="L25" s="59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458">
        <v>0</v>
      </c>
      <c r="AB25" s="458">
        <v>0</v>
      </c>
      <c r="AC25" s="458">
        <v>0</v>
      </c>
      <c r="AD25" s="458">
        <v>0</v>
      </c>
      <c r="AE25" s="458">
        <v>0</v>
      </c>
      <c r="AF25" s="458">
        <v>0</v>
      </c>
      <c r="AG25" s="458">
        <v>0</v>
      </c>
      <c r="AH25" s="458">
        <v>0</v>
      </c>
      <c r="AI25" s="458">
        <v>0</v>
      </c>
      <c r="AJ25" s="458">
        <v>0</v>
      </c>
      <c r="AK25" s="458">
        <v>0</v>
      </c>
      <c r="AL25" s="458">
        <v>0</v>
      </c>
      <c r="AM25" s="458">
        <v>0</v>
      </c>
      <c r="AN25" s="458">
        <v>0</v>
      </c>
      <c r="AO25" s="458">
        <v>0</v>
      </c>
      <c r="AP25" s="458">
        <f>'S of Kramer Rev Req'!C69</f>
        <v>3.143905176426856</v>
      </c>
      <c r="AQ25" s="458">
        <f>'S of Kramer Rev Req'!D69</f>
        <v>4.0483263311209647</v>
      </c>
      <c r="AR25" s="458">
        <f>'S of Kramer Rev Req'!E69</f>
        <v>5.2381224156923683</v>
      </c>
      <c r="AS25" s="458">
        <f>'S of Kramer Rev Req'!F69</f>
        <v>6.6470317593343839</v>
      </c>
      <c r="AT25" s="458">
        <f>'S of Kramer Rev Req'!G69</f>
        <v>8.5584593561148878</v>
      </c>
      <c r="AU25" s="458">
        <f>'S of Kramer Rev Req'!H69</f>
        <v>11.267171275066804</v>
      </c>
      <c r="AV25" s="458">
        <f>'S of Kramer Rev Req'!I69</f>
        <v>14.234716483448922</v>
      </c>
      <c r="AW25" s="458">
        <f>'S of Kramer Rev Req'!J69</f>
        <v>17.05148513095293</v>
      </c>
      <c r="AX25" s="458">
        <f>'S of Kramer Rev Req'!K69</f>
        <v>20.170377465918634</v>
      </c>
    </row>
    <row r="26" spans="1:50" s="355" customFormat="1">
      <c r="A26" s="568"/>
      <c r="B26" s="569" t="s">
        <v>289</v>
      </c>
      <c r="C26" s="593">
        <v>0</v>
      </c>
      <c r="D26" s="593">
        <v>0</v>
      </c>
      <c r="E26" s="593">
        <v>0</v>
      </c>
      <c r="F26" s="593">
        <v>0</v>
      </c>
      <c r="G26" s="593">
        <v>0</v>
      </c>
      <c r="H26" s="593">
        <v>0</v>
      </c>
      <c r="I26" s="593">
        <v>0</v>
      </c>
      <c r="J26" s="593">
        <v>0</v>
      </c>
      <c r="K26" s="593">
        <v>0</v>
      </c>
      <c r="L26" s="593">
        <v>0</v>
      </c>
      <c r="M26" s="593">
        <v>0</v>
      </c>
      <c r="N26" s="593">
        <v>0</v>
      </c>
      <c r="O26" s="593">
        <v>0</v>
      </c>
      <c r="P26" s="593">
        <v>0</v>
      </c>
      <c r="Q26" s="593">
        <v>0</v>
      </c>
      <c r="R26" s="593">
        <v>0</v>
      </c>
      <c r="S26" s="593">
        <v>0</v>
      </c>
      <c r="T26" s="593">
        <v>0</v>
      </c>
      <c r="U26" s="593">
        <v>0</v>
      </c>
      <c r="V26" s="593">
        <v>0</v>
      </c>
      <c r="W26" s="593">
        <v>0</v>
      </c>
      <c r="X26" s="593">
        <v>0</v>
      </c>
      <c r="Y26" s="593">
        <v>0</v>
      </c>
      <c r="Z26" s="593">
        <v>0</v>
      </c>
      <c r="AA26" s="458">
        <v>0</v>
      </c>
      <c r="AB26" s="458">
        <v>0</v>
      </c>
      <c r="AC26" s="458">
        <v>0</v>
      </c>
      <c r="AD26" s="458">
        <v>0</v>
      </c>
      <c r="AE26" s="458">
        <v>0</v>
      </c>
      <c r="AF26" s="458">
        <v>0</v>
      </c>
      <c r="AG26" s="458">
        <v>0</v>
      </c>
      <c r="AH26" s="458">
        <v>0</v>
      </c>
      <c r="AI26" s="458">
        <v>0</v>
      </c>
      <c r="AJ26" s="458">
        <v>0</v>
      </c>
      <c r="AK26" s="458">
        <v>0</v>
      </c>
      <c r="AL26" s="458">
        <v>0</v>
      </c>
      <c r="AM26" s="458">
        <v>0</v>
      </c>
      <c r="AN26" s="458">
        <v>0</v>
      </c>
      <c r="AO26" s="458">
        <v>0</v>
      </c>
      <c r="AP26" s="458">
        <f>'W of Devers Rev Req'!C69</f>
        <v>20.257093660646081</v>
      </c>
      <c r="AQ26" s="458">
        <f>'W of Devers Rev Req'!D69</f>
        <v>21.34188792180845</v>
      </c>
      <c r="AR26" s="458">
        <f>'W of Devers Rev Req'!E69</f>
        <v>22.706953786889272</v>
      </c>
      <c r="AS26" s="458">
        <f>'W of Devers Rev Req'!F69</f>
        <v>24.686530958705156</v>
      </c>
      <c r="AT26" s="458">
        <f>'W of Devers Rev Req'!G69</f>
        <v>27.4652772524339</v>
      </c>
      <c r="AU26" s="458">
        <f>'W of Devers Rev Req'!H69</f>
        <v>30.97707344015565</v>
      </c>
      <c r="AV26" s="458">
        <f>'W of Devers Rev Req'!I69</f>
        <v>34.654824928666486</v>
      </c>
      <c r="AW26" s="458">
        <f>'W of Devers Rev Req'!J69</f>
        <v>38.382879616968779</v>
      </c>
      <c r="AX26" s="458">
        <f>'W of Devers Rev Req'!K69</f>
        <v>44.884161260474229</v>
      </c>
    </row>
    <row r="27" spans="1:50" ht="19.5" customHeight="1" thickBot="1">
      <c r="B27" s="3" t="s">
        <v>73</v>
      </c>
      <c r="C27" s="189">
        <f>SUM(C17:C19)</f>
        <v>0</v>
      </c>
      <c r="D27" s="189">
        <f t="shared" ref="D27:N27" si="0">SUM(D17:D19)</f>
        <v>0</v>
      </c>
      <c r="E27" s="190">
        <f>SUM(E17:E19)</f>
        <v>1355.2622612855994</v>
      </c>
      <c r="F27" s="190">
        <f t="shared" si="0"/>
        <v>1659.814544963283</v>
      </c>
      <c r="G27" s="190">
        <f t="shared" si="0"/>
        <v>1823.9754467775633</v>
      </c>
      <c r="H27" s="190">
        <f t="shared" si="0"/>
        <v>2146.5347624250808</v>
      </c>
      <c r="I27" s="190">
        <f t="shared" si="0"/>
        <v>2668.5325508099927</v>
      </c>
      <c r="J27" s="190">
        <f t="shared" si="0"/>
        <v>2942.3805567903455</v>
      </c>
      <c r="K27" s="190">
        <f t="shared" si="0"/>
        <v>2991.9391949325309</v>
      </c>
      <c r="L27" s="190">
        <f t="shared" si="0"/>
        <v>3210.6924979026326</v>
      </c>
      <c r="M27" s="190">
        <f t="shared" si="0"/>
        <v>3476.5098496558071</v>
      </c>
      <c r="N27" s="190">
        <f t="shared" si="0"/>
        <v>3846.3525899174128</v>
      </c>
      <c r="O27" s="190">
        <f t="shared" ref="O27:Z27" si="1">SUM(O17:O19)</f>
        <v>4347.874961529873</v>
      </c>
      <c r="P27" s="190">
        <f t="shared" si="1"/>
        <v>4444.7818783551556</v>
      </c>
      <c r="Q27" s="190">
        <f t="shared" si="1"/>
        <v>4615.5881239338269</v>
      </c>
      <c r="R27" s="190">
        <f t="shared" si="1"/>
        <v>4919.9617611929552</v>
      </c>
      <c r="S27" s="190">
        <f t="shared" si="1"/>
        <v>3394.9971952777155</v>
      </c>
      <c r="T27" s="190">
        <f t="shared" si="1"/>
        <v>3705.5852678990213</v>
      </c>
      <c r="U27" s="190">
        <f t="shared" si="1"/>
        <v>4010.1646583168244</v>
      </c>
      <c r="V27" s="190">
        <f t="shared" si="1"/>
        <v>4232.4575923893663</v>
      </c>
      <c r="W27" s="190">
        <f t="shared" si="1"/>
        <v>4430.7246983738542</v>
      </c>
      <c r="X27" s="190">
        <f t="shared" si="1"/>
        <v>3871.4241778760006</v>
      </c>
      <c r="Y27" s="190">
        <f t="shared" si="1"/>
        <v>2729.9798663308484</v>
      </c>
      <c r="Z27" s="190">
        <f t="shared" si="1"/>
        <v>1980.7298723102158</v>
      </c>
      <c r="AA27" s="364">
        <f>SUM(AA17:AA22)</f>
        <v>1746.2391362586648</v>
      </c>
      <c r="AB27" s="364">
        <f t="shared" ref="AB27:AL27" si="2">SUM(AB17:AB22)</f>
        <v>1936.805757366405</v>
      </c>
      <c r="AC27" s="364">
        <f t="shared" si="2"/>
        <v>2151.6944422389988</v>
      </c>
      <c r="AD27" s="364">
        <f t="shared" si="2"/>
        <v>2403.1371198412885</v>
      </c>
      <c r="AE27" s="364">
        <f t="shared" si="2"/>
        <v>2750.8359419423882</v>
      </c>
      <c r="AF27" s="364">
        <f t="shared" si="2"/>
        <v>3053.0630451255688</v>
      </c>
      <c r="AG27" s="364">
        <f t="shared" si="2"/>
        <v>3472.8006529137756</v>
      </c>
      <c r="AH27" s="364">
        <f t="shared" si="2"/>
        <v>3998.6874005797404</v>
      </c>
      <c r="AI27" s="364">
        <f t="shared" si="2"/>
        <v>4402.183995900331</v>
      </c>
      <c r="AJ27" s="364">
        <f t="shared" si="2"/>
        <v>4833.0920643240488</v>
      </c>
      <c r="AK27" s="364">
        <f t="shared" si="2"/>
        <v>5396.0769423448619</v>
      </c>
      <c r="AL27" s="364">
        <f t="shared" si="2"/>
        <v>6372.428452659211</v>
      </c>
      <c r="AM27" s="364">
        <f>SUM(AM17:AM22)</f>
        <v>7026.4186366428485</v>
      </c>
      <c r="AN27" s="364">
        <f t="shared" ref="AN27" si="3">SUM(AN17:AN22)</f>
        <v>7458.9290073546854</v>
      </c>
      <c r="AO27" s="364">
        <f>SUM(AO17:AO22)</f>
        <v>8047.6456409031853</v>
      </c>
      <c r="AP27" s="580">
        <f>SUM(AP17:AP26)</f>
        <v>8669.2221084912471</v>
      </c>
      <c r="AQ27" s="580">
        <f t="shared" ref="AQ27:AX27" si="4">SUM(AQ17:AQ26)</f>
        <v>9252.0560832898555</v>
      </c>
      <c r="AR27" s="580">
        <f t="shared" si="4"/>
        <v>9691.0935861245143</v>
      </c>
      <c r="AS27" s="580">
        <f t="shared" si="4"/>
        <v>10064.712119151318</v>
      </c>
      <c r="AT27" s="580">
        <f t="shared" si="4"/>
        <v>10549.238949720373</v>
      </c>
      <c r="AU27" s="580">
        <f t="shared" si="4"/>
        <v>11166.425898534808</v>
      </c>
      <c r="AV27" s="580">
        <f t="shared" si="4"/>
        <v>11906.285119299637</v>
      </c>
      <c r="AW27" s="580">
        <f t="shared" si="4"/>
        <v>12710.962916919081</v>
      </c>
      <c r="AX27" s="580">
        <f t="shared" si="4"/>
        <v>13693.49548766628</v>
      </c>
    </row>
    <row r="28" spans="1:50" ht="13.5" thickTop="1">
      <c r="C28" s="60"/>
      <c r="E28" s="60"/>
    </row>
    <row r="29" spans="1:50">
      <c r="C29" s="60"/>
      <c r="E29" s="60"/>
      <c r="H29" s="594"/>
      <c r="I29" s="594"/>
      <c r="J29" s="594"/>
      <c r="K29" s="594"/>
      <c r="L29" s="594"/>
      <c r="M29" s="594"/>
      <c r="N29" s="594"/>
      <c r="O29" s="594"/>
      <c r="P29" s="594"/>
      <c r="Q29" s="594"/>
      <c r="R29" s="594"/>
      <c r="S29" s="594"/>
      <c r="T29" s="594"/>
      <c r="U29" s="594"/>
      <c r="V29" s="594"/>
      <c r="W29" s="594"/>
      <c r="X29" s="594"/>
      <c r="Y29" s="594"/>
      <c r="Z29" s="594"/>
      <c r="AA29" s="594"/>
      <c r="AB29" s="594"/>
      <c r="AC29" s="594"/>
      <c r="AD29" s="594"/>
      <c r="AE29" s="594"/>
      <c r="AF29" s="594"/>
      <c r="AG29" s="594"/>
      <c r="AH29" s="594"/>
      <c r="AI29" s="594"/>
      <c r="AJ29" s="594"/>
      <c r="AK29" s="594"/>
      <c r="AL29" s="594"/>
      <c r="AM29" s="594"/>
      <c r="AN29" s="594"/>
      <c r="AO29" s="594"/>
      <c r="AP29" s="594"/>
      <c r="AQ29" s="594"/>
      <c r="AR29" s="594"/>
    </row>
    <row r="30" spans="1:50" ht="28.5" customHeight="1" thickBot="1">
      <c r="A30" s="71" t="s">
        <v>70</v>
      </c>
      <c r="B30" s="195" t="s">
        <v>167</v>
      </c>
      <c r="C30" s="220">
        <v>0</v>
      </c>
      <c r="D30" s="220">
        <v>0</v>
      </c>
      <c r="E30" s="220">
        <f>-Revenue!E22</f>
        <v>-1522.4872963041378</v>
      </c>
      <c r="F30" s="220">
        <f>-Revenue!F22</f>
        <v>-3535.0560460265428</v>
      </c>
      <c r="G30" s="220">
        <f>-Revenue!G22</f>
        <v>-3563.6539699785012</v>
      </c>
      <c r="H30" s="191">
        <f>-Revenue!H22</f>
        <v>-3770.4015648452951</v>
      </c>
      <c r="I30" s="191">
        <f>-Revenue!I22</f>
        <v>-4490.6212996953054</v>
      </c>
      <c r="J30" s="191">
        <f>-Revenue!J22</f>
        <v>-4182.2284553284117</v>
      </c>
      <c r="K30" s="191">
        <f>-Revenue!K22</f>
        <v>-4322.6176822805464</v>
      </c>
      <c r="L30" s="191">
        <f>-Revenue!L22</f>
        <v>-4005.4483417789525</v>
      </c>
      <c r="M30" s="191">
        <f>-Revenue!M22</f>
        <v>-3142.8565994851542</v>
      </c>
      <c r="N30" s="191">
        <f>-Revenue!N22</f>
        <v>-3864.5406323973439</v>
      </c>
      <c r="O30" s="191">
        <f>-Revenue!O22</f>
        <v>-3094.8015891045202</v>
      </c>
      <c r="P30" s="191">
        <f>-Revenue!P22</f>
        <v>-2632.4130647701486</v>
      </c>
      <c r="Q30" s="191">
        <f>-Revenue!Q22</f>
        <v>-2908.2523809327045</v>
      </c>
      <c r="R30" s="191">
        <f>-Revenue!R22</f>
        <v>-2893.6218767368605</v>
      </c>
      <c r="S30" s="191">
        <f>-Revenue!S22</f>
        <v>-2930.9854632287238</v>
      </c>
      <c r="T30" s="191">
        <f>-Revenue!T22</f>
        <v>-3199.3216614813232</v>
      </c>
      <c r="U30" s="191">
        <f>-Revenue!U22</f>
        <v>-3553.5945230154034</v>
      </c>
      <c r="V30" s="191">
        <f>-Revenue!V22</f>
        <v>-3612.4271687541045</v>
      </c>
      <c r="W30" s="191">
        <f>-Revenue!W22</f>
        <v>-3756.2779714840167</v>
      </c>
      <c r="X30" s="191">
        <f>-Revenue!X22</f>
        <v>-3379.6825463192822</v>
      </c>
      <c r="Y30" s="191">
        <f>-Revenue!Y22</f>
        <v>-2784.8069689534486</v>
      </c>
      <c r="Z30" s="191">
        <f>-Revenue!Z22</f>
        <v>-3251.4114011854545</v>
      </c>
      <c r="AA30" s="191">
        <f>-Revenue!AA22</f>
        <v>-3117.2143429592365</v>
      </c>
      <c r="AB30" s="191">
        <f>-Revenue!AB22</f>
        <v>-3210.5058258502095</v>
      </c>
      <c r="AC30" s="191">
        <f>-Revenue!AC22</f>
        <v>-3464.2803064906984</v>
      </c>
      <c r="AD30" s="191">
        <f>-Revenue!AD22</f>
        <v>-3072.7159996231239</v>
      </c>
      <c r="AE30" s="191">
        <f>-Revenue!AE22</f>
        <v>-2829.2243977352714</v>
      </c>
      <c r="AF30" s="191">
        <f>-Revenue!AF22</f>
        <v>-3638.1393160542507</v>
      </c>
      <c r="AG30" s="191">
        <f>-Revenue!AG22</f>
        <v>-4136.310295168757</v>
      </c>
      <c r="AH30" s="191">
        <f>-Revenue!AH22</f>
        <v>-4533.0934107670582</v>
      </c>
      <c r="AI30" s="191">
        <f>-Revenue!AI22</f>
        <v>-4369.5610247064014</v>
      </c>
      <c r="AJ30" s="191">
        <f>-Revenue!AJ22</f>
        <v>-4092.1948246837296</v>
      </c>
      <c r="AK30" s="191">
        <f>-Revenue!AK22</f>
        <v>-3679.1031200306984</v>
      </c>
      <c r="AL30" s="191">
        <f>-Revenue!AL22</f>
        <v>-4010.3813261490859</v>
      </c>
      <c r="AM30" s="191">
        <f>-Revenue!AM22</f>
        <v>-3838.5161152407459</v>
      </c>
      <c r="AN30" s="191">
        <f>-Revenue!AN22</f>
        <v>-3306.787341589586</v>
      </c>
      <c r="AO30" s="191">
        <f>-Revenue!AO22</f>
        <v>-7155.9659581712913</v>
      </c>
      <c r="AP30" s="191">
        <f>-Revenue!AP22</f>
        <v>-11377.313933885458</v>
      </c>
      <c r="AQ30" s="191">
        <f>-Revenue!AQ22</f>
        <v>-11530.567623764948</v>
      </c>
      <c r="AR30" s="191">
        <f>-Revenue!AR22</f>
        <v>-12211.147480213171</v>
      </c>
      <c r="AS30" s="220">
        <f>-Revenue!AS22</f>
        <v>-12825.371887868165</v>
      </c>
      <c r="AT30" s="220">
        <f>-Revenue!AT22</f>
        <v>-14932.213283492547</v>
      </c>
      <c r="AU30" s="220">
        <f>-Revenue!AU22</f>
        <v>-14332.527497107649</v>
      </c>
      <c r="AV30" s="220">
        <f>-Revenue!AV22</f>
        <v>-11821.888398275194</v>
      </c>
      <c r="AW30" s="220">
        <f>-Revenue!AW22</f>
        <v>-6364.7361786401216</v>
      </c>
      <c r="AX30" s="220">
        <f>-Revenue!AX22</f>
        <v>-12372.637668586422</v>
      </c>
    </row>
    <row r="31" spans="1:50" ht="13.5" thickTop="1"/>
    <row r="32" spans="1:50" hidden="1"/>
    <row r="33" spans="2:38" ht="25.5" hidden="1">
      <c r="B33" s="335" t="s">
        <v>245</v>
      </c>
    </row>
    <row r="34" spans="2:38" hidden="1">
      <c r="B34" s="3" t="s">
        <v>3</v>
      </c>
      <c r="C34" s="60" t="e">
        <f>'DPV2 Rev Req'!#REF!</f>
        <v>#REF!</v>
      </c>
      <c r="D34" s="60" t="e">
        <f>'DPV2 Rev Req'!#REF!</f>
        <v>#REF!</v>
      </c>
      <c r="E34" s="162" t="e">
        <f>'DPV2 Rev Req'!#REF!</f>
        <v>#REF!</v>
      </c>
      <c r="F34" s="162" t="e">
        <f>'DPV2 Rev Req'!#REF!</f>
        <v>#REF!</v>
      </c>
      <c r="G34" s="162" t="e">
        <f>'DPV2 Rev Req'!#REF!</f>
        <v>#REF!</v>
      </c>
      <c r="H34" s="162" t="e">
        <f>'DPV2 Rev Req'!#REF!</f>
        <v>#REF!</v>
      </c>
      <c r="I34" s="162" t="e">
        <f>'DPV2 Rev Req'!#REF!</f>
        <v>#REF!</v>
      </c>
      <c r="J34" s="162" t="e">
        <f>'DPV2 Rev Req'!#REF!</f>
        <v>#REF!</v>
      </c>
      <c r="K34" s="162" t="e">
        <f>'DPV2 Rev Req'!#REF!</f>
        <v>#REF!</v>
      </c>
      <c r="L34" s="162" t="e">
        <f>'DPV2 Rev Req'!#REF!</f>
        <v>#REF!</v>
      </c>
      <c r="M34" s="162" t="e">
        <f>'DPV2 Rev Req'!#REF!</f>
        <v>#REF!</v>
      </c>
      <c r="N34" s="162" t="e">
        <f>'DPV2 Rev Req'!#REF!</f>
        <v>#REF!</v>
      </c>
      <c r="O34" s="162" t="e">
        <f>'DPV2 Rev Req'!#REF!</f>
        <v>#REF!</v>
      </c>
      <c r="P34" s="162" t="e">
        <f>'DPV2 Rev Req'!#REF!</f>
        <v>#REF!</v>
      </c>
      <c r="Q34" s="162" t="e">
        <f>'DPV2 Rev Req'!#REF!</f>
        <v>#REF!</v>
      </c>
      <c r="R34" s="162" t="e">
        <f>'DPV2 Rev Req'!#REF!</f>
        <v>#REF!</v>
      </c>
      <c r="S34" s="162" t="e">
        <f>'DPV2 Rev Req'!#REF!</f>
        <v>#REF!</v>
      </c>
      <c r="T34" s="162" t="e">
        <f>'DPV2 Rev Req'!#REF!</f>
        <v>#REF!</v>
      </c>
      <c r="U34" s="162" t="e">
        <f>'DPV2 Rev Req'!#REF!</f>
        <v>#REF!</v>
      </c>
      <c r="V34" s="162" t="e">
        <f>'DPV2 Rev Req'!#REF!</f>
        <v>#REF!</v>
      </c>
      <c r="W34" s="162" t="e">
        <f>'DPV2 Rev Req'!#REF!</f>
        <v>#REF!</v>
      </c>
      <c r="X34" s="162" t="e">
        <f>'DPV2 Rev Req'!#REF!</f>
        <v>#REF!</v>
      </c>
      <c r="Y34" s="162" t="e">
        <f>'DPV2 Rev Req'!#REF!</f>
        <v>#REF!</v>
      </c>
      <c r="Z34" s="162" t="e">
        <f>'DPV2 Rev Req'!#REF!</f>
        <v>#REF!</v>
      </c>
      <c r="AA34" s="162" t="e">
        <f>'DPV2 Rev Req'!#REF!</f>
        <v>#REF!</v>
      </c>
      <c r="AB34" s="162" t="e">
        <f>'DPV2 Rev Req'!#REF!</f>
        <v>#REF!</v>
      </c>
      <c r="AC34" s="162" t="e">
        <f>'DPV2 Rev Req'!#REF!</f>
        <v>#REF!</v>
      </c>
      <c r="AD34" s="162" t="e">
        <f>'DPV2 Rev Req'!#REF!</f>
        <v>#REF!</v>
      </c>
      <c r="AE34" s="162" t="e">
        <f>'DPV2 Rev Req'!#REF!</f>
        <v>#REF!</v>
      </c>
      <c r="AF34" s="162" t="e">
        <f>'DPV2 Rev Req'!#REF!</f>
        <v>#REF!</v>
      </c>
      <c r="AG34" s="162" t="e">
        <f>'DPV2 Rev Req'!#REF!</f>
        <v>#REF!</v>
      </c>
      <c r="AH34" s="162" t="e">
        <f>'DPV2 Rev Req'!#REF!</f>
        <v>#REF!</v>
      </c>
      <c r="AI34" s="162" t="e">
        <f>'DPV2 Rev Req'!#REF!</f>
        <v>#REF!</v>
      </c>
      <c r="AJ34" s="162" t="e">
        <f>'DPV2 Rev Req'!#REF!</f>
        <v>#REF!</v>
      </c>
      <c r="AK34" s="162" t="e">
        <f>'DPV2 Rev Req'!#REF!</f>
        <v>#REF!</v>
      </c>
      <c r="AL34" s="162" t="e">
        <f>'DPV2 Rev Req'!#REF!</f>
        <v>#REF!</v>
      </c>
    </row>
    <row r="35" spans="2:38" hidden="1">
      <c r="B35" s="3" t="s">
        <v>4</v>
      </c>
      <c r="C35" s="60" t="e">
        <f>'Tehachapi Rev Req'!#REF!</f>
        <v>#REF!</v>
      </c>
      <c r="D35" s="60" t="e">
        <f>'Tehachapi Rev Req'!#REF!</f>
        <v>#REF!</v>
      </c>
      <c r="E35" s="162" t="e">
        <f>'Tehachapi Rev Req'!#REF!</f>
        <v>#REF!</v>
      </c>
      <c r="F35" s="162" t="e">
        <f>'Tehachapi Rev Req'!#REF!</f>
        <v>#REF!</v>
      </c>
      <c r="G35" s="162" t="e">
        <f>'Tehachapi Rev Req'!#REF!</f>
        <v>#REF!</v>
      </c>
      <c r="H35" s="162" t="e">
        <f>'Tehachapi Rev Req'!#REF!</f>
        <v>#REF!</v>
      </c>
      <c r="I35" s="162" t="e">
        <f>'Tehachapi Rev Req'!#REF!</f>
        <v>#REF!</v>
      </c>
      <c r="J35" s="162" t="e">
        <f>'Tehachapi Rev Req'!#REF!</f>
        <v>#REF!</v>
      </c>
      <c r="K35" s="162" t="e">
        <f>'Tehachapi Rev Req'!#REF!</f>
        <v>#REF!</v>
      </c>
      <c r="L35" s="162" t="e">
        <f>'Tehachapi Rev Req'!#REF!</f>
        <v>#REF!</v>
      </c>
      <c r="M35" s="162" t="e">
        <f>'Tehachapi Rev Req'!#REF!</f>
        <v>#REF!</v>
      </c>
      <c r="N35" s="162" t="e">
        <f>'Tehachapi Rev Req'!#REF!</f>
        <v>#REF!</v>
      </c>
      <c r="O35" s="162" t="e">
        <f>'Tehachapi Rev Req'!#REF!</f>
        <v>#REF!</v>
      </c>
      <c r="P35" s="162" t="e">
        <f>'Tehachapi Rev Req'!#REF!</f>
        <v>#REF!</v>
      </c>
      <c r="Q35" s="162" t="e">
        <f>'Tehachapi Rev Req'!#REF!</f>
        <v>#REF!</v>
      </c>
      <c r="R35" s="162" t="e">
        <f>'Tehachapi Rev Req'!#REF!</f>
        <v>#REF!</v>
      </c>
      <c r="S35" s="162" t="e">
        <f>'Tehachapi Rev Req'!#REF!</f>
        <v>#REF!</v>
      </c>
      <c r="T35" s="162" t="e">
        <f>'Tehachapi Rev Req'!#REF!</f>
        <v>#REF!</v>
      </c>
      <c r="U35" s="162" t="e">
        <f>'Tehachapi Rev Req'!#REF!</f>
        <v>#REF!</v>
      </c>
      <c r="V35" s="162" t="e">
        <f>'Tehachapi Rev Req'!#REF!</f>
        <v>#REF!</v>
      </c>
      <c r="W35" s="162" t="e">
        <f>'Tehachapi Rev Req'!#REF!</f>
        <v>#REF!</v>
      </c>
      <c r="X35" s="162" t="e">
        <f>'Tehachapi Rev Req'!#REF!</f>
        <v>#REF!</v>
      </c>
      <c r="Y35" s="162" t="e">
        <f>'Tehachapi Rev Req'!#REF!</f>
        <v>#REF!</v>
      </c>
      <c r="Z35" s="162" t="e">
        <f>'Tehachapi Rev Req'!#REF!</f>
        <v>#REF!</v>
      </c>
      <c r="AA35" s="162" t="e">
        <f>'Tehachapi Rev Req'!#REF!</f>
        <v>#REF!</v>
      </c>
      <c r="AB35" s="162" t="e">
        <f>'Tehachapi Rev Req'!#REF!</f>
        <v>#REF!</v>
      </c>
      <c r="AC35" s="162" t="e">
        <f>'Tehachapi Rev Req'!#REF!</f>
        <v>#REF!</v>
      </c>
      <c r="AD35" s="162" t="e">
        <f>'Tehachapi Rev Req'!#REF!</f>
        <v>#REF!</v>
      </c>
      <c r="AE35" s="162" t="e">
        <f>'Tehachapi Rev Req'!#REF!</f>
        <v>#REF!</v>
      </c>
      <c r="AF35" s="162" t="e">
        <f>'Tehachapi Rev Req'!#REF!</f>
        <v>#REF!</v>
      </c>
      <c r="AG35" s="162" t="e">
        <f>'Tehachapi Rev Req'!#REF!</f>
        <v>#REF!</v>
      </c>
      <c r="AH35" s="162" t="e">
        <f>'Tehachapi Rev Req'!#REF!</f>
        <v>#REF!</v>
      </c>
      <c r="AI35" s="162" t="e">
        <f>'Tehachapi Rev Req'!#REF!</f>
        <v>#REF!</v>
      </c>
      <c r="AJ35" s="162" t="e">
        <f>'Tehachapi Rev Req'!#REF!</f>
        <v>#REF!</v>
      </c>
      <c r="AK35" s="162" t="e">
        <f>'Tehachapi Rev Req'!#REF!</f>
        <v>#REF!</v>
      </c>
      <c r="AL35" s="162" t="e">
        <f>'Tehachapi Rev Req'!#REF!</f>
        <v>#REF!</v>
      </c>
    </row>
    <row r="36" spans="2:38" hidden="1">
      <c r="B36" s="3" t="s">
        <v>5</v>
      </c>
      <c r="C36" s="162" t="e">
        <f>'Rancho Vista Rev Req'!#REF!</f>
        <v>#REF!</v>
      </c>
      <c r="D36" s="162" t="e">
        <f>'Rancho Vista Rev Req'!#REF!</f>
        <v>#REF!</v>
      </c>
      <c r="E36" s="162" t="e">
        <f>'Rancho Vista Rev Req'!#REF!</f>
        <v>#REF!</v>
      </c>
      <c r="F36" s="162" t="e">
        <f>'Rancho Vista Rev Req'!#REF!</f>
        <v>#REF!</v>
      </c>
      <c r="G36" s="162" t="e">
        <f>'Rancho Vista Rev Req'!#REF!</f>
        <v>#REF!</v>
      </c>
      <c r="H36" s="162" t="e">
        <f>'Rancho Vista Rev Req'!#REF!</f>
        <v>#REF!</v>
      </c>
      <c r="I36" s="162" t="e">
        <f>'Rancho Vista Rev Req'!#REF!</f>
        <v>#REF!</v>
      </c>
      <c r="J36" s="162" t="e">
        <f>'Rancho Vista Rev Req'!#REF!</f>
        <v>#REF!</v>
      </c>
      <c r="K36" s="162" t="e">
        <f>'Rancho Vista Rev Req'!#REF!</f>
        <v>#REF!</v>
      </c>
      <c r="L36" s="162" t="e">
        <f>'Rancho Vista Rev Req'!#REF!</f>
        <v>#REF!</v>
      </c>
      <c r="M36" s="162" t="e">
        <f>'Rancho Vista Rev Req'!#REF!</f>
        <v>#REF!</v>
      </c>
      <c r="N36" s="162" t="e">
        <f>'Rancho Vista Rev Req'!#REF!</f>
        <v>#REF!</v>
      </c>
      <c r="O36" s="162" t="e">
        <f>'Rancho Vista Rev Req'!#REF!</f>
        <v>#REF!</v>
      </c>
      <c r="P36" s="162" t="e">
        <f>'Rancho Vista Rev Req'!#REF!</f>
        <v>#REF!</v>
      </c>
      <c r="Q36" s="162" t="e">
        <f>'Rancho Vista Rev Req'!#REF!</f>
        <v>#REF!</v>
      </c>
      <c r="R36" s="162" t="e">
        <f>'Rancho Vista Rev Req'!#REF!</f>
        <v>#REF!</v>
      </c>
      <c r="S36" s="162" t="e">
        <f>'Rancho Vista Rev Req'!#REF!</f>
        <v>#REF!</v>
      </c>
      <c r="T36" s="162" t="e">
        <f>'Rancho Vista Rev Req'!#REF!</f>
        <v>#REF!</v>
      </c>
      <c r="U36" s="162" t="e">
        <f>'Rancho Vista Rev Req'!#REF!</f>
        <v>#REF!</v>
      </c>
      <c r="V36" s="162" t="e">
        <f>'Rancho Vista Rev Req'!#REF!</f>
        <v>#REF!</v>
      </c>
      <c r="W36" s="162" t="e">
        <f>'Rancho Vista Rev Req'!#REF!</f>
        <v>#REF!</v>
      </c>
      <c r="X36" s="162" t="e">
        <f>'Rancho Vista Rev Req'!#REF!</f>
        <v>#REF!</v>
      </c>
      <c r="Y36" s="162" t="e">
        <f>'Rancho Vista Rev Req'!#REF!</f>
        <v>#REF!</v>
      </c>
      <c r="Z36" s="162" t="e">
        <f>'Rancho Vista Rev Req'!#REF!</f>
        <v>#REF!</v>
      </c>
      <c r="AA36" s="162" t="e">
        <f>'Rancho Vista Rev Req'!#REF!</f>
        <v>#REF!</v>
      </c>
      <c r="AB36" s="162" t="e">
        <f>'Rancho Vista Rev Req'!#REF!</f>
        <v>#REF!</v>
      </c>
      <c r="AC36" s="162" t="e">
        <f>'Rancho Vista Rev Req'!#REF!</f>
        <v>#REF!</v>
      </c>
      <c r="AD36" s="162" t="e">
        <f>'Rancho Vista Rev Req'!#REF!</f>
        <v>#REF!</v>
      </c>
      <c r="AE36" s="162" t="e">
        <f>'Rancho Vista Rev Req'!#REF!</f>
        <v>#REF!</v>
      </c>
      <c r="AF36" s="162" t="e">
        <f>'Rancho Vista Rev Req'!#REF!</f>
        <v>#REF!</v>
      </c>
      <c r="AG36" s="162" t="e">
        <f>'Rancho Vista Rev Req'!#REF!</f>
        <v>#REF!</v>
      </c>
      <c r="AH36" s="162" t="e">
        <f>'Rancho Vista Rev Req'!#REF!</f>
        <v>#REF!</v>
      </c>
      <c r="AI36" s="162" t="e">
        <f>'Rancho Vista Rev Req'!#REF!</f>
        <v>#REF!</v>
      </c>
      <c r="AJ36" s="162" t="e">
        <f>'Rancho Vista Rev Req'!#REF!</f>
        <v>#REF!</v>
      </c>
      <c r="AK36" s="162" t="e">
        <f>'Rancho Vista Rev Req'!#REF!</f>
        <v>#REF!</v>
      </c>
      <c r="AL36" s="162" t="e">
        <f>'Rancho Vista Rev Req'!#REF!</f>
        <v>#REF!</v>
      </c>
    </row>
    <row r="37" spans="2:38" ht="17.45" hidden="1" customHeight="1" thickBot="1">
      <c r="B37" s="3" t="s">
        <v>73</v>
      </c>
      <c r="C37" s="336" t="e">
        <f>SUM(C34:C36)</f>
        <v>#REF!</v>
      </c>
      <c r="D37" s="336" t="e">
        <f t="shared" ref="D37:AL37" si="5">SUM(D34:D36)</f>
        <v>#REF!</v>
      </c>
      <c r="E37" s="336" t="e">
        <f t="shared" si="5"/>
        <v>#REF!</v>
      </c>
      <c r="F37" s="336" t="e">
        <f t="shared" si="5"/>
        <v>#REF!</v>
      </c>
      <c r="G37" s="336" t="e">
        <f t="shared" si="5"/>
        <v>#REF!</v>
      </c>
      <c r="H37" s="336" t="e">
        <f t="shared" si="5"/>
        <v>#REF!</v>
      </c>
      <c r="I37" s="336" t="e">
        <f t="shared" si="5"/>
        <v>#REF!</v>
      </c>
      <c r="J37" s="336" t="e">
        <f t="shared" si="5"/>
        <v>#REF!</v>
      </c>
      <c r="K37" s="336" t="e">
        <f t="shared" si="5"/>
        <v>#REF!</v>
      </c>
      <c r="L37" s="336" t="e">
        <f t="shared" si="5"/>
        <v>#REF!</v>
      </c>
      <c r="M37" s="336" t="e">
        <f t="shared" si="5"/>
        <v>#REF!</v>
      </c>
      <c r="N37" s="336" t="e">
        <f t="shared" si="5"/>
        <v>#REF!</v>
      </c>
      <c r="O37" s="336" t="e">
        <f t="shared" si="5"/>
        <v>#REF!</v>
      </c>
      <c r="P37" s="336" t="e">
        <f t="shared" si="5"/>
        <v>#REF!</v>
      </c>
      <c r="Q37" s="336" t="e">
        <f t="shared" si="5"/>
        <v>#REF!</v>
      </c>
      <c r="R37" s="336" t="e">
        <f t="shared" si="5"/>
        <v>#REF!</v>
      </c>
      <c r="S37" s="336" t="e">
        <f t="shared" si="5"/>
        <v>#REF!</v>
      </c>
      <c r="T37" s="336" t="e">
        <f t="shared" si="5"/>
        <v>#REF!</v>
      </c>
      <c r="U37" s="336" t="e">
        <f t="shared" si="5"/>
        <v>#REF!</v>
      </c>
      <c r="V37" s="336" t="e">
        <f t="shared" si="5"/>
        <v>#REF!</v>
      </c>
      <c r="W37" s="336" t="e">
        <f t="shared" si="5"/>
        <v>#REF!</v>
      </c>
      <c r="X37" s="336" t="e">
        <f t="shared" si="5"/>
        <v>#REF!</v>
      </c>
      <c r="Y37" s="336" t="e">
        <f t="shared" si="5"/>
        <v>#REF!</v>
      </c>
      <c r="Z37" s="336" t="e">
        <f t="shared" si="5"/>
        <v>#REF!</v>
      </c>
      <c r="AA37" s="336" t="e">
        <f t="shared" si="5"/>
        <v>#REF!</v>
      </c>
      <c r="AB37" s="336" t="e">
        <f t="shared" si="5"/>
        <v>#REF!</v>
      </c>
      <c r="AC37" s="336" t="e">
        <f t="shared" si="5"/>
        <v>#REF!</v>
      </c>
      <c r="AD37" s="336" t="e">
        <f t="shared" si="5"/>
        <v>#REF!</v>
      </c>
      <c r="AE37" s="336" t="e">
        <f t="shared" si="5"/>
        <v>#REF!</v>
      </c>
      <c r="AF37" s="336" t="e">
        <f t="shared" si="5"/>
        <v>#REF!</v>
      </c>
      <c r="AG37" s="336" t="e">
        <f t="shared" si="5"/>
        <v>#REF!</v>
      </c>
      <c r="AH37" s="336" t="e">
        <f t="shared" si="5"/>
        <v>#REF!</v>
      </c>
      <c r="AI37" s="336" t="e">
        <f t="shared" si="5"/>
        <v>#REF!</v>
      </c>
      <c r="AJ37" s="336" t="e">
        <f t="shared" si="5"/>
        <v>#REF!</v>
      </c>
      <c r="AK37" s="336" t="e">
        <f t="shared" si="5"/>
        <v>#REF!</v>
      </c>
      <c r="AL37" s="336" t="e">
        <f t="shared" si="5"/>
        <v>#REF!</v>
      </c>
    </row>
    <row r="38" spans="2:38" ht="14.25" hidden="1" thickTop="1" thickBot="1">
      <c r="AE38" s="347"/>
      <c r="AF38" s="347"/>
      <c r="AG38" s="347"/>
      <c r="AH38" s="347"/>
      <c r="AI38" s="347"/>
      <c r="AJ38" s="347"/>
      <c r="AK38" s="347"/>
      <c r="AL38" s="347"/>
    </row>
    <row r="39" spans="2:38" ht="17.25" hidden="1" thickTop="1" thickBot="1">
      <c r="B39" s="338" t="s">
        <v>240</v>
      </c>
      <c r="C39" s="339" t="e">
        <f t="shared" ref="C39:AL39" si="6">C27-C37</f>
        <v>#REF!</v>
      </c>
      <c r="D39" s="339" t="e">
        <f t="shared" si="6"/>
        <v>#REF!</v>
      </c>
      <c r="E39" s="339" t="e">
        <f t="shared" si="6"/>
        <v>#REF!</v>
      </c>
      <c r="F39" s="339" t="e">
        <f t="shared" si="6"/>
        <v>#REF!</v>
      </c>
      <c r="G39" s="339" t="e">
        <f t="shared" si="6"/>
        <v>#REF!</v>
      </c>
      <c r="H39" s="339" t="e">
        <f t="shared" si="6"/>
        <v>#REF!</v>
      </c>
      <c r="I39" s="339" t="e">
        <f t="shared" si="6"/>
        <v>#REF!</v>
      </c>
      <c r="J39" s="339" t="e">
        <f t="shared" si="6"/>
        <v>#REF!</v>
      </c>
      <c r="K39" s="339" t="e">
        <f t="shared" si="6"/>
        <v>#REF!</v>
      </c>
      <c r="L39" s="339" t="e">
        <f t="shared" si="6"/>
        <v>#REF!</v>
      </c>
      <c r="M39" s="339" t="e">
        <f t="shared" si="6"/>
        <v>#REF!</v>
      </c>
      <c r="N39" s="339" t="e">
        <f t="shared" si="6"/>
        <v>#REF!</v>
      </c>
      <c r="O39" s="339" t="e">
        <f t="shared" si="6"/>
        <v>#REF!</v>
      </c>
      <c r="P39" s="339" t="e">
        <f t="shared" si="6"/>
        <v>#REF!</v>
      </c>
      <c r="Q39" s="339" t="e">
        <f t="shared" si="6"/>
        <v>#REF!</v>
      </c>
      <c r="R39" s="339" t="e">
        <f t="shared" si="6"/>
        <v>#REF!</v>
      </c>
      <c r="S39" s="339" t="e">
        <f t="shared" si="6"/>
        <v>#REF!</v>
      </c>
      <c r="T39" s="339" t="e">
        <f t="shared" si="6"/>
        <v>#REF!</v>
      </c>
      <c r="U39" s="339" t="e">
        <f t="shared" si="6"/>
        <v>#REF!</v>
      </c>
      <c r="V39" s="339" t="e">
        <f t="shared" si="6"/>
        <v>#REF!</v>
      </c>
      <c r="W39" s="339" t="e">
        <f t="shared" si="6"/>
        <v>#REF!</v>
      </c>
      <c r="X39" s="339" t="e">
        <f t="shared" si="6"/>
        <v>#REF!</v>
      </c>
      <c r="Y39" s="339" t="e">
        <f t="shared" si="6"/>
        <v>#REF!</v>
      </c>
      <c r="Z39" s="339" t="e">
        <f t="shared" si="6"/>
        <v>#REF!</v>
      </c>
      <c r="AA39" s="339" t="e">
        <f t="shared" si="6"/>
        <v>#REF!</v>
      </c>
      <c r="AB39" s="339" t="e">
        <f t="shared" si="6"/>
        <v>#REF!</v>
      </c>
      <c r="AC39" s="339" t="e">
        <f t="shared" si="6"/>
        <v>#REF!</v>
      </c>
      <c r="AD39" s="339" t="e">
        <f t="shared" si="6"/>
        <v>#REF!</v>
      </c>
      <c r="AE39" s="346" t="e">
        <f t="shared" si="6"/>
        <v>#REF!</v>
      </c>
      <c r="AF39" s="346" t="e">
        <f t="shared" si="6"/>
        <v>#REF!</v>
      </c>
      <c r="AG39" s="346" t="e">
        <f t="shared" si="6"/>
        <v>#REF!</v>
      </c>
      <c r="AH39" s="346" t="e">
        <f t="shared" si="6"/>
        <v>#REF!</v>
      </c>
      <c r="AI39" s="346" t="e">
        <f t="shared" si="6"/>
        <v>#REF!</v>
      </c>
      <c r="AJ39" s="346" t="e">
        <f t="shared" si="6"/>
        <v>#REF!</v>
      </c>
      <c r="AK39" s="346" t="e">
        <f t="shared" si="6"/>
        <v>#REF!</v>
      </c>
      <c r="AL39" s="346" t="e">
        <f t="shared" si="6"/>
        <v>#REF!</v>
      </c>
    </row>
    <row r="40" spans="2:38" ht="14.25" hidden="1" thickTop="1" thickBot="1">
      <c r="AE40" s="348"/>
      <c r="AF40" s="348"/>
      <c r="AG40" s="348"/>
      <c r="AH40" s="348"/>
      <c r="AI40" s="348"/>
      <c r="AJ40" s="348"/>
      <c r="AK40" s="348"/>
      <c r="AL40" s="348"/>
    </row>
    <row r="41" spans="2:38" ht="17.25" hidden="1" thickTop="1" thickBot="1">
      <c r="B41" s="338" t="s">
        <v>239</v>
      </c>
      <c r="C41" s="339" t="e">
        <f>C29-C39</f>
        <v>#REF!</v>
      </c>
      <c r="D41" s="339" t="e">
        <f>D29-D39</f>
        <v>#REF!</v>
      </c>
      <c r="E41" s="339" t="e">
        <f>D41+E39</f>
        <v>#REF!</v>
      </c>
      <c r="F41" s="339" t="e">
        <f t="shared" ref="F41:AE41" si="7">E41+F39</f>
        <v>#REF!</v>
      </c>
      <c r="G41" s="339" t="e">
        <f t="shared" si="7"/>
        <v>#REF!</v>
      </c>
      <c r="H41" s="339" t="e">
        <f t="shared" si="7"/>
        <v>#REF!</v>
      </c>
      <c r="I41" s="339" t="e">
        <f t="shared" si="7"/>
        <v>#REF!</v>
      </c>
      <c r="J41" s="339" t="e">
        <f t="shared" si="7"/>
        <v>#REF!</v>
      </c>
      <c r="K41" s="339" t="e">
        <f t="shared" si="7"/>
        <v>#REF!</v>
      </c>
      <c r="L41" s="339" t="e">
        <f t="shared" si="7"/>
        <v>#REF!</v>
      </c>
      <c r="M41" s="339" t="e">
        <f t="shared" si="7"/>
        <v>#REF!</v>
      </c>
      <c r="N41" s="339" t="e">
        <f t="shared" si="7"/>
        <v>#REF!</v>
      </c>
      <c r="O41" s="339" t="e">
        <f t="shared" si="7"/>
        <v>#REF!</v>
      </c>
      <c r="P41" s="339" t="e">
        <f t="shared" si="7"/>
        <v>#REF!</v>
      </c>
      <c r="Q41" s="339" t="e">
        <f t="shared" si="7"/>
        <v>#REF!</v>
      </c>
      <c r="R41" s="339" t="e">
        <f t="shared" si="7"/>
        <v>#REF!</v>
      </c>
      <c r="S41" s="339" t="e">
        <f t="shared" si="7"/>
        <v>#REF!</v>
      </c>
      <c r="T41" s="339" t="e">
        <f t="shared" si="7"/>
        <v>#REF!</v>
      </c>
      <c r="U41" s="339" t="e">
        <f t="shared" si="7"/>
        <v>#REF!</v>
      </c>
      <c r="V41" s="339" t="e">
        <f t="shared" si="7"/>
        <v>#REF!</v>
      </c>
      <c r="W41" s="339" t="e">
        <f t="shared" si="7"/>
        <v>#REF!</v>
      </c>
      <c r="X41" s="339" t="e">
        <f t="shared" si="7"/>
        <v>#REF!</v>
      </c>
      <c r="Y41" s="339" t="e">
        <f t="shared" si="7"/>
        <v>#REF!</v>
      </c>
      <c r="Z41" s="339" t="e">
        <f t="shared" si="7"/>
        <v>#REF!</v>
      </c>
      <c r="AA41" s="339" t="e">
        <f t="shared" si="7"/>
        <v>#REF!</v>
      </c>
      <c r="AB41" s="339" t="e">
        <f t="shared" si="7"/>
        <v>#REF!</v>
      </c>
      <c r="AC41" s="339" t="e">
        <f t="shared" si="7"/>
        <v>#REF!</v>
      </c>
      <c r="AD41" s="339" t="e">
        <f t="shared" si="7"/>
        <v>#REF!</v>
      </c>
      <c r="AE41" s="339" t="e">
        <f t="shared" si="7"/>
        <v>#REF!</v>
      </c>
      <c r="AF41" s="339" t="e">
        <f t="shared" ref="AF41:AL41" si="8">AF29-AF39</f>
        <v>#REF!</v>
      </c>
      <c r="AG41" s="339" t="e">
        <f t="shared" si="8"/>
        <v>#REF!</v>
      </c>
      <c r="AH41" s="339" t="e">
        <f t="shared" si="8"/>
        <v>#REF!</v>
      </c>
      <c r="AI41" s="339" t="e">
        <f t="shared" si="8"/>
        <v>#REF!</v>
      </c>
      <c r="AJ41" s="339" t="e">
        <f t="shared" si="8"/>
        <v>#REF!</v>
      </c>
      <c r="AK41" s="339" t="e">
        <f t="shared" si="8"/>
        <v>#REF!</v>
      </c>
      <c r="AL41" s="339" t="e">
        <f t="shared" si="8"/>
        <v>#REF!</v>
      </c>
    </row>
    <row r="42" spans="2:38" ht="13.5" hidden="1" thickTop="1"/>
  </sheetData>
  <mergeCells count="11">
    <mergeCell ref="AM14:AX14"/>
    <mergeCell ref="A15:B15"/>
    <mergeCell ref="C14:N14"/>
    <mergeCell ref="A11:O11"/>
    <mergeCell ref="AA14:AL14"/>
    <mergeCell ref="O14:Z14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38" right="0.37" top="1" bottom="1" header="0.5" footer="0.5"/>
  <pageSetup scale="57" fitToHeight="0" orientation="landscape" r:id="rId1"/>
  <headerFooter alignWithMargins="0">
    <oddHeader>&amp;RAttachment 4
WP-Schedule 3
CWIP Balancing Acct 12-31-11 Balance
&amp;P of &amp;N</oddHeader>
    <oddFooter>&amp;R&amp;A</oddFooter>
  </headerFooter>
  <colBreaks count="1" manualBreakCount="1">
    <brk id="14" max="29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zoomScaleNormal="100" zoomScaleSheetLayoutView="100" workbookViewId="0">
      <selection activeCell="D18" sqref="D18"/>
    </sheetView>
  </sheetViews>
  <sheetFormatPr defaultColWidth="12.7109375" defaultRowHeight="12.75"/>
  <cols>
    <col min="1" max="1" width="16.42578125" customWidth="1"/>
    <col min="2" max="2" width="13.85546875" style="224" bestFit="1" customWidth="1"/>
    <col min="3" max="3" width="12.7109375" customWidth="1"/>
    <col min="4" max="4" width="13.28515625" customWidth="1"/>
    <col min="5" max="5" width="14.42578125" customWidth="1"/>
  </cols>
  <sheetData>
    <row r="1" spans="1:5">
      <c r="A1" s="777">
        <v>2007</v>
      </c>
      <c r="B1" s="778"/>
      <c r="C1" s="778"/>
      <c r="D1" s="778"/>
      <c r="E1" s="779"/>
    </row>
    <row r="2" spans="1:5">
      <c r="A2" s="426"/>
      <c r="B2" s="226" t="s">
        <v>154</v>
      </c>
      <c r="C2" s="223" t="s">
        <v>155</v>
      </c>
      <c r="D2" s="223"/>
      <c r="E2" s="439" t="s">
        <v>183</v>
      </c>
    </row>
    <row r="3" spans="1:5">
      <c r="A3" s="430" t="s">
        <v>277</v>
      </c>
      <c r="B3" s="440" t="s">
        <v>278</v>
      </c>
      <c r="C3" s="417" t="s">
        <v>156</v>
      </c>
      <c r="D3" s="417" t="s">
        <v>157</v>
      </c>
      <c r="E3" s="431" t="s">
        <v>184</v>
      </c>
    </row>
    <row r="4" spans="1:5">
      <c r="A4" s="251"/>
      <c r="B4" s="432"/>
      <c r="C4" s="106"/>
      <c r="D4" s="106"/>
      <c r="E4" s="252"/>
    </row>
    <row r="5" spans="1:5">
      <c r="A5" s="251" t="s">
        <v>158</v>
      </c>
      <c r="B5" s="433">
        <v>3311.3809999999999</v>
      </c>
      <c r="C5" s="434">
        <v>7.8937160000000006E-2</v>
      </c>
      <c r="D5" s="434">
        <v>6.2199999999999998E-2</v>
      </c>
      <c r="E5" s="435">
        <f>ROUND(B5/C5*D5,3)</f>
        <v>2609.2640000000001</v>
      </c>
    </row>
    <row r="6" spans="1:5">
      <c r="A6" s="251" t="s">
        <v>4</v>
      </c>
      <c r="B6" s="433">
        <v>2747.9670000000001</v>
      </c>
      <c r="C6" s="434">
        <v>7.8937160000000006E-2</v>
      </c>
      <c r="D6" s="434">
        <v>6.2199999999999998E-2</v>
      </c>
      <c r="E6" s="435">
        <f>ROUND(B6/C6*D6,3)</f>
        <v>2165.3119999999999</v>
      </c>
    </row>
    <row r="7" spans="1:5">
      <c r="A7" s="251" t="s">
        <v>5</v>
      </c>
      <c r="B7" s="433">
        <v>1374.3979999999999</v>
      </c>
      <c r="C7" s="434">
        <v>7.8937160000000006E-2</v>
      </c>
      <c r="D7" s="434">
        <v>6.2199999999999998E-2</v>
      </c>
      <c r="E7" s="435">
        <f>ROUND(B7/C7*D7,3)</f>
        <v>1082.982</v>
      </c>
    </row>
    <row r="8" spans="1:5">
      <c r="A8" s="251"/>
      <c r="B8" s="432"/>
      <c r="C8" s="106"/>
      <c r="D8" s="106"/>
      <c r="E8" s="252"/>
    </row>
    <row r="9" spans="1:5">
      <c r="A9" s="251"/>
      <c r="B9" s="432"/>
      <c r="C9" s="106"/>
      <c r="D9" s="106"/>
      <c r="E9" s="252"/>
    </row>
    <row r="10" spans="1:5">
      <c r="A10" s="251" t="s">
        <v>177</v>
      </c>
      <c r="B10" s="432"/>
      <c r="C10" s="436">
        <v>0.3387</v>
      </c>
      <c r="D10" s="106"/>
      <c r="E10" s="252"/>
    </row>
    <row r="11" spans="1:5">
      <c r="A11" s="251" t="s">
        <v>178</v>
      </c>
      <c r="B11" s="432"/>
      <c r="C11" s="436">
        <v>0.6613</v>
      </c>
      <c r="D11" s="106"/>
      <c r="E11" s="252"/>
    </row>
    <row r="12" spans="1:5">
      <c r="A12" s="251"/>
      <c r="B12" s="432"/>
      <c r="C12" s="438">
        <f>SUM(C10:C11)</f>
        <v>1</v>
      </c>
      <c r="D12" s="106"/>
      <c r="E12" s="252"/>
    </row>
    <row r="13" spans="1:5">
      <c r="A13" s="251"/>
      <c r="B13" s="432"/>
      <c r="C13" s="106"/>
      <c r="D13" s="106"/>
      <c r="E13" s="252"/>
    </row>
    <row r="14" spans="1:5">
      <c r="A14" s="251"/>
      <c r="B14" s="432"/>
      <c r="C14" s="106"/>
      <c r="D14" s="106"/>
      <c r="E14" s="252"/>
    </row>
    <row r="15" spans="1:5">
      <c r="A15" s="426"/>
      <c r="B15" s="226" t="s">
        <v>154</v>
      </c>
      <c r="C15" s="223" t="s">
        <v>155</v>
      </c>
      <c r="D15" s="223" t="s">
        <v>155</v>
      </c>
      <c r="E15" s="252"/>
    </row>
    <row r="16" spans="1:5">
      <c r="A16" s="430" t="s">
        <v>277</v>
      </c>
      <c r="B16" s="225" t="s">
        <v>186</v>
      </c>
      <c r="C16" s="417" t="s">
        <v>179</v>
      </c>
      <c r="D16" s="417" t="s">
        <v>185</v>
      </c>
      <c r="E16" s="252"/>
    </row>
    <row r="17" spans="1:5">
      <c r="A17" s="251"/>
      <c r="B17" s="432"/>
      <c r="C17" s="106"/>
      <c r="D17" s="106"/>
      <c r="E17" s="252"/>
    </row>
    <row r="18" spans="1:5">
      <c r="A18" s="251" t="s">
        <v>158</v>
      </c>
      <c r="B18" s="432">
        <f>B5</f>
        <v>3311.3809999999999</v>
      </c>
      <c r="C18" s="436">
        <f>C$10</f>
        <v>0.3387</v>
      </c>
      <c r="D18" s="432">
        <f>C18*B18</f>
        <v>1121.5647446999999</v>
      </c>
      <c r="E18" s="252"/>
    </row>
    <row r="19" spans="1:5">
      <c r="A19" s="251" t="s">
        <v>4</v>
      </c>
      <c r="B19" s="432">
        <f>B6</f>
        <v>2747.9670000000001</v>
      </c>
      <c r="C19" s="436">
        <f>C$10</f>
        <v>0.3387</v>
      </c>
      <c r="D19" s="432">
        <f>C19*B19</f>
        <v>930.73642289999998</v>
      </c>
      <c r="E19" s="252"/>
    </row>
    <row r="20" spans="1:5">
      <c r="A20" s="251" t="s">
        <v>5</v>
      </c>
      <c r="B20" s="432">
        <f>B7</f>
        <v>1374.3979999999999</v>
      </c>
      <c r="C20" s="436">
        <f>C$10</f>
        <v>0.3387</v>
      </c>
      <c r="D20" s="432">
        <f>C20*B20</f>
        <v>465.50860259999996</v>
      </c>
      <c r="E20" s="252"/>
    </row>
    <row r="21" spans="1:5" ht="13.5" thickBot="1">
      <c r="A21" s="258"/>
      <c r="B21" s="437"/>
      <c r="C21" s="259"/>
      <c r="D21" s="259"/>
      <c r="E21" s="260"/>
    </row>
    <row r="22" spans="1:5">
      <c r="A22" s="774">
        <v>2010</v>
      </c>
      <c r="B22" s="775"/>
      <c r="C22" s="775"/>
      <c r="D22" s="775"/>
      <c r="E22" s="776"/>
    </row>
    <row r="23" spans="1:5">
      <c r="A23" s="426"/>
      <c r="B23" s="427" t="s">
        <v>154</v>
      </c>
      <c r="C23" s="428" t="s">
        <v>155</v>
      </c>
      <c r="D23" s="428"/>
      <c r="E23" s="429" t="s">
        <v>183</v>
      </c>
    </row>
    <row r="24" spans="1:5">
      <c r="A24" s="430" t="s">
        <v>277</v>
      </c>
      <c r="B24" s="440" t="s">
        <v>278</v>
      </c>
      <c r="C24" s="417" t="s">
        <v>156</v>
      </c>
      <c r="D24" s="417" t="s">
        <v>157</v>
      </c>
      <c r="E24" s="431" t="s">
        <v>184</v>
      </c>
    </row>
    <row r="25" spans="1:5">
      <c r="A25" s="251"/>
      <c r="B25" s="432"/>
      <c r="C25" s="106"/>
      <c r="D25" s="106"/>
      <c r="E25" s="252"/>
    </row>
    <row r="26" spans="1:5">
      <c r="A26" s="251" t="s">
        <v>266</v>
      </c>
      <c r="B26" s="455">
        <v>0</v>
      </c>
      <c r="C26" s="434">
        <v>8.2726820000000006E-2</v>
      </c>
      <c r="D26" s="434">
        <v>6.25E-2</v>
      </c>
      <c r="E26" s="435">
        <f>ROUND(B26/C26*D26,3)</f>
        <v>0</v>
      </c>
    </row>
    <row r="27" spans="1:5">
      <c r="A27" s="251" t="s">
        <v>251</v>
      </c>
      <c r="B27" s="455">
        <v>0</v>
      </c>
      <c r="C27" s="434">
        <v>8.2726820000000006E-2</v>
      </c>
      <c r="D27" s="434">
        <v>6.25E-2</v>
      </c>
      <c r="E27" s="435">
        <f>ROUND(B27/C27*D27,3)</f>
        <v>0</v>
      </c>
    </row>
    <row r="28" spans="1:5">
      <c r="A28" s="251" t="s">
        <v>252</v>
      </c>
      <c r="B28" s="455">
        <v>0.54813999999999996</v>
      </c>
      <c r="C28" s="434">
        <v>8.2726820000000006E-2</v>
      </c>
      <c r="D28" s="434">
        <v>6.25E-2</v>
      </c>
      <c r="E28" s="435">
        <f>ROUND(B28/C28*D28,3)</f>
        <v>0.41399999999999998</v>
      </c>
    </row>
    <row r="29" spans="1:5">
      <c r="A29" s="251"/>
      <c r="B29" s="432"/>
      <c r="C29" s="106"/>
      <c r="D29" s="106"/>
      <c r="E29" s="252"/>
    </row>
    <row r="30" spans="1:5">
      <c r="A30" s="251"/>
      <c r="B30" s="432"/>
      <c r="C30" s="106"/>
      <c r="D30" s="106"/>
      <c r="E30" s="252"/>
    </row>
    <row r="31" spans="1:5">
      <c r="A31" s="251" t="s">
        <v>177</v>
      </c>
      <c r="B31" s="432"/>
      <c r="C31" s="436">
        <v>0.30830000000000002</v>
      </c>
      <c r="D31" s="106"/>
      <c r="E31" s="252"/>
    </row>
    <row r="32" spans="1:5">
      <c r="A32" s="251" t="s">
        <v>178</v>
      </c>
      <c r="B32" s="432"/>
      <c r="C32" s="436">
        <v>0.69169999999999998</v>
      </c>
      <c r="D32" s="106"/>
      <c r="E32" s="252"/>
    </row>
    <row r="33" spans="1:5" ht="13.5" thickBot="1">
      <c r="A33" s="251"/>
      <c r="B33" s="432"/>
      <c r="C33" s="222">
        <f>SUM(C31:C32)</f>
        <v>1</v>
      </c>
      <c r="D33" s="106"/>
      <c r="E33" s="252"/>
    </row>
    <row r="34" spans="1:5" ht="13.5" thickTop="1">
      <c r="A34" s="251"/>
      <c r="B34" s="432"/>
      <c r="C34" s="106"/>
      <c r="D34" s="106"/>
      <c r="E34" s="252"/>
    </row>
    <row r="35" spans="1:5">
      <c r="A35" s="251"/>
      <c r="B35" s="432"/>
      <c r="C35" s="106"/>
      <c r="D35" s="106"/>
      <c r="E35" s="252"/>
    </row>
    <row r="36" spans="1:5">
      <c r="A36" s="426"/>
      <c r="B36" s="226" t="s">
        <v>154</v>
      </c>
      <c r="C36" s="223" t="s">
        <v>155</v>
      </c>
      <c r="D36" s="223" t="s">
        <v>155</v>
      </c>
      <c r="E36" s="252"/>
    </row>
    <row r="37" spans="1:5">
      <c r="A37" s="430" t="s">
        <v>277</v>
      </c>
      <c r="B37" s="225" t="s">
        <v>186</v>
      </c>
      <c r="C37" s="417" t="s">
        <v>179</v>
      </c>
      <c r="D37" s="417" t="s">
        <v>185</v>
      </c>
      <c r="E37" s="252"/>
    </row>
    <row r="38" spans="1:5">
      <c r="A38" s="251"/>
      <c r="B38" s="432"/>
      <c r="C38" s="106"/>
      <c r="D38" s="106"/>
      <c r="E38" s="252"/>
    </row>
    <row r="39" spans="1:5">
      <c r="A39" s="251" t="s">
        <v>266</v>
      </c>
      <c r="B39" s="457">
        <f>B26</f>
        <v>0</v>
      </c>
      <c r="C39" s="436">
        <v>0.30830000000000002</v>
      </c>
      <c r="D39" s="456">
        <f>C39*B39</f>
        <v>0</v>
      </c>
      <c r="E39" s="252"/>
    </row>
    <row r="40" spans="1:5">
      <c r="A40" s="251" t="s">
        <v>251</v>
      </c>
      <c r="B40" s="457">
        <f>B27</f>
        <v>0</v>
      </c>
      <c r="C40" s="436">
        <v>0.30830000000000002</v>
      </c>
      <c r="D40" s="456">
        <f>C40*B40</f>
        <v>0</v>
      </c>
      <c r="E40" s="252"/>
    </row>
    <row r="41" spans="1:5">
      <c r="A41" s="251" t="s">
        <v>252</v>
      </c>
      <c r="B41" s="457">
        <f>B28</f>
        <v>0.54813999999999996</v>
      </c>
      <c r="C41" s="436">
        <v>0.30830000000000002</v>
      </c>
      <c r="D41" s="456">
        <f>C41*B41</f>
        <v>0.16899156200000001</v>
      </c>
      <c r="E41" s="252"/>
    </row>
    <row r="42" spans="1:5" ht="13.5" thickBot="1">
      <c r="A42" s="258"/>
      <c r="B42" s="437"/>
      <c r="C42" s="259"/>
      <c r="D42" s="259"/>
      <c r="E42" s="260"/>
    </row>
    <row r="43" spans="1:5">
      <c r="A43" s="780">
        <v>2011</v>
      </c>
      <c r="B43" s="781"/>
      <c r="C43" s="781"/>
      <c r="D43" s="781"/>
      <c r="E43" s="782"/>
    </row>
    <row r="44" spans="1:5">
      <c r="A44" s="426"/>
      <c r="B44" s="427" t="s">
        <v>154</v>
      </c>
      <c r="C44" s="428" t="s">
        <v>155</v>
      </c>
      <c r="D44" s="428"/>
      <c r="E44" s="429" t="s">
        <v>183</v>
      </c>
    </row>
    <row r="45" spans="1:5">
      <c r="A45" s="430" t="s">
        <v>277</v>
      </c>
      <c r="B45" s="440" t="s">
        <v>278</v>
      </c>
      <c r="C45" s="417" t="s">
        <v>156</v>
      </c>
      <c r="D45" s="417" t="s">
        <v>157</v>
      </c>
      <c r="E45" s="431" t="s">
        <v>184</v>
      </c>
    </row>
    <row r="46" spans="1:5">
      <c r="A46" s="251"/>
      <c r="B46" s="432"/>
      <c r="C46" s="106"/>
      <c r="D46" s="106"/>
      <c r="E46" s="252"/>
    </row>
    <row r="47" spans="1:5">
      <c r="A47" s="251" t="s">
        <v>286</v>
      </c>
      <c r="B47" s="455">
        <v>0</v>
      </c>
      <c r="C47" s="434">
        <v>8.7410740000000001E-2</v>
      </c>
      <c r="D47" s="434">
        <v>5.9700000000000003E-2</v>
      </c>
      <c r="E47" s="435">
        <f>ROUND(B47/C47*D47,3)</f>
        <v>0</v>
      </c>
    </row>
    <row r="48" spans="1:5">
      <c r="A48" s="251" t="s">
        <v>287</v>
      </c>
      <c r="B48" s="455">
        <v>0</v>
      </c>
      <c r="C48" s="434">
        <v>8.7410740000000001E-2</v>
      </c>
      <c r="D48" s="434">
        <v>5.9700000000000003E-2</v>
      </c>
      <c r="E48" s="435">
        <f>ROUND(B48/C48*D48,3)</f>
        <v>0</v>
      </c>
    </row>
    <row r="49" spans="1:5">
      <c r="A49" s="251" t="s">
        <v>288</v>
      </c>
      <c r="B49" s="455">
        <v>0</v>
      </c>
      <c r="C49" s="434">
        <v>8.7410740000000001E-2</v>
      </c>
      <c r="D49" s="434">
        <v>5.9700000000000003E-2</v>
      </c>
      <c r="E49" s="435">
        <f>ROUND(B49/C49*D49,3)</f>
        <v>0</v>
      </c>
    </row>
    <row r="50" spans="1:5">
      <c r="A50" s="251" t="s">
        <v>289</v>
      </c>
      <c r="B50" s="455">
        <v>0</v>
      </c>
      <c r="C50" s="434">
        <v>8.7410740000000001E-2</v>
      </c>
      <c r="D50" s="434">
        <v>5.9700000000000003E-2</v>
      </c>
      <c r="E50" s="435">
        <f>ROUND(B50/C50*D50,3)</f>
        <v>0</v>
      </c>
    </row>
    <row r="51" spans="1:5">
      <c r="A51" s="251"/>
      <c r="B51" s="432"/>
      <c r="C51" s="106"/>
      <c r="D51" s="106"/>
      <c r="E51" s="252"/>
    </row>
    <row r="52" spans="1:5">
      <c r="A52" s="251" t="s">
        <v>177</v>
      </c>
      <c r="B52" s="432"/>
      <c r="C52" s="436">
        <v>0.28239999999999998</v>
      </c>
      <c r="D52" s="106"/>
      <c r="E52" s="252"/>
    </row>
    <row r="53" spans="1:5">
      <c r="A53" s="251" t="s">
        <v>178</v>
      </c>
      <c r="B53" s="432"/>
      <c r="C53" s="436">
        <v>0.71760000000000002</v>
      </c>
      <c r="D53" s="106"/>
      <c r="E53" s="252"/>
    </row>
    <row r="54" spans="1:5" ht="13.5" thickBot="1">
      <c r="A54" s="251"/>
      <c r="B54" s="432"/>
      <c r="C54" s="222">
        <f>SUM(C52:C53)</f>
        <v>1</v>
      </c>
      <c r="D54" s="106"/>
      <c r="E54" s="252"/>
    </row>
    <row r="55" spans="1:5" ht="13.5" thickTop="1">
      <c r="A55" s="251"/>
      <c r="B55" s="432"/>
      <c r="C55" s="106"/>
      <c r="D55" s="106"/>
      <c r="E55" s="252"/>
    </row>
    <row r="56" spans="1:5">
      <c r="A56" s="251"/>
      <c r="B56" s="432"/>
      <c r="C56" s="106"/>
      <c r="D56" s="106"/>
      <c r="E56" s="252"/>
    </row>
    <row r="57" spans="1:5">
      <c r="A57" s="426"/>
      <c r="B57" s="226" t="s">
        <v>154</v>
      </c>
      <c r="C57" s="223" t="s">
        <v>155</v>
      </c>
      <c r="D57" s="223" t="s">
        <v>155</v>
      </c>
      <c r="E57" s="252"/>
    </row>
    <row r="58" spans="1:5">
      <c r="A58" s="430" t="s">
        <v>277</v>
      </c>
      <c r="B58" s="225" t="s">
        <v>186</v>
      </c>
      <c r="C58" s="417" t="s">
        <v>179</v>
      </c>
      <c r="D58" s="417" t="s">
        <v>185</v>
      </c>
      <c r="E58" s="252"/>
    </row>
    <row r="59" spans="1:5">
      <c r="A59" s="251"/>
      <c r="B59" s="432"/>
      <c r="C59" s="106"/>
      <c r="D59" s="106"/>
      <c r="E59" s="252"/>
    </row>
    <row r="60" spans="1:5">
      <c r="A60" s="251" t="s">
        <v>286</v>
      </c>
      <c r="B60" s="457">
        <f>B47</f>
        <v>0</v>
      </c>
      <c r="C60" s="436">
        <v>0.28239999999999998</v>
      </c>
      <c r="D60" s="456">
        <f>C60*B60</f>
        <v>0</v>
      </c>
      <c r="E60" s="252"/>
    </row>
    <row r="61" spans="1:5">
      <c r="A61" s="251" t="s">
        <v>287</v>
      </c>
      <c r="B61" s="457">
        <f>B48</f>
        <v>0</v>
      </c>
      <c r="C61" s="436">
        <v>0.28239999999999998</v>
      </c>
      <c r="D61" s="456">
        <f>C61*B61</f>
        <v>0</v>
      </c>
      <c r="E61" s="252"/>
    </row>
    <row r="62" spans="1:5">
      <c r="A62" s="251" t="s">
        <v>288</v>
      </c>
      <c r="B62" s="457">
        <f>B49</f>
        <v>0</v>
      </c>
      <c r="C62" s="436">
        <v>0.28239999999999998</v>
      </c>
      <c r="D62" s="456">
        <f>C62*B62</f>
        <v>0</v>
      </c>
      <c r="E62" s="252"/>
    </row>
    <row r="63" spans="1:5">
      <c r="A63" s="251" t="s">
        <v>289</v>
      </c>
      <c r="B63" s="457">
        <f>B50</f>
        <v>0</v>
      </c>
      <c r="C63" s="436">
        <v>0.28239999999999998</v>
      </c>
      <c r="D63" s="456">
        <f>C63*B63</f>
        <v>0</v>
      </c>
      <c r="E63" s="252"/>
    </row>
    <row r="64" spans="1:5" ht="13.5" thickBot="1">
      <c r="A64" s="258"/>
      <c r="B64" s="437"/>
      <c r="C64" s="259"/>
      <c r="D64" s="259"/>
      <c r="E64" s="260"/>
    </row>
  </sheetData>
  <mergeCells count="3">
    <mergeCell ref="A22:E22"/>
    <mergeCell ref="A1:E1"/>
    <mergeCell ref="A43:E43"/>
  </mergeCells>
  <phoneticPr fontId="4" type="noConversion"/>
  <printOptions horizontalCentered="1"/>
  <pageMargins left="0.75" right="0.75" top="1" bottom="1" header="0.5" footer="0.5"/>
  <pageSetup scale="81" orientation="portrait" cellComments="asDisplayed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94"/>
  <sheetViews>
    <sheetView topLeftCell="A55" zoomScaleNormal="100" zoomScaleSheetLayoutView="80" workbookViewId="0">
      <selection activeCell="F110" sqref="F110"/>
    </sheetView>
  </sheetViews>
  <sheetFormatPr defaultRowHeight="12.75" outlineLevelRow="1"/>
  <cols>
    <col min="1" max="1" width="17.85546875" bestFit="1" customWidth="1"/>
    <col min="2" max="4" width="15.7109375" customWidth="1"/>
    <col min="8" max="8" width="3.42578125" customWidth="1"/>
  </cols>
  <sheetData>
    <row r="1" spans="1:8" ht="15.75">
      <c r="A1" s="691" t="s">
        <v>0</v>
      </c>
      <c r="B1" s="691"/>
      <c r="C1" s="691"/>
      <c r="D1" s="691"/>
      <c r="E1" s="676"/>
      <c r="F1" s="676"/>
      <c r="G1" s="676"/>
      <c r="H1" s="676"/>
    </row>
    <row r="2" spans="1:8" ht="15">
      <c r="A2" s="692" t="s">
        <v>24</v>
      </c>
      <c r="B2" s="692"/>
      <c r="C2" s="692"/>
      <c r="D2" s="692"/>
      <c r="E2" s="677"/>
      <c r="F2" s="677"/>
      <c r="G2" s="677"/>
      <c r="H2" s="677"/>
    </row>
    <row r="3" spans="1:8">
      <c r="A3" s="787" t="s">
        <v>38</v>
      </c>
      <c r="B3" s="787"/>
      <c r="C3" s="787"/>
      <c r="D3" s="787"/>
      <c r="E3" s="56"/>
      <c r="F3" s="56"/>
      <c r="G3" s="56"/>
      <c r="H3" s="56"/>
    </row>
    <row r="4" spans="1:8" ht="15.75" thickBot="1">
      <c r="A4" s="788"/>
      <c r="B4" s="789"/>
      <c r="C4" s="789"/>
      <c r="D4" s="789"/>
    </row>
    <row r="5" spans="1:8" ht="18.75" outlineLevel="1" thickBot="1">
      <c r="A5" s="785">
        <v>2008</v>
      </c>
      <c r="B5" s="786"/>
      <c r="C5" s="786"/>
      <c r="D5" s="786"/>
    </row>
    <row r="6" spans="1:8" ht="15.75" outlineLevel="1">
      <c r="A6" s="251"/>
      <c r="B6" s="39"/>
      <c r="C6" s="39"/>
      <c r="D6" s="39"/>
    </row>
    <row r="7" spans="1:8" ht="15.75" outlineLevel="1">
      <c r="A7" s="253" t="s">
        <v>3</v>
      </c>
      <c r="B7" s="106"/>
      <c r="C7" s="334" t="s">
        <v>340</v>
      </c>
      <c r="D7" s="106"/>
    </row>
    <row r="8" spans="1:8" ht="15" outlineLevel="1">
      <c r="A8" s="254"/>
      <c r="B8" s="40" t="s">
        <v>39</v>
      </c>
      <c r="C8" s="40" t="s">
        <v>40</v>
      </c>
      <c r="D8" s="40" t="s">
        <v>41</v>
      </c>
    </row>
    <row r="9" spans="1:8" ht="15" outlineLevel="1">
      <c r="A9" s="255" t="s">
        <v>42</v>
      </c>
      <c r="B9" s="41">
        <v>0.43</v>
      </c>
      <c r="C9" s="42">
        <v>6.2199999999999998E-2</v>
      </c>
      <c r="D9" s="42">
        <f>2.67%</f>
        <v>2.6699999999999998E-2</v>
      </c>
    </row>
    <row r="10" spans="1:8" ht="15" outlineLevel="1">
      <c r="A10" s="255" t="s">
        <v>43</v>
      </c>
      <c r="B10" s="41">
        <v>0.09</v>
      </c>
      <c r="C10" s="42">
        <v>6.0100000000000001E-2</v>
      </c>
      <c r="D10" s="42">
        <v>5.4000000000000003E-3</v>
      </c>
    </row>
    <row r="11" spans="1:8" ht="15.75" outlineLevel="1" thickBot="1">
      <c r="A11" s="255" t="s">
        <v>44</v>
      </c>
      <c r="B11" s="41">
        <f>1-(B9+B10)</f>
        <v>0.48</v>
      </c>
      <c r="C11" s="42">
        <f>0.0954+0.005+0.0125</f>
        <v>0.1129</v>
      </c>
      <c r="D11" s="43">
        <f>ROUND(B11*C11,5)</f>
        <v>5.4190000000000002E-2</v>
      </c>
    </row>
    <row r="12" spans="1:8" ht="16.5" outlineLevel="1" thickTop="1" thickBot="1">
      <c r="A12" s="256"/>
      <c r="B12" s="41"/>
      <c r="C12" s="43" t="s">
        <v>45</v>
      </c>
      <c r="D12" s="44">
        <f>SUM(D9:D11)</f>
        <v>8.6290000000000006E-2</v>
      </c>
    </row>
    <row r="13" spans="1:8" ht="15.75" outlineLevel="1" thickTop="1">
      <c r="A13" s="257"/>
      <c r="B13" s="41"/>
      <c r="C13" s="45" t="s">
        <v>46</v>
      </c>
      <c r="D13" s="46">
        <f>D12/12</f>
        <v>7.1908333333333338E-3</v>
      </c>
    </row>
    <row r="14" spans="1:8" ht="15" outlineLevel="1">
      <c r="A14" s="257"/>
      <c r="B14" s="41"/>
      <c r="C14" s="47"/>
      <c r="D14" s="45"/>
    </row>
    <row r="15" spans="1:8" ht="15.75" outlineLevel="1">
      <c r="A15" s="253" t="s">
        <v>4</v>
      </c>
      <c r="B15" s="106"/>
      <c r="C15" s="598" t="s">
        <v>341</v>
      </c>
      <c r="D15" s="106"/>
    </row>
    <row r="16" spans="1:8" ht="15" outlineLevel="1">
      <c r="A16" s="254"/>
      <c r="B16" s="40" t="s">
        <v>39</v>
      </c>
      <c r="C16" s="40" t="s">
        <v>40</v>
      </c>
      <c r="D16" s="40" t="s">
        <v>41</v>
      </c>
    </row>
    <row r="17" spans="1:4" ht="15" outlineLevel="1">
      <c r="A17" s="255" t="s">
        <v>42</v>
      </c>
      <c r="B17" s="49">
        <f t="shared" ref="B17:D18" si="0">B9</f>
        <v>0.43</v>
      </c>
      <c r="C17" s="43">
        <f t="shared" si="0"/>
        <v>6.2199999999999998E-2</v>
      </c>
      <c r="D17" s="43">
        <f t="shared" si="0"/>
        <v>2.6699999999999998E-2</v>
      </c>
    </row>
    <row r="18" spans="1:4" ht="15" outlineLevel="1">
      <c r="A18" s="255" t="s">
        <v>43</v>
      </c>
      <c r="B18" s="49">
        <f t="shared" si="0"/>
        <v>0.09</v>
      </c>
      <c r="C18" s="43">
        <f t="shared" si="0"/>
        <v>6.0100000000000001E-2</v>
      </c>
      <c r="D18" s="43">
        <f t="shared" si="0"/>
        <v>5.4000000000000003E-3</v>
      </c>
    </row>
    <row r="19" spans="1:4" ht="15.75" outlineLevel="1" thickBot="1">
      <c r="A19" s="255" t="s">
        <v>44</v>
      </c>
      <c r="B19" s="49">
        <f>B11</f>
        <v>0.48</v>
      </c>
      <c r="C19" s="43">
        <f>C11</f>
        <v>0.1129</v>
      </c>
      <c r="D19" s="43">
        <f>ROUND(B19*C19,5)</f>
        <v>5.4190000000000002E-2</v>
      </c>
    </row>
    <row r="20" spans="1:4" ht="16.5" outlineLevel="1" thickTop="1" thickBot="1">
      <c r="A20" s="256"/>
      <c r="B20" s="41"/>
      <c r="C20" s="43" t="s">
        <v>45</v>
      </c>
      <c r="D20" s="44">
        <f>SUM(D17:D19)</f>
        <v>8.6290000000000006E-2</v>
      </c>
    </row>
    <row r="21" spans="1:4" ht="15.75" outlineLevel="1" thickTop="1">
      <c r="A21" s="257"/>
      <c r="B21" s="41"/>
      <c r="C21" s="45" t="s">
        <v>46</v>
      </c>
      <c r="D21" s="46">
        <f>D20/12</f>
        <v>7.1908333333333338E-3</v>
      </c>
    </row>
    <row r="22" spans="1:4" ht="15" outlineLevel="1">
      <c r="A22" s="257"/>
      <c r="B22" s="41"/>
      <c r="C22" s="47"/>
      <c r="D22" s="48"/>
    </row>
    <row r="23" spans="1:4" ht="15.75" outlineLevel="1">
      <c r="A23" s="253" t="s">
        <v>5</v>
      </c>
      <c r="B23" s="106"/>
      <c r="C23" s="598" t="s">
        <v>341</v>
      </c>
      <c r="D23" s="106"/>
    </row>
    <row r="24" spans="1:4" ht="15" outlineLevel="1">
      <c r="A24" s="254"/>
      <c r="B24" s="40" t="s">
        <v>39</v>
      </c>
      <c r="C24" s="40" t="s">
        <v>40</v>
      </c>
      <c r="D24" s="40" t="s">
        <v>41</v>
      </c>
    </row>
    <row r="25" spans="1:4" ht="15" outlineLevel="1">
      <c r="A25" s="255" t="s">
        <v>42</v>
      </c>
      <c r="B25" s="49">
        <f t="shared" ref="B25:D26" si="1">B9</f>
        <v>0.43</v>
      </c>
      <c r="C25" s="43">
        <f t="shared" si="1"/>
        <v>6.2199999999999998E-2</v>
      </c>
      <c r="D25" s="43">
        <f t="shared" si="1"/>
        <v>2.6699999999999998E-2</v>
      </c>
    </row>
    <row r="26" spans="1:4" ht="15" outlineLevel="1">
      <c r="A26" s="255" t="s">
        <v>43</v>
      </c>
      <c r="B26" s="49">
        <f t="shared" si="1"/>
        <v>0.09</v>
      </c>
      <c r="C26" s="43">
        <f t="shared" si="1"/>
        <v>6.0100000000000001E-2</v>
      </c>
      <c r="D26" s="43">
        <f t="shared" si="1"/>
        <v>5.4000000000000003E-3</v>
      </c>
    </row>
    <row r="27" spans="1:4" ht="15.75" outlineLevel="1" thickBot="1">
      <c r="A27" s="255" t="s">
        <v>44</v>
      </c>
      <c r="B27" s="49">
        <f>B11</f>
        <v>0.48</v>
      </c>
      <c r="C27" s="50">
        <f>0.0954+0.005+0.0075</f>
        <v>0.1079</v>
      </c>
      <c r="D27" s="43">
        <f>ROUND(B27*C27,5)</f>
        <v>5.1790000000000003E-2</v>
      </c>
    </row>
    <row r="28" spans="1:4" ht="16.5" outlineLevel="1" thickTop="1" thickBot="1">
      <c r="A28" s="251"/>
      <c r="B28" s="106"/>
      <c r="C28" s="43" t="s">
        <v>45</v>
      </c>
      <c r="D28" s="44">
        <f>SUM(D25:D27)</f>
        <v>8.3889999999999992E-2</v>
      </c>
    </row>
    <row r="29" spans="1:4" ht="15.75" outlineLevel="1" thickTop="1">
      <c r="A29" s="256"/>
      <c r="B29" s="41"/>
      <c r="C29" s="45" t="s">
        <v>46</v>
      </c>
      <c r="D29" s="46">
        <f>D28/12</f>
        <v>6.9908333333333324E-3</v>
      </c>
    </row>
    <row r="30" spans="1:4" ht="13.5" thickBot="1">
      <c r="A30" s="258"/>
      <c r="B30" s="259"/>
      <c r="C30" s="259"/>
      <c r="D30" s="259"/>
    </row>
    <row r="31" spans="1:4" ht="18.75" outlineLevel="1" collapsed="1" thickBot="1">
      <c r="A31" s="785" t="s">
        <v>243</v>
      </c>
      <c r="B31" s="786"/>
      <c r="C31" s="786"/>
      <c r="D31" s="786"/>
    </row>
    <row r="32" spans="1:4" ht="15.75" outlineLevel="1">
      <c r="A32" s="251"/>
      <c r="B32" s="39"/>
      <c r="C32" s="39"/>
      <c r="D32" s="39"/>
    </row>
    <row r="33" spans="1:4" ht="15.75" outlineLevel="1">
      <c r="A33" s="253" t="s">
        <v>3</v>
      </c>
      <c r="B33" s="106"/>
      <c r="C33" s="334" t="s">
        <v>342</v>
      </c>
      <c r="D33" s="106"/>
    </row>
    <row r="34" spans="1:4" ht="15" outlineLevel="1">
      <c r="A34" s="254"/>
      <c r="B34" s="40" t="s">
        <v>39</v>
      </c>
      <c r="C34" s="40" t="s">
        <v>40</v>
      </c>
      <c r="D34" s="40" t="s">
        <v>41</v>
      </c>
    </row>
    <row r="35" spans="1:4" ht="15" outlineLevel="1">
      <c r="A35" s="255" t="s">
        <v>42</v>
      </c>
      <c r="B35" s="41">
        <v>0.43</v>
      </c>
      <c r="C35" s="42">
        <v>6.4199999999999993E-2</v>
      </c>
      <c r="D35" s="42">
        <v>2.76E-2</v>
      </c>
    </row>
    <row r="36" spans="1:4" ht="15" outlineLevel="1">
      <c r="A36" s="255" t="s">
        <v>43</v>
      </c>
      <c r="B36" s="41">
        <v>0.09</v>
      </c>
      <c r="C36" s="42">
        <v>6.5000000000000002E-2</v>
      </c>
      <c r="D36" s="42">
        <v>5.8999999999999999E-3</v>
      </c>
    </row>
    <row r="37" spans="1:4" ht="15.75" outlineLevel="1" thickBot="1">
      <c r="A37" s="255" t="s">
        <v>44</v>
      </c>
      <c r="B37" s="41">
        <v>0.48</v>
      </c>
      <c r="C37" s="42">
        <f>0.1004+0.005+0.0125</f>
        <v>0.1179</v>
      </c>
      <c r="D37" s="43">
        <f>ROUND(B37*C37,5)</f>
        <v>5.6590000000000001E-2</v>
      </c>
    </row>
    <row r="38" spans="1:4" ht="16.5" outlineLevel="1" thickTop="1" thickBot="1">
      <c r="A38" s="256"/>
      <c r="B38" s="41"/>
      <c r="C38" s="43" t="s">
        <v>45</v>
      </c>
      <c r="D38" s="44">
        <f>SUM(D35:D37)</f>
        <v>9.0090000000000003E-2</v>
      </c>
    </row>
    <row r="39" spans="1:4" ht="15.75" outlineLevel="1" thickTop="1">
      <c r="A39" s="257"/>
      <c r="B39" s="41"/>
      <c r="C39" s="45" t="s">
        <v>46</v>
      </c>
      <c r="D39" s="46">
        <f>D38/12</f>
        <v>7.5075000000000003E-3</v>
      </c>
    </row>
    <row r="40" spans="1:4" ht="15" outlineLevel="1">
      <c r="A40" s="257"/>
      <c r="B40" s="41"/>
      <c r="C40" s="47"/>
      <c r="D40" s="45"/>
    </row>
    <row r="41" spans="1:4" ht="15.75" outlineLevel="1">
      <c r="A41" s="253" t="s">
        <v>4</v>
      </c>
      <c r="B41" s="106"/>
      <c r="C41" s="598" t="s">
        <v>341</v>
      </c>
      <c r="D41" s="106"/>
    </row>
    <row r="42" spans="1:4" ht="15" outlineLevel="1">
      <c r="A42" s="254"/>
      <c r="B42" s="40" t="s">
        <v>39</v>
      </c>
      <c r="C42" s="40" t="s">
        <v>40</v>
      </c>
      <c r="D42" s="40" t="s">
        <v>41</v>
      </c>
    </row>
    <row r="43" spans="1:4" ht="15" outlineLevel="1">
      <c r="A43" s="255" t="s">
        <v>42</v>
      </c>
      <c r="B43" s="49">
        <f t="shared" ref="B43:D44" si="2">B35</f>
        <v>0.43</v>
      </c>
      <c r="C43" s="43">
        <f t="shared" si="2"/>
        <v>6.4199999999999993E-2</v>
      </c>
      <c r="D43" s="43">
        <f t="shared" si="2"/>
        <v>2.76E-2</v>
      </c>
    </row>
    <row r="44" spans="1:4" ht="15" outlineLevel="1">
      <c r="A44" s="255" t="s">
        <v>43</v>
      </c>
      <c r="B44" s="49">
        <f t="shared" si="2"/>
        <v>0.09</v>
      </c>
      <c r="C44" s="43">
        <f t="shared" si="2"/>
        <v>6.5000000000000002E-2</v>
      </c>
      <c r="D44" s="43">
        <f t="shared" si="2"/>
        <v>5.8999999999999999E-3</v>
      </c>
    </row>
    <row r="45" spans="1:4" ht="15.75" outlineLevel="1" thickBot="1">
      <c r="A45" s="255" t="s">
        <v>44</v>
      </c>
      <c r="B45" s="49">
        <f>B37</f>
        <v>0.48</v>
      </c>
      <c r="C45" s="43">
        <f>C37</f>
        <v>0.1179</v>
      </c>
      <c r="D45" s="43">
        <f>ROUND(B45*C45,5)</f>
        <v>5.6590000000000001E-2</v>
      </c>
    </row>
    <row r="46" spans="1:4" ht="16.5" outlineLevel="1" thickTop="1" thickBot="1">
      <c r="A46" s="256"/>
      <c r="B46" s="41"/>
      <c r="C46" s="43" t="s">
        <v>45</v>
      </c>
      <c r="D46" s="44">
        <f>SUM(D43:D45)</f>
        <v>9.0090000000000003E-2</v>
      </c>
    </row>
    <row r="47" spans="1:4" ht="15.75" outlineLevel="1" thickTop="1">
      <c r="A47" s="257"/>
      <c r="B47" s="41"/>
      <c r="C47" s="45" t="s">
        <v>46</v>
      </c>
      <c r="D47" s="46">
        <f>D46/12</f>
        <v>7.5075000000000003E-3</v>
      </c>
    </row>
    <row r="48" spans="1:4" ht="15" outlineLevel="1">
      <c r="A48" s="257"/>
      <c r="B48" s="41"/>
      <c r="C48" s="47"/>
      <c r="D48" s="48"/>
    </row>
    <row r="49" spans="1:4" ht="15.75" outlineLevel="1">
      <c r="A49" s="253" t="s">
        <v>5</v>
      </c>
      <c r="B49" s="106"/>
      <c r="C49" s="598" t="s">
        <v>341</v>
      </c>
      <c r="D49" s="106"/>
    </row>
    <row r="50" spans="1:4" ht="15" outlineLevel="1">
      <c r="A50" s="254"/>
      <c r="B50" s="40" t="s">
        <v>39</v>
      </c>
      <c r="C50" s="40" t="s">
        <v>40</v>
      </c>
      <c r="D50" s="40" t="s">
        <v>41</v>
      </c>
    </row>
    <row r="51" spans="1:4" ht="15" outlineLevel="1">
      <c r="A51" s="255" t="s">
        <v>42</v>
      </c>
      <c r="B51" s="49">
        <f t="shared" ref="B51:D52" si="3">B35</f>
        <v>0.43</v>
      </c>
      <c r="C51" s="43">
        <f t="shared" si="3"/>
        <v>6.4199999999999993E-2</v>
      </c>
      <c r="D51" s="43">
        <f t="shared" si="3"/>
        <v>2.76E-2</v>
      </c>
    </row>
    <row r="52" spans="1:4" ht="15" outlineLevel="1">
      <c r="A52" s="255" t="s">
        <v>43</v>
      </c>
      <c r="B52" s="49">
        <f t="shared" si="3"/>
        <v>0.09</v>
      </c>
      <c r="C52" s="43">
        <f t="shared" si="3"/>
        <v>6.5000000000000002E-2</v>
      </c>
      <c r="D52" s="43">
        <f t="shared" si="3"/>
        <v>5.8999999999999999E-3</v>
      </c>
    </row>
    <row r="53" spans="1:4" ht="15.75" outlineLevel="1" thickBot="1">
      <c r="A53" s="255" t="s">
        <v>44</v>
      </c>
      <c r="B53" s="49">
        <f>B37</f>
        <v>0.48</v>
      </c>
      <c r="C53" s="50">
        <f>0.1004+0.005+0.0075</f>
        <v>0.1129</v>
      </c>
      <c r="D53" s="43">
        <f>ROUND(B53*C53,5)</f>
        <v>5.4190000000000002E-2</v>
      </c>
    </row>
    <row r="54" spans="1:4" ht="16.5" outlineLevel="1" thickTop="1" thickBot="1">
      <c r="A54" s="251"/>
      <c r="B54" s="106"/>
      <c r="C54" s="43" t="s">
        <v>45</v>
      </c>
      <c r="D54" s="44">
        <f>SUM(D51:D53)</f>
        <v>8.7690000000000004E-2</v>
      </c>
    </row>
    <row r="55" spans="1:4" ht="15.75" outlineLevel="1" thickTop="1">
      <c r="A55" s="256"/>
      <c r="B55" s="41"/>
      <c r="C55" s="45" t="s">
        <v>46</v>
      </c>
      <c r="D55" s="46">
        <f>D54/12</f>
        <v>7.3075000000000006E-3</v>
      </c>
    </row>
    <row r="56" spans="1:4" ht="13.5" outlineLevel="1" thickBot="1">
      <c r="A56" s="258"/>
      <c r="B56" s="259"/>
      <c r="C56" s="259"/>
      <c r="D56" s="259"/>
    </row>
    <row r="58" spans="1:4" ht="13.5" thickBot="1"/>
    <row r="59" spans="1:4" ht="18.75" outlineLevel="1" thickBot="1">
      <c r="A59" s="785" t="s">
        <v>244</v>
      </c>
      <c r="B59" s="786"/>
      <c r="C59" s="786"/>
      <c r="D59" s="786"/>
    </row>
    <row r="60" spans="1:4" ht="15.75" outlineLevel="1">
      <c r="A60" s="251"/>
      <c r="B60" s="39"/>
      <c r="C60" s="39"/>
      <c r="D60" s="39"/>
    </row>
    <row r="61" spans="1:4" ht="15.75" outlineLevel="1">
      <c r="A61" s="253" t="s">
        <v>246</v>
      </c>
      <c r="B61" s="106"/>
      <c r="C61" s="334" t="s">
        <v>344</v>
      </c>
      <c r="D61" s="106"/>
    </row>
    <row r="62" spans="1:4" ht="15" outlineLevel="1">
      <c r="A62" s="254"/>
      <c r="B62" s="40" t="s">
        <v>39</v>
      </c>
      <c r="C62" s="40" t="s">
        <v>40</v>
      </c>
      <c r="D62" s="40" t="s">
        <v>41</v>
      </c>
    </row>
    <row r="63" spans="1:4" ht="15" outlineLevel="1">
      <c r="A63" s="255" t="s">
        <v>42</v>
      </c>
      <c r="B63" s="41">
        <v>0.43</v>
      </c>
      <c r="C63" s="42">
        <v>6.2100000000000002E-2</v>
      </c>
      <c r="D63" s="42">
        <v>2.6700000000000002E-2</v>
      </c>
    </row>
    <row r="64" spans="1:4" ht="15" outlineLevel="1">
      <c r="A64" s="255" t="s">
        <v>43</v>
      </c>
      <c r="B64" s="41">
        <v>0.09</v>
      </c>
      <c r="C64" s="42">
        <v>6.1699999999999998E-2</v>
      </c>
      <c r="D64" s="42">
        <v>5.5999999999999999E-3</v>
      </c>
    </row>
    <row r="65" spans="1:4" ht="15.75" outlineLevel="1" thickBot="1">
      <c r="A65" s="255" t="s">
        <v>44</v>
      </c>
      <c r="B65" s="41">
        <v>0.48</v>
      </c>
      <c r="C65" s="42">
        <f>0.1033+0.005+0.01</f>
        <v>0.1183</v>
      </c>
      <c r="D65" s="43">
        <f>ROUND(B65*C65,5)</f>
        <v>5.6779999999999997E-2</v>
      </c>
    </row>
    <row r="66" spans="1:4" ht="16.5" outlineLevel="1" thickTop="1" thickBot="1">
      <c r="A66" s="256"/>
      <c r="B66" s="41"/>
      <c r="C66" s="43" t="s">
        <v>45</v>
      </c>
      <c r="D66" s="44">
        <f>SUM(D63:D65)</f>
        <v>8.9079999999999993E-2</v>
      </c>
    </row>
    <row r="67" spans="1:4" ht="15.75" outlineLevel="1" thickTop="1">
      <c r="A67" s="257"/>
      <c r="B67" s="41"/>
      <c r="C67" s="45" t="s">
        <v>46</v>
      </c>
      <c r="D67" s="361">
        <f>D66/12</f>
        <v>7.423333333333333E-3</v>
      </c>
    </row>
    <row r="68" spans="1:4" ht="33" customHeight="1" outlineLevel="1">
      <c r="A68" s="783" t="s">
        <v>247</v>
      </c>
      <c r="B68" s="791"/>
      <c r="C68" s="791"/>
      <c r="D68" s="791"/>
    </row>
    <row r="69" spans="1:4" ht="15.75" outlineLevel="1">
      <c r="A69" s="253" t="s">
        <v>4</v>
      </c>
      <c r="B69" s="106"/>
      <c r="C69" s="598" t="s">
        <v>341</v>
      </c>
      <c r="D69" s="106"/>
    </row>
    <row r="70" spans="1:4" ht="15" outlineLevel="1">
      <c r="A70" s="254"/>
      <c r="B70" s="40" t="s">
        <v>39</v>
      </c>
      <c r="C70" s="40" t="s">
        <v>40</v>
      </c>
      <c r="D70" s="40" t="s">
        <v>41</v>
      </c>
    </row>
    <row r="71" spans="1:4" ht="15" outlineLevel="1">
      <c r="A71" s="255" t="s">
        <v>42</v>
      </c>
      <c r="B71" s="49">
        <f t="shared" ref="B71:D72" si="4">B63</f>
        <v>0.43</v>
      </c>
      <c r="C71" s="43">
        <f t="shared" si="4"/>
        <v>6.2100000000000002E-2</v>
      </c>
      <c r="D71" s="43">
        <f t="shared" si="4"/>
        <v>2.6700000000000002E-2</v>
      </c>
    </row>
    <row r="72" spans="1:4" ht="15" outlineLevel="1">
      <c r="A72" s="255" t="s">
        <v>43</v>
      </c>
      <c r="B72" s="49">
        <f t="shared" si="4"/>
        <v>0.09</v>
      </c>
      <c r="C72" s="43">
        <f t="shared" si="4"/>
        <v>6.1699999999999998E-2</v>
      </c>
      <c r="D72" s="43">
        <f t="shared" si="4"/>
        <v>5.5999999999999999E-3</v>
      </c>
    </row>
    <row r="73" spans="1:4" ht="15.75" outlineLevel="1" thickBot="1">
      <c r="A73" s="255" t="s">
        <v>44</v>
      </c>
      <c r="B73" s="49">
        <f>B65</f>
        <v>0.48</v>
      </c>
      <c r="C73" s="356">
        <f>0.1033+0.005+0.0125</f>
        <v>0.1208</v>
      </c>
      <c r="D73" s="43">
        <f>ROUND(B73*C73,5)</f>
        <v>5.7979999999999997E-2</v>
      </c>
    </row>
    <row r="74" spans="1:4" ht="16.5" outlineLevel="1" thickTop="1" thickBot="1">
      <c r="A74" s="256"/>
      <c r="B74" s="41"/>
      <c r="C74" s="43" t="s">
        <v>45</v>
      </c>
      <c r="D74" s="44">
        <f>SUM(D71:D73)</f>
        <v>9.0279999999999999E-2</v>
      </c>
    </row>
    <row r="75" spans="1:4" ht="15.75" outlineLevel="1" thickTop="1">
      <c r="A75" s="257"/>
      <c r="B75" s="41"/>
      <c r="C75" s="45" t="s">
        <v>46</v>
      </c>
      <c r="D75" s="361">
        <f>D74/12</f>
        <v>7.5233333333333333E-3</v>
      </c>
    </row>
    <row r="76" spans="1:4" ht="15" outlineLevel="1">
      <c r="A76" s="257"/>
      <c r="B76" s="41"/>
      <c r="C76" s="47"/>
      <c r="D76" s="48"/>
    </row>
    <row r="77" spans="1:4" ht="15.75" outlineLevel="1">
      <c r="A77" s="253" t="s">
        <v>5</v>
      </c>
      <c r="B77" s="106"/>
      <c r="C77" s="598" t="s">
        <v>341</v>
      </c>
      <c r="D77" s="106"/>
    </row>
    <row r="78" spans="1:4" ht="15" outlineLevel="1">
      <c r="A78" s="254"/>
      <c r="B78" s="40" t="s">
        <v>39</v>
      </c>
      <c r="C78" s="40" t="s">
        <v>40</v>
      </c>
      <c r="D78" s="40" t="s">
        <v>41</v>
      </c>
    </row>
    <row r="79" spans="1:4" ht="15" outlineLevel="1">
      <c r="A79" s="255" t="s">
        <v>42</v>
      </c>
      <c r="B79" s="49">
        <f t="shared" ref="B79:D80" si="5">B63</f>
        <v>0.43</v>
      </c>
      <c r="C79" s="43">
        <f t="shared" si="5"/>
        <v>6.2100000000000002E-2</v>
      </c>
      <c r="D79" s="43">
        <f t="shared" si="5"/>
        <v>2.6700000000000002E-2</v>
      </c>
    </row>
    <row r="80" spans="1:4" ht="15" outlineLevel="1">
      <c r="A80" s="255" t="s">
        <v>43</v>
      </c>
      <c r="B80" s="49">
        <f t="shared" si="5"/>
        <v>0.09</v>
      </c>
      <c r="C80" s="43">
        <f t="shared" si="5"/>
        <v>6.1699999999999998E-2</v>
      </c>
      <c r="D80" s="43">
        <f t="shared" si="5"/>
        <v>5.5999999999999999E-3</v>
      </c>
    </row>
    <row r="81" spans="1:4" ht="15.75" outlineLevel="1" thickBot="1">
      <c r="A81" s="255" t="s">
        <v>44</v>
      </c>
      <c r="B81" s="49">
        <f>B65</f>
        <v>0.48</v>
      </c>
      <c r="C81" s="50">
        <f>0.1033+0.005+0.0075</f>
        <v>0.11580000000000001</v>
      </c>
      <c r="D81" s="43">
        <f>ROUND(B81*C81,5)</f>
        <v>5.5579999999999997E-2</v>
      </c>
    </row>
    <row r="82" spans="1:4" ht="16.5" outlineLevel="1" thickTop="1" thickBot="1">
      <c r="A82" s="251"/>
      <c r="B82" s="106"/>
      <c r="C82" s="43" t="s">
        <v>45</v>
      </c>
      <c r="D82" s="44">
        <f>SUM(D79:D81)</f>
        <v>8.788E-2</v>
      </c>
    </row>
    <row r="83" spans="1:4" ht="15.75" outlineLevel="1" thickTop="1">
      <c r="A83" s="256"/>
      <c r="B83" s="41"/>
      <c r="C83" s="45" t="s">
        <v>46</v>
      </c>
      <c r="D83" s="46">
        <f>D82/12</f>
        <v>7.3233333333333336E-3</v>
      </c>
    </row>
    <row r="84" spans="1:4" ht="15" outlineLevel="1">
      <c r="A84" s="256"/>
      <c r="B84" s="41"/>
      <c r="C84" s="45"/>
      <c r="D84" s="46"/>
    </row>
    <row r="85" spans="1:4" ht="15" outlineLevel="1">
      <c r="A85" s="256"/>
      <c r="B85" s="41"/>
      <c r="C85" s="45"/>
      <c r="D85" s="46"/>
    </row>
    <row r="86" spans="1:4" ht="15.75" outlineLevel="1">
      <c r="A86" s="253" t="s">
        <v>250</v>
      </c>
      <c r="B86" s="106"/>
      <c r="C86" s="598" t="s">
        <v>341</v>
      </c>
      <c r="D86" s="106"/>
    </row>
    <row r="87" spans="1:4" ht="15" outlineLevel="1">
      <c r="A87" s="254"/>
      <c r="B87" s="40" t="s">
        <v>39</v>
      </c>
      <c r="C87" s="40" t="s">
        <v>40</v>
      </c>
      <c r="D87" s="40" t="s">
        <v>41</v>
      </c>
    </row>
    <row r="88" spans="1:4" ht="15" outlineLevel="1">
      <c r="A88" s="255" t="s">
        <v>42</v>
      </c>
      <c r="B88" s="41">
        <v>0.43</v>
      </c>
      <c r="C88" s="42">
        <v>6.2100000000000002E-2</v>
      </c>
      <c r="D88" s="42">
        <v>2.6700000000000002E-2</v>
      </c>
    </row>
    <row r="89" spans="1:4" ht="15" outlineLevel="1">
      <c r="A89" s="255" t="s">
        <v>43</v>
      </c>
      <c r="B89" s="41">
        <v>0.09</v>
      </c>
      <c r="C89" s="42">
        <v>6.1699999999999998E-2</v>
      </c>
      <c r="D89" s="42">
        <v>5.5999999999999999E-3</v>
      </c>
    </row>
    <row r="90" spans="1:4" ht="15.75" outlineLevel="1" thickBot="1">
      <c r="A90" s="255" t="s">
        <v>44</v>
      </c>
      <c r="B90" s="41">
        <v>0.48</v>
      </c>
      <c r="C90" s="42">
        <f>0.1033+0.005</f>
        <v>0.10830000000000001</v>
      </c>
      <c r="D90" s="43">
        <f>ROUND(B90*C90,5)</f>
        <v>5.1979999999999998E-2</v>
      </c>
    </row>
    <row r="91" spans="1:4" ht="16.5" outlineLevel="1" thickTop="1" thickBot="1">
      <c r="A91" s="256"/>
      <c r="B91" s="41"/>
      <c r="C91" s="43" t="s">
        <v>45</v>
      </c>
      <c r="D91" s="44">
        <f>SUM(D88:D90)</f>
        <v>8.4279999999999994E-2</v>
      </c>
    </row>
    <row r="92" spans="1:4" ht="15.75" outlineLevel="1" thickTop="1">
      <c r="A92" s="257"/>
      <c r="B92" s="41"/>
      <c r="C92" s="45" t="s">
        <v>46</v>
      </c>
      <c r="D92" s="361">
        <f>D91/12</f>
        <v>7.0233333333333328E-3</v>
      </c>
    </row>
    <row r="93" spans="1:4" ht="15" outlineLevel="1">
      <c r="A93" s="783"/>
      <c r="B93" s="791"/>
      <c r="C93" s="791"/>
      <c r="D93" s="791"/>
    </row>
    <row r="94" spans="1:4" ht="15.75" outlineLevel="1">
      <c r="A94" s="253" t="s">
        <v>251</v>
      </c>
      <c r="B94" s="106"/>
      <c r="C94" s="598" t="s">
        <v>341</v>
      </c>
      <c r="D94" s="106"/>
    </row>
    <row r="95" spans="1:4" ht="15" outlineLevel="1">
      <c r="A95" s="254"/>
      <c r="B95" s="40" t="s">
        <v>39</v>
      </c>
      <c r="C95" s="40" t="s">
        <v>40</v>
      </c>
      <c r="D95" s="40" t="s">
        <v>41</v>
      </c>
    </row>
    <row r="96" spans="1:4" ht="15" outlineLevel="1">
      <c r="A96" s="255" t="s">
        <v>42</v>
      </c>
      <c r="B96" s="49">
        <f t="shared" ref="B96:D96" si="6">B88</f>
        <v>0.43</v>
      </c>
      <c r="C96" s="43">
        <f t="shared" si="6"/>
        <v>6.2100000000000002E-2</v>
      </c>
      <c r="D96" s="43">
        <f t="shared" si="6"/>
        <v>2.6700000000000002E-2</v>
      </c>
    </row>
    <row r="97" spans="1:4" ht="15" outlineLevel="1">
      <c r="A97" s="255" t="s">
        <v>43</v>
      </c>
      <c r="B97" s="49">
        <f t="shared" ref="B97:D97" si="7">B89</f>
        <v>0.09</v>
      </c>
      <c r="C97" s="43">
        <f t="shared" si="7"/>
        <v>6.1699999999999998E-2</v>
      </c>
      <c r="D97" s="43">
        <f t="shared" si="7"/>
        <v>5.5999999999999999E-3</v>
      </c>
    </row>
    <row r="98" spans="1:4" ht="15.75" outlineLevel="1" thickBot="1">
      <c r="A98" s="255" t="s">
        <v>44</v>
      </c>
      <c r="B98" s="49">
        <f>B90</f>
        <v>0.48</v>
      </c>
      <c r="C98" s="43">
        <f>C90</f>
        <v>0.10830000000000001</v>
      </c>
      <c r="D98" s="43">
        <f>ROUND(B98*C98,5)</f>
        <v>5.1979999999999998E-2</v>
      </c>
    </row>
    <row r="99" spans="1:4" ht="16.5" outlineLevel="1" thickTop="1" thickBot="1">
      <c r="A99" s="256"/>
      <c r="B99" s="41"/>
      <c r="C99" s="43" t="s">
        <v>45</v>
      </c>
      <c r="D99" s="44">
        <f>SUM(D96:D98)</f>
        <v>8.4279999999999994E-2</v>
      </c>
    </row>
    <row r="100" spans="1:4" ht="15.75" outlineLevel="1" thickTop="1">
      <c r="A100" s="257"/>
      <c r="B100" s="41"/>
      <c r="C100" s="45" t="s">
        <v>46</v>
      </c>
      <c r="D100" s="46">
        <f>D99/12</f>
        <v>7.0233333333333328E-3</v>
      </c>
    </row>
    <row r="101" spans="1:4" ht="15" outlineLevel="1">
      <c r="A101" s="257"/>
      <c r="B101" s="41"/>
      <c r="C101" s="47"/>
      <c r="D101" s="48"/>
    </row>
    <row r="102" spans="1:4" ht="15.75" outlineLevel="1">
      <c r="A102" s="253" t="s">
        <v>252</v>
      </c>
      <c r="B102" s="106"/>
      <c r="C102" s="598" t="s">
        <v>341</v>
      </c>
      <c r="D102" s="106"/>
    </row>
    <row r="103" spans="1:4" ht="15" outlineLevel="1">
      <c r="A103" s="254"/>
      <c r="B103" s="40" t="s">
        <v>39</v>
      </c>
      <c r="C103" s="40" t="s">
        <v>40</v>
      </c>
      <c r="D103" s="40" t="s">
        <v>41</v>
      </c>
    </row>
    <row r="104" spans="1:4" ht="15" outlineLevel="1">
      <c r="A104" s="255" t="s">
        <v>42</v>
      </c>
      <c r="B104" s="49">
        <f t="shared" ref="B104:D104" si="8">B88</f>
        <v>0.43</v>
      </c>
      <c r="C104" s="43">
        <f t="shared" si="8"/>
        <v>6.2100000000000002E-2</v>
      </c>
      <c r="D104" s="43">
        <f t="shared" si="8"/>
        <v>2.6700000000000002E-2</v>
      </c>
    </row>
    <row r="105" spans="1:4" ht="15" outlineLevel="1">
      <c r="A105" s="255" t="s">
        <v>43</v>
      </c>
      <c r="B105" s="49">
        <f t="shared" ref="B105:D105" si="9">B89</f>
        <v>0.09</v>
      </c>
      <c r="C105" s="43">
        <f t="shared" si="9"/>
        <v>6.1699999999999998E-2</v>
      </c>
      <c r="D105" s="43">
        <f t="shared" si="9"/>
        <v>5.5999999999999999E-3</v>
      </c>
    </row>
    <row r="106" spans="1:4" ht="15.75" outlineLevel="1" thickBot="1">
      <c r="A106" s="255" t="s">
        <v>44</v>
      </c>
      <c r="B106" s="49">
        <f>B90</f>
        <v>0.48</v>
      </c>
      <c r="C106" s="362">
        <f>C90</f>
        <v>0.10830000000000001</v>
      </c>
      <c r="D106" s="43">
        <f>ROUND(B106*C106,5)</f>
        <v>5.1979999999999998E-2</v>
      </c>
    </row>
    <row r="107" spans="1:4" ht="16.5" outlineLevel="1" thickTop="1" thickBot="1">
      <c r="A107" s="251"/>
      <c r="B107" s="106"/>
      <c r="C107" s="43" t="s">
        <v>45</v>
      </c>
      <c r="D107" s="44">
        <f>SUM(D104:D106)</f>
        <v>8.4279999999999994E-2</v>
      </c>
    </row>
    <row r="108" spans="1:4" ht="15.75" outlineLevel="1" thickTop="1">
      <c r="A108" s="256"/>
      <c r="B108" s="41"/>
      <c r="C108" s="45" t="s">
        <v>46</v>
      </c>
      <c r="D108" s="46">
        <f>D107/12</f>
        <v>7.0233333333333328E-3</v>
      </c>
    </row>
    <row r="109" spans="1:4" ht="15" outlineLevel="1">
      <c r="A109" s="256"/>
      <c r="B109" s="41"/>
      <c r="C109" s="45"/>
      <c r="D109" s="46"/>
    </row>
    <row r="110" spans="1:4" ht="15" outlineLevel="1">
      <c r="A110" s="256"/>
      <c r="B110" s="41"/>
      <c r="C110" s="45"/>
      <c r="D110" s="46"/>
    </row>
    <row r="112" spans="1:4" ht="13.5" thickBot="1"/>
    <row r="113" spans="1:4" ht="18.75" outlineLevel="1" thickBot="1">
      <c r="A113" s="785" t="s">
        <v>248</v>
      </c>
      <c r="B113" s="790"/>
      <c r="C113" s="790"/>
      <c r="D113" s="790"/>
    </row>
    <row r="114" spans="1:4" ht="15.75" outlineLevel="1">
      <c r="A114" s="575"/>
      <c r="B114" s="576"/>
      <c r="C114" s="576"/>
      <c r="D114" s="576"/>
    </row>
    <row r="115" spans="1:4" ht="15.75" outlineLevel="1">
      <c r="A115" s="253" t="s">
        <v>249</v>
      </c>
      <c r="B115" s="106"/>
      <c r="C115" s="598" t="s">
        <v>345</v>
      </c>
      <c r="D115" s="106"/>
    </row>
    <row r="116" spans="1:4" ht="15" outlineLevel="1">
      <c r="A116" s="254"/>
      <c r="B116" s="40" t="s">
        <v>39</v>
      </c>
      <c r="C116" s="40" t="s">
        <v>40</v>
      </c>
      <c r="D116" s="40" t="s">
        <v>41</v>
      </c>
    </row>
    <row r="117" spans="1:4" ht="15" outlineLevel="1">
      <c r="A117" s="445" t="s">
        <v>42</v>
      </c>
      <c r="B117" s="446">
        <v>0.43</v>
      </c>
      <c r="C117" s="50">
        <v>0.06</v>
      </c>
      <c r="D117" s="50">
        <v>2.58E-2</v>
      </c>
    </row>
    <row r="118" spans="1:4" ht="15" outlineLevel="1">
      <c r="A118" s="445" t="s">
        <v>43</v>
      </c>
      <c r="B118" s="446">
        <v>0.09</v>
      </c>
      <c r="C118" s="50">
        <v>6.0999999999999999E-2</v>
      </c>
      <c r="D118" s="50">
        <v>5.4999999999999997E-3</v>
      </c>
    </row>
    <row r="119" spans="1:4" ht="15.75" outlineLevel="1" thickBot="1">
      <c r="A119" s="445" t="s">
        <v>44</v>
      </c>
      <c r="B119" s="446">
        <v>0.48</v>
      </c>
      <c r="C119" s="50">
        <f>0.103+0.005+0.01</f>
        <v>0.11799999999999999</v>
      </c>
      <c r="D119" s="362">
        <f>ROUND(B119*C119,5)</f>
        <v>5.6640000000000003E-2</v>
      </c>
    </row>
    <row r="120" spans="1:4" ht="16.5" outlineLevel="1" thickTop="1" thickBot="1">
      <c r="A120" s="447"/>
      <c r="B120" s="446"/>
      <c r="C120" s="362" t="s">
        <v>45</v>
      </c>
      <c r="D120" s="453">
        <f>SUM(D117:D119)</f>
        <v>8.7940000000000004E-2</v>
      </c>
    </row>
    <row r="121" spans="1:4" ht="15.75" outlineLevel="1" thickTop="1">
      <c r="A121" s="448"/>
      <c r="B121" s="446"/>
      <c r="C121" s="48" t="s">
        <v>46</v>
      </c>
      <c r="D121" s="361">
        <f>D120/12</f>
        <v>7.3283333333333334E-3</v>
      </c>
    </row>
    <row r="122" spans="1:4" ht="15" outlineLevel="1">
      <c r="A122" s="783"/>
      <c r="B122" s="784"/>
      <c r="C122" s="784"/>
      <c r="D122" s="784"/>
    </row>
    <row r="123" spans="1:4" ht="15.75" outlineLevel="1">
      <c r="A123" s="253" t="s">
        <v>4</v>
      </c>
      <c r="B123" s="106"/>
      <c r="C123" s="598" t="s">
        <v>341</v>
      </c>
      <c r="D123" s="106"/>
    </row>
    <row r="124" spans="1:4" ht="15" outlineLevel="1">
      <c r="A124" s="254"/>
      <c r="B124" s="40" t="s">
        <v>39</v>
      </c>
      <c r="C124" s="40" t="s">
        <v>40</v>
      </c>
      <c r="D124" s="40" t="s">
        <v>41</v>
      </c>
    </row>
    <row r="125" spans="1:4" ht="15" outlineLevel="1">
      <c r="A125" s="445" t="s">
        <v>42</v>
      </c>
      <c r="B125" s="449">
        <f t="shared" ref="B125:D125" si="10">B117</f>
        <v>0.43</v>
      </c>
      <c r="C125" s="362">
        <f t="shared" si="10"/>
        <v>0.06</v>
      </c>
      <c r="D125" s="362">
        <f t="shared" si="10"/>
        <v>2.58E-2</v>
      </c>
    </row>
    <row r="126" spans="1:4" ht="15" outlineLevel="1">
      <c r="A126" s="445" t="s">
        <v>43</v>
      </c>
      <c r="B126" s="449">
        <f t="shared" ref="B126:D126" si="11">B118</f>
        <v>0.09</v>
      </c>
      <c r="C126" s="362">
        <f t="shared" si="11"/>
        <v>6.0999999999999999E-2</v>
      </c>
      <c r="D126" s="362">
        <f t="shared" si="11"/>
        <v>5.4999999999999997E-3</v>
      </c>
    </row>
    <row r="127" spans="1:4" ht="15.75" outlineLevel="1" thickBot="1">
      <c r="A127" s="445" t="s">
        <v>44</v>
      </c>
      <c r="B127" s="449">
        <f>B119</f>
        <v>0.48</v>
      </c>
      <c r="C127" s="450">
        <f>0.103+0.005+0.0125</f>
        <v>0.1205</v>
      </c>
      <c r="D127" s="362">
        <f>ROUND(B127*C127,5)</f>
        <v>5.7840000000000003E-2</v>
      </c>
    </row>
    <row r="128" spans="1:4" ht="16.5" outlineLevel="1" thickTop="1" thickBot="1">
      <c r="A128" s="447"/>
      <c r="B128" s="446"/>
      <c r="C128" s="362" t="s">
        <v>45</v>
      </c>
      <c r="D128" s="453">
        <f>SUM(D125:D127)</f>
        <v>8.9139999999999997E-2</v>
      </c>
    </row>
    <row r="129" spans="1:4" ht="15.75" outlineLevel="1" thickTop="1">
      <c r="A129" s="448"/>
      <c r="B129" s="446"/>
      <c r="C129" s="48" t="s">
        <v>46</v>
      </c>
      <c r="D129" s="361">
        <f>D128/12</f>
        <v>7.4283333333333328E-3</v>
      </c>
    </row>
    <row r="130" spans="1:4" ht="15" outlineLevel="1">
      <c r="A130" s="257"/>
      <c r="B130" s="41"/>
      <c r="C130" s="47"/>
      <c r="D130" s="48"/>
    </row>
    <row r="131" spans="1:4" ht="15.75" outlineLevel="1">
      <c r="A131" s="253" t="s">
        <v>5</v>
      </c>
      <c r="B131" s="106"/>
      <c r="C131" s="598" t="s">
        <v>341</v>
      </c>
      <c r="D131" s="106"/>
    </row>
    <row r="132" spans="1:4" ht="15" outlineLevel="1">
      <c r="A132" s="254"/>
      <c r="B132" s="40" t="s">
        <v>39</v>
      </c>
      <c r="C132" s="40" t="s">
        <v>40</v>
      </c>
      <c r="D132" s="40" t="s">
        <v>41</v>
      </c>
    </row>
    <row r="133" spans="1:4" ht="15" outlineLevel="1">
      <c r="A133" s="445" t="s">
        <v>42</v>
      </c>
      <c r="B133" s="449">
        <f>B117</f>
        <v>0.43</v>
      </c>
      <c r="C133" s="362">
        <f t="shared" ref="C133:D133" si="12">C117</f>
        <v>0.06</v>
      </c>
      <c r="D133" s="362">
        <f t="shared" si="12"/>
        <v>2.58E-2</v>
      </c>
    </row>
    <row r="134" spans="1:4" ht="15" outlineLevel="1">
      <c r="A134" s="445" t="s">
        <v>43</v>
      </c>
      <c r="B134" s="449">
        <f t="shared" ref="B134:D134" si="13">B118</f>
        <v>0.09</v>
      </c>
      <c r="C134" s="362">
        <f t="shared" si="13"/>
        <v>6.0999999999999999E-2</v>
      </c>
      <c r="D134" s="362">
        <f t="shared" si="13"/>
        <v>5.4999999999999997E-3</v>
      </c>
    </row>
    <row r="135" spans="1:4" ht="15.75" outlineLevel="1" thickBot="1">
      <c r="A135" s="445" t="s">
        <v>44</v>
      </c>
      <c r="B135" s="449">
        <f>B119</f>
        <v>0.48</v>
      </c>
      <c r="C135" s="50">
        <f>0.103+0.005+0.0075</f>
        <v>0.11549999999999999</v>
      </c>
      <c r="D135" s="362">
        <f>ROUND(B135*C135,5)</f>
        <v>5.5440000000000003E-2</v>
      </c>
    </row>
    <row r="136" spans="1:4" ht="16.5" outlineLevel="1" thickTop="1" thickBot="1">
      <c r="A136" s="451"/>
      <c r="B136" s="452"/>
      <c r="C136" s="362" t="s">
        <v>45</v>
      </c>
      <c r="D136" s="453">
        <f>SUM(D133:D135)</f>
        <v>8.6740000000000012E-2</v>
      </c>
    </row>
    <row r="137" spans="1:4" ht="15.75" outlineLevel="1" thickTop="1">
      <c r="A137" s="447"/>
      <c r="B137" s="446"/>
      <c r="C137" s="48" t="s">
        <v>46</v>
      </c>
      <c r="D137" s="361">
        <f>D136/12</f>
        <v>7.228333333333334E-3</v>
      </c>
    </row>
    <row r="138" spans="1:4" ht="15" outlineLevel="1">
      <c r="A138" s="256"/>
      <c r="B138" s="41"/>
      <c r="C138" s="45"/>
      <c r="D138" s="46"/>
    </row>
    <row r="139" spans="1:4" ht="15.75" outlineLevel="1">
      <c r="A139" s="253" t="s">
        <v>250</v>
      </c>
      <c r="B139" s="106"/>
      <c r="C139" s="598" t="s">
        <v>341</v>
      </c>
      <c r="D139" s="106"/>
    </row>
    <row r="140" spans="1:4" ht="15" outlineLevel="1">
      <c r="A140" s="254"/>
      <c r="B140" s="40" t="s">
        <v>39</v>
      </c>
      <c r="C140" s="40" t="s">
        <v>40</v>
      </c>
      <c r="D140" s="40" t="s">
        <v>41</v>
      </c>
    </row>
    <row r="141" spans="1:4" ht="15" outlineLevel="1">
      <c r="A141" s="445" t="s">
        <v>42</v>
      </c>
      <c r="B141" s="449">
        <f t="shared" ref="B141:D142" si="14">B117</f>
        <v>0.43</v>
      </c>
      <c r="C141" s="362">
        <f t="shared" si="14"/>
        <v>0.06</v>
      </c>
      <c r="D141" s="362">
        <f t="shared" si="14"/>
        <v>2.58E-2</v>
      </c>
    </row>
    <row r="142" spans="1:4" ht="15" outlineLevel="1">
      <c r="A142" s="445" t="s">
        <v>43</v>
      </c>
      <c r="B142" s="449">
        <f t="shared" si="14"/>
        <v>0.09</v>
      </c>
      <c r="C142" s="362">
        <f t="shared" si="14"/>
        <v>6.0999999999999999E-2</v>
      </c>
      <c r="D142" s="362">
        <f t="shared" si="14"/>
        <v>5.4999999999999997E-3</v>
      </c>
    </row>
    <row r="143" spans="1:4" ht="15.75" outlineLevel="1" thickBot="1">
      <c r="A143" s="445" t="s">
        <v>44</v>
      </c>
      <c r="B143" s="449">
        <f>B119</f>
        <v>0.48</v>
      </c>
      <c r="C143" s="50">
        <f>0.103+0.005</f>
        <v>0.108</v>
      </c>
      <c r="D143" s="362">
        <f>ROUND(B143*C143,5)</f>
        <v>5.1839999999999997E-2</v>
      </c>
    </row>
    <row r="144" spans="1:4" ht="16.5" outlineLevel="1" thickTop="1" thickBot="1">
      <c r="A144" s="447"/>
      <c r="B144" s="446"/>
      <c r="C144" s="362" t="s">
        <v>45</v>
      </c>
      <c r="D144" s="453">
        <f>SUM(D141:D143)</f>
        <v>8.3139999999999992E-2</v>
      </c>
    </row>
    <row r="145" spans="1:4" ht="15.75" outlineLevel="1" thickTop="1">
      <c r="A145" s="448"/>
      <c r="B145" s="446"/>
      <c r="C145" s="48" t="s">
        <v>46</v>
      </c>
      <c r="D145" s="361">
        <f>D144/12</f>
        <v>6.9283333333333324E-3</v>
      </c>
    </row>
    <row r="146" spans="1:4" ht="15" outlineLevel="1">
      <c r="A146" s="783"/>
      <c r="B146" s="784"/>
      <c r="C146" s="784"/>
      <c r="D146" s="784"/>
    </row>
    <row r="147" spans="1:4" ht="15.75" outlineLevel="1">
      <c r="A147" s="253" t="s">
        <v>251</v>
      </c>
      <c r="B147" s="106"/>
      <c r="C147" s="598" t="s">
        <v>341</v>
      </c>
      <c r="D147" s="106"/>
    </row>
    <row r="148" spans="1:4" ht="15" outlineLevel="1">
      <c r="A148" s="254"/>
      <c r="B148" s="40" t="s">
        <v>39</v>
      </c>
      <c r="C148" s="40" t="s">
        <v>40</v>
      </c>
      <c r="D148" s="40" t="s">
        <v>41</v>
      </c>
    </row>
    <row r="149" spans="1:4" ht="15" outlineLevel="1">
      <c r="A149" s="255" t="s">
        <v>42</v>
      </c>
      <c r="B149" s="49">
        <f>B117</f>
        <v>0.43</v>
      </c>
      <c r="C149" s="43">
        <f>C117</f>
        <v>0.06</v>
      </c>
      <c r="D149" s="43">
        <f t="shared" ref="D149" si="15">D141</f>
        <v>2.58E-2</v>
      </c>
    </row>
    <row r="150" spans="1:4" ht="15" outlineLevel="1">
      <c r="A150" s="255" t="s">
        <v>43</v>
      </c>
      <c r="B150" s="49">
        <f>B118</f>
        <v>0.09</v>
      </c>
      <c r="C150" s="43">
        <f>C118</f>
        <v>6.0999999999999999E-2</v>
      </c>
      <c r="D150" s="43">
        <f t="shared" ref="D150" si="16">D142</f>
        <v>5.4999999999999997E-3</v>
      </c>
    </row>
    <row r="151" spans="1:4" ht="15.75" outlineLevel="1" thickBot="1">
      <c r="A151" s="255" t="s">
        <v>44</v>
      </c>
      <c r="B151" s="49">
        <f>B119</f>
        <v>0.48</v>
      </c>
      <c r="C151" s="43">
        <f>C143</f>
        <v>0.108</v>
      </c>
      <c r="D151" s="362">
        <f>ROUND(B151*C151,5)</f>
        <v>5.1839999999999997E-2</v>
      </c>
    </row>
    <row r="152" spans="1:4" ht="16.5" outlineLevel="1" thickTop="1" thickBot="1">
      <c r="A152" s="256"/>
      <c r="B152" s="41"/>
      <c r="C152" s="43" t="s">
        <v>45</v>
      </c>
      <c r="D152" s="44">
        <f>SUM(D149:D151)</f>
        <v>8.3139999999999992E-2</v>
      </c>
    </row>
    <row r="153" spans="1:4" ht="15.75" outlineLevel="1" thickTop="1">
      <c r="A153" s="257"/>
      <c r="B153" s="41"/>
      <c r="C153" s="45" t="s">
        <v>46</v>
      </c>
      <c r="D153" s="46">
        <f>D152/12</f>
        <v>6.9283333333333324E-3</v>
      </c>
    </row>
    <row r="154" spans="1:4" ht="15" outlineLevel="1">
      <c r="A154" s="257"/>
      <c r="B154" s="41"/>
      <c r="C154" s="47"/>
      <c r="D154" s="48"/>
    </row>
    <row r="155" spans="1:4" ht="15.75" outlineLevel="1">
      <c r="A155" s="253" t="s">
        <v>252</v>
      </c>
      <c r="B155" s="106"/>
      <c r="C155" s="598" t="s">
        <v>341</v>
      </c>
      <c r="D155" s="106"/>
    </row>
    <row r="156" spans="1:4" ht="15" outlineLevel="1">
      <c r="A156" s="254"/>
      <c r="B156" s="40" t="s">
        <v>39</v>
      </c>
      <c r="C156" s="40" t="s">
        <v>40</v>
      </c>
      <c r="D156" s="40" t="s">
        <v>41</v>
      </c>
    </row>
    <row r="157" spans="1:4" ht="15" outlineLevel="1">
      <c r="A157" s="255" t="s">
        <v>42</v>
      </c>
      <c r="B157" s="49">
        <f>B117</f>
        <v>0.43</v>
      </c>
      <c r="C157" s="43">
        <f>C117</f>
        <v>0.06</v>
      </c>
      <c r="D157" s="43">
        <f t="shared" ref="D157" si="17">D141</f>
        <v>2.58E-2</v>
      </c>
    </row>
    <row r="158" spans="1:4" ht="15" outlineLevel="1">
      <c r="A158" s="255" t="s">
        <v>43</v>
      </c>
      <c r="B158" s="49">
        <f>B118</f>
        <v>0.09</v>
      </c>
      <c r="C158" s="43">
        <f>C118</f>
        <v>6.0999999999999999E-2</v>
      </c>
      <c r="D158" s="43">
        <f t="shared" ref="D158" si="18">D142</f>
        <v>5.4999999999999997E-3</v>
      </c>
    </row>
    <row r="159" spans="1:4" ht="15.75" outlineLevel="1" thickBot="1">
      <c r="A159" s="255" t="s">
        <v>44</v>
      </c>
      <c r="B159" s="49">
        <f>B119</f>
        <v>0.48</v>
      </c>
      <c r="C159" s="362">
        <f>C143</f>
        <v>0.108</v>
      </c>
      <c r="D159" s="362">
        <f>ROUND(B159*C159,5)</f>
        <v>5.1839999999999997E-2</v>
      </c>
    </row>
    <row r="160" spans="1:4" ht="16.5" outlineLevel="1" thickTop="1" thickBot="1">
      <c r="A160" s="251"/>
      <c r="B160" s="106"/>
      <c r="C160" s="43" t="s">
        <v>45</v>
      </c>
      <c r="D160" s="44">
        <f>SUM(D157:D159)</f>
        <v>8.3139999999999992E-2</v>
      </c>
    </row>
    <row r="161" spans="1:4" ht="15.75" outlineLevel="1" thickTop="1">
      <c r="A161" s="256"/>
      <c r="B161" s="41"/>
      <c r="C161" s="45" t="s">
        <v>46</v>
      </c>
      <c r="D161" s="46">
        <f>D160/12</f>
        <v>6.9283333333333324E-3</v>
      </c>
    </row>
    <row r="162" spans="1:4" ht="15" outlineLevel="1">
      <c r="A162" s="256"/>
      <c r="B162" s="41"/>
      <c r="C162" s="45"/>
      <c r="D162" s="46"/>
    </row>
    <row r="163" spans="1:4" ht="15.75">
      <c r="A163" s="587" t="s">
        <v>286</v>
      </c>
      <c r="B163" s="106"/>
      <c r="C163" s="598" t="s">
        <v>341</v>
      </c>
      <c r="D163" s="106"/>
    </row>
    <row r="164" spans="1:4" ht="15">
      <c r="A164" s="254"/>
      <c r="B164" s="40" t="s">
        <v>39</v>
      </c>
      <c r="C164" s="40" t="s">
        <v>40</v>
      </c>
      <c r="D164" s="40" t="s">
        <v>41</v>
      </c>
    </row>
    <row r="165" spans="1:4" ht="15">
      <c r="A165" s="445" t="s">
        <v>42</v>
      </c>
      <c r="B165" s="449">
        <f t="shared" ref="B165:D166" si="19">B141</f>
        <v>0.43</v>
      </c>
      <c r="C165" s="362">
        <f t="shared" si="19"/>
        <v>0.06</v>
      </c>
      <c r="D165" s="362">
        <f t="shared" si="19"/>
        <v>2.58E-2</v>
      </c>
    </row>
    <row r="166" spans="1:4" ht="15">
      <c r="A166" s="445" t="s">
        <v>43</v>
      </c>
      <c r="B166" s="449">
        <f t="shared" si="19"/>
        <v>0.09</v>
      </c>
      <c r="C166" s="362">
        <f t="shared" si="19"/>
        <v>6.0999999999999999E-2</v>
      </c>
      <c r="D166" s="362">
        <f t="shared" si="19"/>
        <v>5.4999999999999997E-3</v>
      </c>
    </row>
    <row r="167" spans="1:4" ht="15.75" thickBot="1">
      <c r="A167" s="445" t="s">
        <v>44</v>
      </c>
      <c r="B167" s="449">
        <f>B143</f>
        <v>0.48</v>
      </c>
      <c r="C167" s="50">
        <f>0.103+0.005</f>
        <v>0.108</v>
      </c>
      <c r="D167" s="362">
        <f>ROUND(B167*C167,5)</f>
        <v>5.1839999999999997E-2</v>
      </c>
    </row>
    <row r="168" spans="1:4" ht="16.5" thickTop="1" thickBot="1">
      <c r="A168" s="447"/>
      <c r="B168" s="446"/>
      <c r="C168" s="362" t="s">
        <v>45</v>
      </c>
      <c r="D168" s="453">
        <f>SUM(D165:D167)</f>
        <v>8.3139999999999992E-2</v>
      </c>
    </row>
    <row r="169" spans="1:4" ht="15.75" thickTop="1">
      <c r="A169" s="448"/>
      <c r="B169" s="446"/>
      <c r="C169" s="48" t="s">
        <v>46</v>
      </c>
      <c r="D169" s="361">
        <f>D168/12</f>
        <v>6.9283333333333324E-3</v>
      </c>
    </row>
    <row r="170" spans="1:4" ht="15">
      <c r="A170" s="783"/>
      <c r="B170" s="784"/>
      <c r="C170" s="784"/>
      <c r="D170" s="784"/>
    </row>
    <row r="171" spans="1:4" ht="15.75">
      <c r="A171" s="587" t="s">
        <v>287</v>
      </c>
      <c r="B171" s="106"/>
      <c r="C171" s="598" t="s">
        <v>341</v>
      </c>
      <c r="D171" s="106"/>
    </row>
    <row r="172" spans="1:4" ht="15">
      <c r="A172" s="254"/>
      <c r="B172" s="40" t="s">
        <v>39</v>
      </c>
      <c r="C172" s="40" t="s">
        <v>40</v>
      </c>
      <c r="D172" s="40" t="s">
        <v>41</v>
      </c>
    </row>
    <row r="173" spans="1:4" ht="15">
      <c r="A173" s="255" t="s">
        <v>42</v>
      </c>
      <c r="B173" s="49">
        <f>B141</f>
        <v>0.43</v>
      </c>
      <c r="C173" s="43">
        <f>C141</f>
        <v>0.06</v>
      </c>
      <c r="D173" s="43">
        <f t="shared" ref="D173:D174" si="20">D165</f>
        <v>2.58E-2</v>
      </c>
    </row>
    <row r="174" spans="1:4" ht="15">
      <c r="A174" s="255" t="s">
        <v>43</v>
      </c>
      <c r="B174" s="49">
        <f>B142</f>
        <v>0.09</v>
      </c>
      <c r="C174" s="43">
        <f>C142</f>
        <v>6.0999999999999999E-2</v>
      </c>
      <c r="D174" s="43">
        <f t="shared" si="20"/>
        <v>5.4999999999999997E-3</v>
      </c>
    </row>
    <row r="175" spans="1:4" ht="15.75" thickBot="1">
      <c r="A175" s="255" t="s">
        <v>44</v>
      </c>
      <c r="B175" s="49">
        <f>B143</f>
        <v>0.48</v>
      </c>
      <c r="C175" s="43">
        <f>C167</f>
        <v>0.108</v>
      </c>
      <c r="D175" s="362">
        <f>ROUND(B175*C175,5)</f>
        <v>5.1839999999999997E-2</v>
      </c>
    </row>
    <row r="176" spans="1:4" ht="16.5" thickTop="1" thickBot="1">
      <c r="A176" s="256"/>
      <c r="B176" s="41"/>
      <c r="C176" s="43" t="s">
        <v>45</v>
      </c>
      <c r="D176" s="44">
        <f>SUM(D173:D175)</f>
        <v>8.3139999999999992E-2</v>
      </c>
    </row>
    <row r="177" spans="1:4" ht="15.75" thickTop="1">
      <c r="A177" s="257"/>
      <c r="B177" s="41"/>
      <c r="C177" s="45" t="s">
        <v>46</v>
      </c>
      <c r="D177" s="46">
        <f>D176/12</f>
        <v>6.9283333333333324E-3</v>
      </c>
    </row>
    <row r="178" spans="1:4" ht="15">
      <c r="A178" s="257"/>
      <c r="B178" s="41"/>
      <c r="C178" s="47"/>
      <c r="D178" s="48"/>
    </row>
    <row r="179" spans="1:4" ht="15.75">
      <c r="A179" s="587" t="s">
        <v>288</v>
      </c>
      <c r="B179" s="106"/>
      <c r="C179" s="598" t="s">
        <v>341</v>
      </c>
      <c r="D179" s="106"/>
    </row>
    <row r="180" spans="1:4" ht="15">
      <c r="A180" s="254"/>
      <c r="B180" s="40" t="s">
        <v>39</v>
      </c>
      <c r="C180" s="40" t="s">
        <v>40</v>
      </c>
      <c r="D180" s="40" t="s">
        <v>41</v>
      </c>
    </row>
    <row r="181" spans="1:4" ht="15">
      <c r="A181" s="255" t="s">
        <v>42</v>
      </c>
      <c r="B181" s="49">
        <f>B141</f>
        <v>0.43</v>
      </c>
      <c r="C181" s="43">
        <f>C141</f>
        <v>0.06</v>
      </c>
      <c r="D181" s="43">
        <f t="shared" ref="D181:D182" si="21">D165</f>
        <v>2.58E-2</v>
      </c>
    </row>
    <row r="182" spans="1:4" ht="15">
      <c r="A182" s="255" t="s">
        <v>43</v>
      </c>
      <c r="B182" s="49">
        <f>B142</f>
        <v>0.09</v>
      </c>
      <c r="C182" s="43">
        <f>C142</f>
        <v>6.0999999999999999E-2</v>
      </c>
      <c r="D182" s="43">
        <f t="shared" si="21"/>
        <v>5.4999999999999997E-3</v>
      </c>
    </row>
    <row r="183" spans="1:4" ht="15.75" thickBot="1">
      <c r="A183" s="255" t="s">
        <v>44</v>
      </c>
      <c r="B183" s="49">
        <f>B143</f>
        <v>0.48</v>
      </c>
      <c r="C183" s="362">
        <f>C167</f>
        <v>0.108</v>
      </c>
      <c r="D183" s="362">
        <f>ROUND(B183*C183,5)</f>
        <v>5.1839999999999997E-2</v>
      </c>
    </row>
    <row r="184" spans="1:4" ht="16.5" thickTop="1" thickBot="1">
      <c r="A184" s="251"/>
      <c r="B184" s="106"/>
      <c r="C184" s="43" t="s">
        <v>45</v>
      </c>
      <c r="D184" s="44">
        <f>SUM(D181:D183)</f>
        <v>8.3139999999999992E-2</v>
      </c>
    </row>
    <row r="185" spans="1:4" ht="15.75" thickTop="1">
      <c r="A185" s="256"/>
      <c r="B185" s="41"/>
      <c r="C185" s="45" t="s">
        <v>46</v>
      </c>
      <c r="D185" s="46">
        <f>D184/12</f>
        <v>6.9283333333333324E-3</v>
      </c>
    </row>
    <row r="186" spans="1:4">
      <c r="A186" s="251"/>
      <c r="B186" s="106"/>
      <c r="C186" s="106"/>
      <c r="D186" s="106"/>
    </row>
    <row r="187" spans="1:4" ht="15.75">
      <c r="A187" s="587" t="s">
        <v>289</v>
      </c>
      <c r="B187" s="106"/>
      <c r="C187" s="598" t="s">
        <v>341</v>
      </c>
      <c r="D187" s="106"/>
    </row>
    <row r="188" spans="1:4" ht="15">
      <c r="A188" s="254"/>
      <c r="B188" s="40" t="s">
        <v>39</v>
      </c>
      <c r="C188" s="40" t="s">
        <v>40</v>
      </c>
      <c r="D188" s="40" t="s">
        <v>41</v>
      </c>
    </row>
    <row r="189" spans="1:4" ht="15">
      <c r="A189" s="255" t="s">
        <v>42</v>
      </c>
      <c r="B189" s="49">
        <f>B149</f>
        <v>0.43</v>
      </c>
      <c r="C189" s="43">
        <f>C149</f>
        <v>0.06</v>
      </c>
      <c r="D189" s="43">
        <f t="shared" ref="D189:D190" si="22">D173</f>
        <v>2.58E-2</v>
      </c>
    </row>
    <row r="190" spans="1:4" ht="15">
      <c r="A190" s="255" t="s">
        <v>43</v>
      </c>
      <c r="B190" s="49">
        <f>B150</f>
        <v>0.09</v>
      </c>
      <c r="C190" s="43">
        <f>C150</f>
        <v>6.0999999999999999E-2</v>
      </c>
      <c r="D190" s="43">
        <f t="shared" si="22"/>
        <v>5.4999999999999997E-3</v>
      </c>
    </row>
    <row r="191" spans="1:4" ht="15.75" thickBot="1">
      <c r="A191" s="255" t="s">
        <v>44</v>
      </c>
      <c r="B191" s="49">
        <f>B151</f>
        <v>0.48</v>
      </c>
      <c r="C191" s="362">
        <f>C175</f>
        <v>0.108</v>
      </c>
      <c r="D191" s="362">
        <f>ROUND(B191*C191,5)</f>
        <v>5.1839999999999997E-2</v>
      </c>
    </row>
    <row r="192" spans="1:4" ht="16.5" thickTop="1" thickBot="1">
      <c r="A192" s="251"/>
      <c r="B192" s="106"/>
      <c r="C192" s="43" t="s">
        <v>45</v>
      </c>
      <c r="D192" s="44">
        <f>SUM(D189:D191)</f>
        <v>8.3139999999999992E-2</v>
      </c>
    </row>
    <row r="193" spans="1:4" ht="15.75" thickTop="1">
      <c r="A193" s="256"/>
      <c r="B193" s="41"/>
      <c r="C193" s="45" t="s">
        <v>46</v>
      </c>
      <c r="D193" s="46">
        <f>D192/12</f>
        <v>6.9283333333333324E-3</v>
      </c>
    </row>
    <row r="194" spans="1:4" ht="13.5" thickBot="1">
      <c r="A194" s="258"/>
      <c r="B194" s="259"/>
      <c r="C194" s="259"/>
      <c r="D194" s="259"/>
    </row>
  </sheetData>
  <mergeCells count="13">
    <mergeCell ref="A170:D170"/>
    <mergeCell ref="A59:D59"/>
    <mergeCell ref="A5:D5"/>
    <mergeCell ref="A31:D31"/>
    <mergeCell ref="A1:D1"/>
    <mergeCell ref="A2:D2"/>
    <mergeCell ref="A3:D3"/>
    <mergeCell ref="A4:D4"/>
    <mergeCell ref="A113:D113"/>
    <mergeCell ref="A122:D122"/>
    <mergeCell ref="A93:D93"/>
    <mergeCell ref="A146:D146"/>
    <mergeCell ref="A68:D68"/>
  </mergeCells>
  <phoneticPr fontId="4" type="noConversion"/>
  <pageMargins left="0.7" right="0.7" top="0.75" bottom="0.75" header="0.3" footer="0.3"/>
  <pageSetup scale="54" orientation="portrait" cellComments="asDisplayed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zoomScaleNormal="100" workbookViewId="0">
      <selection activeCell="A60" sqref="A60:L60"/>
    </sheetView>
  </sheetViews>
  <sheetFormatPr defaultRowHeight="12.75" outlineLevelRow="2" outlineLevelCol="1"/>
  <cols>
    <col min="1" max="1" width="5.42578125" customWidth="1"/>
    <col min="2" max="2" width="32.85546875" bestFit="1" customWidth="1"/>
    <col min="3" max="8" width="13.42578125" bestFit="1" customWidth="1"/>
    <col min="9" max="10" width="12" customWidth="1" outlineLevel="1"/>
    <col min="11" max="11" width="12" bestFit="1" customWidth="1" outlineLevel="1"/>
    <col min="12" max="12" width="12" customWidth="1" outlineLevel="1"/>
  </cols>
  <sheetData>
    <row r="1" spans="1:12" ht="15.75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</row>
    <row r="2" spans="1:12" ht="15">
      <c r="A2" s="692" t="s">
        <v>24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</row>
    <row r="3" spans="1:12" ht="15">
      <c r="A3" s="692" t="s">
        <v>25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</row>
    <row r="4" spans="1:12" ht="15.75" hidden="1" outlineLevel="2">
      <c r="A4" s="793" t="s">
        <v>37</v>
      </c>
      <c r="B4" s="794"/>
      <c r="C4" s="794"/>
      <c r="D4" s="794"/>
      <c r="E4" s="794"/>
    </row>
    <row r="5" spans="1:12" ht="20.25" hidden="1" outlineLevel="2">
      <c r="A5" s="792" t="s">
        <v>99</v>
      </c>
      <c r="B5" s="792"/>
      <c r="C5" s="792"/>
      <c r="D5" s="792"/>
      <c r="E5" s="792"/>
    </row>
    <row r="6" spans="1:12" ht="16.5" hidden="1" outlineLevel="2" thickBot="1">
      <c r="A6" s="17"/>
      <c r="B6" s="18"/>
      <c r="C6" s="2"/>
      <c r="D6" s="2"/>
      <c r="E6" s="2"/>
    </row>
    <row r="7" spans="1:12" ht="26.25" hidden="1" outlineLevel="2" thickBot="1">
      <c r="A7" s="19" t="s">
        <v>2</v>
      </c>
      <c r="B7" s="20"/>
      <c r="C7" s="21" t="s">
        <v>3</v>
      </c>
      <c r="D7" s="22" t="s">
        <v>4</v>
      </c>
      <c r="E7" s="23" t="s">
        <v>26</v>
      </c>
    </row>
    <row r="8" spans="1:12" hidden="1" outlineLevel="2"/>
    <row r="9" spans="1:12" hidden="1" outlineLevel="2"/>
    <row r="10" spans="1:12" ht="15.75" hidden="1" outlineLevel="2">
      <c r="A10" s="84">
        <v>1</v>
      </c>
      <c r="B10" s="24" t="s">
        <v>27</v>
      </c>
      <c r="C10" s="25"/>
      <c r="D10" s="2"/>
      <c r="E10" s="2"/>
    </row>
    <row r="11" spans="1:12" ht="15.75" hidden="1" outlineLevel="2">
      <c r="A11" s="84">
        <v>2</v>
      </c>
      <c r="B11" s="26" t="s">
        <v>28</v>
      </c>
      <c r="C11" s="25"/>
      <c r="D11" s="2"/>
      <c r="E11" s="2"/>
    </row>
    <row r="12" spans="1:12" ht="15" hidden="1" outlineLevel="2">
      <c r="A12" s="84">
        <v>3</v>
      </c>
      <c r="B12" s="27" t="s">
        <v>29</v>
      </c>
      <c r="C12" s="28">
        <v>4.0920000000000002E-3</v>
      </c>
      <c r="D12" s="29">
        <f>+E12</f>
        <v>4.0920000000000002E-3</v>
      </c>
      <c r="E12" s="29">
        <f>+C12</f>
        <v>4.0920000000000002E-3</v>
      </c>
    </row>
    <row r="13" spans="1:12" ht="15" hidden="1" outlineLevel="2">
      <c r="A13" s="84">
        <v>4</v>
      </c>
      <c r="B13" s="10" t="s">
        <v>30</v>
      </c>
      <c r="C13" s="30">
        <v>2.5339999999999998E-3</v>
      </c>
      <c r="D13" s="31">
        <f>+E13</f>
        <v>2.5339999999999998E-3</v>
      </c>
      <c r="E13" s="31">
        <f>+C13</f>
        <v>2.5339999999999998E-3</v>
      </c>
    </row>
    <row r="14" spans="1:12" ht="15" hidden="1" outlineLevel="2">
      <c r="A14" s="84">
        <v>5</v>
      </c>
      <c r="B14" s="32" t="s">
        <v>31</v>
      </c>
      <c r="C14" s="33">
        <f>SUM(C12:C13)</f>
        <v>6.6259999999999999E-3</v>
      </c>
      <c r="D14" s="33">
        <f>SUM(D12:D13)</f>
        <v>6.6259999999999999E-3</v>
      </c>
      <c r="E14" s="33">
        <f>SUM(E12:E13)</f>
        <v>6.6259999999999999E-3</v>
      </c>
    </row>
    <row r="15" spans="1:12" ht="15" hidden="1" outlineLevel="2">
      <c r="A15" s="84">
        <v>6</v>
      </c>
      <c r="B15" s="26" t="s">
        <v>32</v>
      </c>
      <c r="C15" s="28">
        <v>7.9347000000000001E-2</v>
      </c>
      <c r="D15" s="29">
        <f>+E15</f>
        <v>7.9347000000000001E-2</v>
      </c>
      <c r="E15" s="29">
        <f>+C15</f>
        <v>7.9347000000000001E-2</v>
      </c>
    </row>
    <row r="16" spans="1:12" ht="15" hidden="1" outlineLevel="2">
      <c r="A16" s="84">
        <v>7</v>
      </c>
      <c r="B16" s="26" t="s">
        <v>33</v>
      </c>
      <c r="C16" s="34">
        <f>C14+C15</f>
        <v>8.5972999999999994E-2</v>
      </c>
      <c r="D16" s="34">
        <f>D14+D15</f>
        <v>8.5972999999999994E-2</v>
      </c>
      <c r="E16" s="34">
        <f>E14+E15</f>
        <v>8.5972999999999994E-2</v>
      </c>
    </row>
    <row r="17" spans="1:5" ht="15" hidden="1" outlineLevel="2">
      <c r="A17" s="84">
        <v>8</v>
      </c>
      <c r="B17" s="35" t="s">
        <v>34</v>
      </c>
      <c r="C17" s="36">
        <v>0.35</v>
      </c>
      <c r="D17" s="36">
        <v>0.35</v>
      </c>
      <c r="E17" s="36">
        <v>0.35</v>
      </c>
    </row>
    <row r="18" spans="1:5" ht="15" hidden="1" outlineLevel="2">
      <c r="A18" s="84">
        <v>9</v>
      </c>
      <c r="B18" s="32" t="s">
        <v>35</v>
      </c>
      <c r="C18" s="37">
        <v>-3.0089999999999999E-2</v>
      </c>
      <c r="D18" s="37">
        <v>-3.0089999999999999E-2</v>
      </c>
      <c r="E18" s="37">
        <v>-3.0089999999999999E-2</v>
      </c>
    </row>
    <row r="19" spans="1:5" ht="15" hidden="1" outlineLevel="2">
      <c r="A19" s="84">
        <v>10</v>
      </c>
      <c r="B19" s="32" t="s">
        <v>36</v>
      </c>
      <c r="C19" s="34">
        <f>SUM(C16:C18)</f>
        <v>0.40588299999999994</v>
      </c>
      <c r="D19" s="34">
        <f>SUM(D16:D18)</f>
        <v>0.40588299999999994</v>
      </c>
      <c r="E19" s="34">
        <f>SUM(E16:E18)</f>
        <v>0.40588299999999994</v>
      </c>
    </row>
    <row r="20" spans="1:5" hidden="1" outlineLevel="2"/>
    <row r="21" spans="1:5" ht="15.75" hidden="1" outlineLevel="1">
      <c r="A21" s="793" t="s">
        <v>194</v>
      </c>
      <c r="B21" s="794"/>
      <c r="C21" s="794"/>
      <c r="D21" s="794"/>
      <c r="E21" s="794"/>
    </row>
    <row r="22" spans="1:5" ht="20.25" hidden="1" outlineLevel="1">
      <c r="A22" s="792" t="s">
        <v>99</v>
      </c>
      <c r="B22" s="792"/>
      <c r="C22" s="792"/>
      <c r="D22" s="792"/>
      <c r="E22" s="792"/>
    </row>
    <row r="23" spans="1:5" ht="16.5" hidden="1" outlineLevel="1" thickBot="1">
      <c r="A23" s="17"/>
      <c r="B23" s="18"/>
      <c r="C23" s="2"/>
      <c r="D23" s="2"/>
      <c r="E23" s="2"/>
    </row>
    <row r="24" spans="1:5" ht="26.25" hidden="1" outlineLevel="1" thickBot="1">
      <c r="A24" s="19" t="s">
        <v>2</v>
      </c>
      <c r="B24" s="20"/>
      <c r="C24" s="21" t="s">
        <v>3</v>
      </c>
      <c r="D24" s="22" t="s">
        <v>4</v>
      </c>
      <c r="E24" s="23" t="s">
        <v>26</v>
      </c>
    </row>
    <row r="25" spans="1:5" hidden="1" outlineLevel="1"/>
    <row r="26" spans="1:5" hidden="1" outlineLevel="1"/>
    <row r="27" spans="1:5" ht="15.75" hidden="1" outlineLevel="1">
      <c r="A27" s="84">
        <v>1</v>
      </c>
      <c r="B27" s="24" t="s">
        <v>27</v>
      </c>
      <c r="C27" s="25"/>
      <c r="D27" s="2"/>
      <c r="E27" s="2"/>
    </row>
    <row r="28" spans="1:5" ht="15.75" hidden="1" outlineLevel="1">
      <c r="A28" s="84">
        <v>2</v>
      </c>
      <c r="B28" s="26" t="s">
        <v>28</v>
      </c>
      <c r="C28" s="25"/>
      <c r="D28" s="2"/>
      <c r="E28" s="2"/>
    </row>
    <row r="29" spans="1:5" ht="15" hidden="1" outlineLevel="1">
      <c r="A29" s="84">
        <v>3</v>
      </c>
      <c r="B29" s="27" t="s">
        <v>29</v>
      </c>
      <c r="C29" s="28">
        <v>1.60264E-3</v>
      </c>
      <c r="D29" s="29">
        <f>+E29</f>
        <v>1.60264E-3</v>
      </c>
      <c r="E29" s="29">
        <f>+C29</f>
        <v>1.60264E-3</v>
      </c>
    </row>
    <row r="30" spans="1:5" ht="15" hidden="1" outlineLevel="1">
      <c r="A30" s="84">
        <v>4</v>
      </c>
      <c r="B30" s="10" t="s">
        <v>30</v>
      </c>
      <c r="C30" s="30">
        <v>7.6000000000000004E-4</v>
      </c>
      <c r="D30" s="31">
        <f>+E30</f>
        <v>7.6000000000000004E-4</v>
      </c>
      <c r="E30" s="31">
        <f>+C30</f>
        <v>7.6000000000000004E-4</v>
      </c>
    </row>
    <row r="31" spans="1:5" ht="15" hidden="1" outlineLevel="1">
      <c r="A31" s="84">
        <v>5</v>
      </c>
      <c r="B31" s="32" t="s">
        <v>31</v>
      </c>
      <c r="C31" s="33">
        <f>SUM(C29:C30)</f>
        <v>2.3626400000000001E-3</v>
      </c>
      <c r="D31" s="33">
        <f>SUM(D29:D30)</f>
        <v>2.3626400000000001E-3</v>
      </c>
      <c r="E31" s="33">
        <f>SUM(E29:E30)</f>
        <v>2.3626400000000001E-3</v>
      </c>
    </row>
    <row r="32" spans="1:5" ht="15" hidden="1" outlineLevel="1">
      <c r="A32" s="84">
        <v>6</v>
      </c>
      <c r="B32" s="26" t="s">
        <v>32</v>
      </c>
      <c r="C32" s="28">
        <v>8.4868129299999998E-2</v>
      </c>
      <c r="D32" s="29">
        <f>+E32</f>
        <v>8.4868129299999998E-2</v>
      </c>
      <c r="E32" s="29">
        <f>+C32</f>
        <v>8.4868129299999998E-2</v>
      </c>
    </row>
    <row r="33" spans="1:8" ht="15" hidden="1" outlineLevel="1">
      <c r="A33" s="84">
        <v>7</v>
      </c>
      <c r="B33" s="26" t="s">
        <v>33</v>
      </c>
      <c r="C33" s="34">
        <f>C31+C32</f>
        <v>8.7230769299999997E-2</v>
      </c>
      <c r="D33" s="34">
        <f>D31+D32</f>
        <v>8.7230769299999997E-2</v>
      </c>
      <c r="E33" s="34">
        <f>E31+E32</f>
        <v>8.7230769299999997E-2</v>
      </c>
    </row>
    <row r="34" spans="1:8" ht="15" hidden="1" outlineLevel="1">
      <c r="A34" s="84">
        <v>8</v>
      </c>
      <c r="B34" s="35" t="s">
        <v>34</v>
      </c>
      <c r="C34" s="36">
        <v>0.35</v>
      </c>
      <c r="D34" s="36">
        <v>0.35</v>
      </c>
      <c r="E34" s="36">
        <v>0.35</v>
      </c>
    </row>
    <row r="35" spans="1:8" ht="15" hidden="1" outlineLevel="1">
      <c r="A35" s="84">
        <v>9</v>
      </c>
      <c r="B35" s="32" t="s">
        <v>35</v>
      </c>
      <c r="C35" s="37">
        <v>-3.0530999999999999E-2</v>
      </c>
      <c r="D35" s="37">
        <v>-3.0530999999999999E-2</v>
      </c>
      <c r="E35" s="37">
        <v>-3.0530999999999999E-2</v>
      </c>
    </row>
    <row r="36" spans="1:8" ht="15" hidden="1" outlineLevel="1">
      <c r="A36" s="84">
        <v>10</v>
      </c>
      <c r="B36" s="32" t="s">
        <v>36</v>
      </c>
      <c r="C36" s="34">
        <f>SUM(C33:C35)</f>
        <v>0.40669976930000001</v>
      </c>
      <c r="D36" s="34">
        <f>SUM(D33:D35)</f>
        <v>0.40669976930000001</v>
      </c>
      <c r="E36" s="34">
        <f>SUM(E33:E35)</f>
        <v>0.40669976930000001</v>
      </c>
    </row>
    <row r="37" spans="1:8" hidden="1" outlineLevel="1"/>
    <row r="38" spans="1:8" hidden="1" outlineLevel="1"/>
    <row r="39" spans="1:8" ht="15.75" hidden="1" outlineLevel="2">
      <c r="A39" s="793" t="s">
        <v>232</v>
      </c>
      <c r="B39" s="793"/>
      <c r="C39" s="793"/>
      <c r="D39" s="793"/>
      <c r="E39" s="793"/>
      <c r="F39" s="793"/>
      <c r="G39" s="793"/>
      <c r="H39" s="793"/>
    </row>
    <row r="40" spans="1:8" ht="20.25" hidden="1" outlineLevel="2">
      <c r="A40" s="792" t="s">
        <v>99</v>
      </c>
      <c r="B40" s="792"/>
      <c r="C40" s="792"/>
      <c r="D40" s="792"/>
      <c r="E40" s="792"/>
      <c r="F40" s="792"/>
      <c r="G40" s="792"/>
      <c r="H40" s="792"/>
    </row>
    <row r="41" spans="1:8" ht="16.5" hidden="1" outlineLevel="2" thickBot="1">
      <c r="A41" s="17"/>
      <c r="B41" s="18"/>
      <c r="C41" s="2"/>
      <c r="D41" s="2"/>
      <c r="E41" s="2"/>
    </row>
    <row r="42" spans="1:8" ht="26.25" hidden="1" outlineLevel="2" thickBot="1">
      <c r="A42" s="19" t="s">
        <v>2</v>
      </c>
      <c r="B42" s="20"/>
      <c r="C42" s="21" t="s">
        <v>3</v>
      </c>
      <c r="D42" s="22" t="s">
        <v>4</v>
      </c>
      <c r="E42" s="23" t="s">
        <v>26</v>
      </c>
      <c r="F42" s="404" t="s">
        <v>266</v>
      </c>
      <c r="G42" s="22" t="s">
        <v>251</v>
      </c>
      <c r="H42" s="23" t="s">
        <v>252</v>
      </c>
    </row>
    <row r="43" spans="1:8" hidden="1" outlineLevel="2"/>
    <row r="44" spans="1:8" hidden="1" outlineLevel="2"/>
    <row r="45" spans="1:8" ht="15.75" hidden="1" outlineLevel="2">
      <c r="A45" s="84">
        <v>1</v>
      </c>
      <c r="B45" s="24" t="s">
        <v>27</v>
      </c>
      <c r="C45" s="25"/>
      <c r="D45" s="2"/>
      <c r="E45" s="2"/>
      <c r="F45" s="25"/>
      <c r="G45" s="2"/>
      <c r="H45" s="2"/>
    </row>
    <row r="46" spans="1:8" ht="15.75" hidden="1" outlineLevel="2">
      <c r="A46" s="84">
        <v>2</v>
      </c>
      <c r="B46" s="26" t="s">
        <v>28</v>
      </c>
      <c r="C46" s="25"/>
      <c r="D46" s="2"/>
      <c r="E46" s="2"/>
      <c r="F46" s="25"/>
      <c r="G46" s="2"/>
      <c r="H46" s="2"/>
    </row>
    <row r="47" spans="1:8" ht="15" hidden="1" outlineLevel="2">
      <c r="A47" s="84">
        <v>3</v>
      </c>
      <c r="B47" s="27" t="s">
        <v>29</v>
      </c>
      <c r="C47" s="28">
        <v>1.57E-3</v>
      </c>
      <c r="D47" s="29">
        <f>+C47</f>
        <v>1.57E-3</v>
      </c>
      <c r="E47" s="29">
        <f>+C47</f>
        <v>1.57E-3</v>
      </c>
      <c r="F47" s="29">
        <f>+C47</f>
        <v>1.57E-3</v>
      </c>
      <c r="G47" s="29">
        <f>+C47</f>
        <v>1.57E-3</v>
      </c>
      <c r="H47" s="29">
        <f>+C47</f>
        <v>1.57E-3</v>
      </c>
    </row>
    <row r="48" spans="1:8" ht="15" hidden="1" outlineLevel="2">
      <c r="A48" s="84">
        <v>4</v>
      </c>
      <c r="B48" s="10" t="s">
        <v>30</v>
      </c>
      <c r="C48" s="311">
        <v>7.2000000000000005E-4</v>
      </c>
      <c r="D48" s="33">
        <f>+C48</f>
        <v>7.2000000000000005E-4</v>
      </c>
      <c r="E48" s="33">
        <f>+C48</f>
        <v>7.2000000000000005E-4</v>
      </c>
      <c r="F48" s="33">
        <f>+C48</f>
        <v>7.2000000000000005E-4</v>
      </c>
      <c r="G48" s="33">
        <f>+C48</f>
        <v>7.2000000000000005E-4</v>
      </c>
      <c r="H48" s="33">
        <f>+C48</f>
        <v>7.2000000000000005E-4</v>
      </c>
    </row>
    <row r="49" spans="1:12" ht="15" hidden="1" outlineLevel="2">
      <c r="A49" s="84">
        <v>5</v>
      </c>
      <c r="B49" s="10" t="s">
        <v>233</v>
      </c>
      <c r="C49" s="30">
        <v>6.0000000000000002E-5</v>
      </c>
      <c r="D49" s="31">
        <f>+C49</f>
        <v>6.0000000000000002E-5</v>
      </c>
      <c r="E49" s="31">
        <f>+C49</f>
        <v>6.0000000000000002E-5</v>
      </c>
      <c r="F49" s="31">
        <f t="shared" ref="F49" si="0">+E49</f>
        <v>6.0000000000000002E-5</v>
      </c>
      <c r="G49" s="31">
        <f t="shared" ref="G49" si="1">+E49</f>
        <v>6.0000000000000002E-5</v>
      </c>
      <c r="H49" s="31">
        <f t="shared" ref="H49" si="2">+G49</f>
        <v>6.0000000000000002E-5</v>
      </c>
    </row>
    <row r="50" spans="1:12" ht="15" hidden="1" outlineLevel="2">
      <c r="A50" s="84">
        <v>6</v>
      </c>
      <c r="B50" s="32" t="s">
        <v>31</v>
      </c>
      <c r="C50" s="33">
        <f t="shared" ref="C50:H50" si="3">SUM(C47:C49)</f>
        <v>2.3500000000000001E-3</v>
      </c>
      <c r="D50" s="33">
        <f t="shared" si="3"/>
        <v>2.3500000000000001E-3</v>
      </c>
      <c r="E50" s="33">
        <f t="shared" si="3"/>
        <v>2.3500000000000001E-3</v>
      </c>
      <c r="F50" s="33">
        <f t="shared" si="3"/>
        <v>2.3500000000000001E-3</v>
      </c>
      <c r="G50" s="33">
        <f t="shared" si="3"/>
        <v>2.3500000000000001E-3</v>
      </c>
      <c r="H50" s="33">
        <f t="shared" si="3"/>
        <v>2.3500000000000001E-3</v>
      </c>
    </row>
    <row r="51" spans="1:12" ht="15" hidden="1" outlineLevel="2">
      <c r="A51" s="84">
        <v>7</v>
      </c>
      <c r="B51" s="26" t="s">
        <v>32</v>
      </c>
      <c r="C51" s="28">
        <v>8.5599999999999996E-2</v>
      </c>
      <c r="D51" s="29">
        <f>+E51</f>
        <v>8.5599999999999996E-2</v>
      </c>
      <c r="E51" s="29">
        <f>+C51</f>
        <v>8.5599999999999996E-2</v>
      </c>
      <c r="F51" s="29">
        <v>8.5599999999999996E-2</v>
      </c>
      <c r="G51" s="29">
        <f>+H51</f>
        <v>8.5599999999999996E-2</v>
      </c>
      <c r="H51" s="29">
        <f>+F51</f>
        <v>8.5599999999999996E-2</v>
      </c>
    </row>
    <row r="52" spans="1:12" ht="15" hidden="1" outlineLevel="2">
      <c r="A52" s="84">
        <v>8</v>
      </c>
      <c r="B52" s="26" t="s">
        <v>33</v>
      </c>
      <c r="C52" s="34">
        <f t="shared" ref="C52:H52" si="4">C50+C51</f>
        <v>8.795E-2</v>
      </c>
      <c r="D52" s="34">
        <f t="shared" si="4"/>
        <v>8.795E-2</v>
      </c>
      <c r="E52" s="34">
        <f t="shared" si="4"/>
        <v>8.795E-2</v>
      </c>
      <c r="F52" s="34">
        <f t="shared" si="4"/>
        <v>8.795E-2</v>
      </c>
      <c r="G52" s="34">
        <f t="shared" si="4"/>
        <v>8.795E-2</v>
      </c>
      <c r="H52" s="34">
        <f t="shared" si="4"/>
        <v>8.795E-2</v>
      </c>
    </row>
    <row r="53" spans="1:12" ht="15" hidden="1" outlineLevel="2">
      <c r="A53" s="84">
        <v>9</v>
      </c>
      <c r="B53" s="35" t="s">
        <v>34</v>
      </c>
      <c r="C53" s="36">
        <v>0.35</v>
      </c>
      <c r="D53" s="36">
        <v>0.35</v>
      </c>
      <c r="E53" s="36">
        <v>0.35</v>
      </c>
      <c r="F53" s="36">
        <v>0.35</v>
      </c>
      <c r="G53" s="36">
        <v>0.35</v>
      </c>
      <c r="H53" s="36">
        <v>0.35</v>
      </c>
    </row>
    <row r="54" spans="1:12" ht="15" hidden="1" outlineLevel="2">
      <c r="A54" s="84">
        <v>10</v>
      </c>
      <c r="B54" s="32" t="s">
        <v>35</v>
      </c>
      <c r="C54" s="37">
        <v>-3.0779999999999998E-2</v>
      </c>
      <c r="D54" s="37">
        <v>-3.0779999999999998E-2</v>
      </c>
      <c r="E54" s="37">
        <v>-3.0779999999999998E-2</v>
      </c>
      <c r="F54" s="37">
        <v>-3.0779999999999998E-2</v>
      </c>
      <c r="G54" s="37">
        <v>-3.0779999999999998E-2</v>
      </c>
      <c r="H54" s="37">
        <v>-3.0779999999999998E-2</v>
      </c>
    </row>
    <row r="55" spans="1:12" ht="15" hidden="1" outlineLevel="2">
      <c r="A55" s="84">
        <v>11</v>
      </c>
      <c r="B55" s="32" t="s">
        <v>36</v>
      </c>
      <c r="C55" s="312">
        <f t="shared" ref="C55:H55" si="5">SUM(C52:C54)</f>
        <v>0.40716999999999998</v>
      </c>
      <c r="D55" s="312">
        <f t="shared" si="5"/>
        <v>0.40716999999999998</v>
      </c>
      <c r="E55" s="312">
        <f t="shared" si="5"/>
        <v>0.40716999999999998</v>
      </c>
      <c r="F55" s="312">
        <f t="shared" si="5"/>
        <v>0.40716999999999998</v>
      </c>
      <c r="G55" s="312">
        <f t="shared" si="5"/>
        <v>0.40716999999999998</v>
      </c>
      <c r="H55" s="312">
        <f t="shared" si="5"/>
        <v>0.40716999999999998</v>
      </c>
    </row>
    <row r="56" spans="1:12" ht="15" hidden="1" outlineLevel="2">
      <c r="A56" s="313">
        <v>12</v>
      </c>
      <c r="B56" s="32" t="s">
        <v>234</v>
      </c>
      <c r="C56" s="33">
        <f t="shared" ref="C56:H56" si="6">ROUND(SUM(C52:C54),4)</f>
        <v>0.40720000000000001</v>
      </c>
      <c r="D56" s="33">
        <f t="shared" si="6"/>
        <v>0.40720000000000001</v>
      </c>
      <c r="E56" s="33">
        <f t="shared" si="6"/>
        <v>0.40720000000000001</v>
      </c>
      <c r="F56" s="33">
        <f t="shared" si="6"/>
        <v>0.40720000000000001</v>
      </c>
      <c r="G56" s="33">
        <f t="shared" si="6"/>
        <v>0.40720000000000001</v>
      </c>
      <c r="H56" s="33">
        <f t="shared" si="6"/>
        <v>0.40720000000000001</v>
      </c>
    </row>
    <row r="57" spans="1:12" hidden="1" outlineLevel="1"/>
    <row r="58" spans="1:12" collapsed="1"/>
    <row r="59" spans="1:12" ht="15.75">
      <c r="A59" s="793" t="s">
        <v>275</v>
      </c>
      <c r="B59" s="793"/>
      <c r="C59" s="793"/>
      <c r="D59" s="793"/>
      <c r="E59" s="793"/>
      <c r="F59" s="793"/>
      <c r="G59" s="793"/>
      <c r="H59" s="793"/>
      <c r="I59" s="793"/>
      <c r="J59" s="793"/>
      <c r="K59" s="793"/>
      <c r="L59" s="793"/>
    </row>
    <row r="60" spans="1:12" ht="20.25">
      <c r="A60" s="792" t="s">
        <v>99</v>
      </c>
      <c r="B60" s="792"/>
      <c r="C60" s="792"/>
      <c r="D60" s="792"/>
      <c r="E60" s="792"/>
      <c r="F60" s="792"/>
      <c r="G60" s="792"/>
      <c r="H60" s="792"/>
      <c r="I60" s="792"/>
      <c r="J60" s="792"/>
      <c r="K60" s="792"/>
      <c r="L60" s="792"/>
    </row>
    <row r="61" spans="1:12" ht="16.5" thickBot="1">
      <c r="A61" s="17"/>
      <c r="B61" s="18"/>
      <c r="C61" s="2"/>
      <c r="D61" s="2"/>
      <c r="E61" s="2"/>
    </row>
    <row r="62" spans="1:12" ht="26.25" thickBot="1">
      <c r="A62" s="19" t="s">
        <v>2</v>
      </c>
      <c r="B62" s="20"/>
      <c r="C62" s="21" t="s">
        <v>3</v>
      </c>
      <c r="D62" s="22" t="s">
        <v>4</v>
      </c>
      <c r="E62" s="23" t="s">
        <v>26</v>
      </c>
      <c r="F62" s="404" t="s">
        <v>266</v>
      </c>
      <c r="G62" s="22" t="s">
        <v>251</v>
      </c>
      <c r="H62" s="23" t="s">
        <v>252</v>
      </c>
      <c r="I62" s="590" t="s">
        <v>286</v>
      </c>
      <c r="J62" s="591" t="s">
        <v>287</v>
      </c>
      <c r="K62" s="592" t="s">
        <v>298</v>
      </c>
      <c r="L62" s="590" t="s">
        <v>299</v>
      </c>
    </row>
    <row r="65" spans="1:12" ht="15.75">
      <c r="A65" s="84">
        <v>1</v>
      </c>
      <c r="B65" s="24" t="s">
        <v>27</v>
      </c>
      <c r="C65" s="25"/>
      <c r="D65" s="2"/>
      <c r="E65" s="2"/>
      <c r="F65" s="25"/>
      <c r="G65" s="2"/>
      <c r="H65" s="2"/>
      <c r="I65" s="2"/>
      <c r="J65" s="25"/>
      <c r="K65" s="2"/>
      <c r="L65" s="2"/>
    </row>
    <row r="66" spans="1:12" ht="15.75">
      <c r="A66" s="84">
        <v>2</v>
      </c>
      <c r="B66" s="26" t="s">
        <v>28</v>
      </c>
      <c r="C66" s="25"/>
      <c r="D66" s="2"/>
      <c r="E66" s="2"/>
      <c r="F66" s="25"/>
      <c r="G66" s="2"/>
      <c r="H66" s="2"/>
      <c r="I66" s="2"/>
      <c r="J66" s="25"/>
      <c r="K66" s="2"/>
      <c r="L66" s="2"/>
    </row>
    <row r="67" spans="1:12" ht="15">
      <c r="A67" s="84">
        <v>3</v>
      </c>
      <c r="B67" s="27" t="s">
        <v>29</v>
      </c>
      <c r="C67" s="556">
        <v>2.5699999999999998E-3</v>
      </c>
      <c r="D67" s="557">
        <f>+C67</f>
        <v>2.5699999999999998E-3</v>
      </c>
      <c r="E67" s="557">
        <f>+C67</f>
        <v>2.5699999999999998E-3</v>
      </c>
      <c r="F67" s="557">
        <f>+C67</f>
        <v>2.5699999999999998E-3</v>
      </c>
      <c r="G67" s="557">
        <f>+C67</f>
        <v>2.5699999999999998E-3</v>
      </c>
      <c r="H67" s="557">
        <f>+C67</f>
        <v>2.5699999999999998E-3</v>
      </c>
      <c r="I67" s="557">
        <f>+G67</f>
        <v>2.5699999999999998E-3</v>
      </c>
      <c r="J67" s="557">
        <f>+G67</f>
        <v>2.5699999999999998E-3</v>
      </c>
      <c r="K67" s="557">
        <f>+G67</f>
        <v>2.5699999999999998E-3</v>
      </c>
      <c r="L67" s="557">
        <f>+G67</f>
        <v>2.5699999999999998E-3</v>
      </c>
    </row>
    <row r="68" spans="1:12" ht="15">
      <c r="A68" s="84">
        <v>4</v>
      </c>
      <c r="B68" s="10" t="s">
        <v>30</v>
      </c>
      <c r="C68" s="558">
        <v>3.1E-4</v>
      </c>
      <c r="D68" s="559">
        <f>+C68</f>
        <v>3.1E-4</v>
      </c>
      <c r="E68" s="559">
        <f>+C68</f>
        <v>3.1E-4</v>
      </c>
      <c r="F68" s="559">
        <f>+C68</f>
        <v>3.1E-4</v>
      </c>
      <c r="G68" s="559">
        <f>+C68</f>
        <v>3.1E-4</v>
      </c>
      <c r="H68" s="559">
        <f>+C68</f>
        <v>3.1E-4</v>
      </c>
      <c r="I68" s="559">
        <f>+G68</f>
        <v>3.1E-4</v>
      </c>
      <c r="J68" s="559">
        <f>+G68</f>
        <v>3.1E-4</v>
      </c>
      <c r="K68" s="559">
        <f>+G68</f>
        <v>3.1E-4</v>
      </c>
      <c r="L68" s="559">
        <f>+G68</f>
        <v>3.1E-4</v>
      </c>
    </row>
    <row r="69" spans="1:12" ht="15">
      <c r="A69" s="84">
        <v>5</v>
      </c>
      <c r="B69" s="10" t="s">
        <v>233</v>
      </c>
      <c r="C69" s="560">
        <v>1.0000000000000001E-5</v>
      </c>
      <c r="D69" s="561">
        <f>+C69</f>
        <v>1.0000000000000001E-5</v>
      </c>
      <c r="E69" s="561">
        <f>+C69</f>
        <v>1.0000000000000001E-5</v>
      </c>
      <c r="F69" s="561">
        <f>+C69</f>
        <v>1.0000000000000001E-5</v>
      </c>
      <c r="G69" s="561">
        <f>+C69</f>
        <v>1.0000000000000001E-5</v>
      </c>
      <c r="H69" s="561">
        <f>+C69</f>
        <v>1.0000000000000001E-5</v>
      </c>
      <c r="I69" s="561">
        <f>+G69</f>
        <v>1.0000000000000001E-5</v>
      </c>
      <c r="J69" s="561">
        <f>+G69</f>
        <v>1.0000000000000001E-5</v>
      </c>
      <c r="K69" s="561">
        <f>+G69</f>
        <v>1.0000000000000001E-5</v>
      </c>
      <c r="L69" s="561">
        <f>+G69</f>
        <v>1.0000000000000001E-5</v>
      </c>
    </row>
    <row r="70" spans="1:12" ht="15">
      <c r="A70" s="84">
        <v>6</v>
      </c>
      <c r="B70" s="32" t="s">
        <v>31</v>
      </c>
      <c r="C70" s="559">
        <f t="shared" ref="C70:H70" si="7">SUM(C67:C69)</f>
        <v>2.8899999999999998E-3</v>
      </c>
      <c r="D70" s="559">
        <f t="shared" si="7"/>
        <v>2.8899999999999998E-3</v>
      </c>
      <c r="E70" s="559">
        <f t="shared" si="7"/>
        <v>2.8899999999999998E-3</v>
      </c>
      <c r="F70" s="559">
        <f t="shared" si="7"/>
        <v>2.8899999999999998E-3</v>
      </c>
      <c r="G70" s="559">
        <f t="shared" si="7"/>
        <v>2.8899999999999998E-3</v>
      </c>
      <c r="H70" s="559">
        <f t="shared" si="7"/>
        <v>2.8899999999999998E-3</v>
      </c>
      <c r="I70" s="559">
        <f t="shared" ref="I70:L70" si="8">SUM(I67:I69)</f>
        <v>2.8899999999999998E-3</v>
      </c>
      <c r="J70" s="559">
        <f t="shared" si="8"/>
        <v>2.8899999999999998E-3</v>
      </c>
      <c r="K70" s="559">
        <f t="shared" si="8"/>
        <v>2.8899999999999998E-3</v>
      </c>
      <c r="L70" s="559">
        <f t="shared" si="8"/>
        <v>2.8899999999999998E-3</v>
      </c>
    </row>
    <row r="71" spans="1:12" ht="15">
      <c r="A71" s="84">
        <v>7</v>
      </c>
      <c r="B71" s="26" t="s">
        <v>32</v>
      </c>
      <c r="C71" s="556">
        <v>8.5440000000000002E-2</v>
      </c>
      <c r="D71" s="557">
        <f>+C71</f>
        <v>8.5440000000000002E-2</v>
      </c>
      <c r="E71" s="557">
        <f>+C71</f>
        <v>8.5440000000000002E-2</v>
      </c>
      <c r="F71" s="557">
        <f>C71</f>
        <v>8.5440000000000002E-2</v>
      </c>
      <c r="G71" s="557">
        <f>+C71</f>
        <v>8.5440000000000002E-2</v>
      </c>
      <c r="H71" s="557">
        <f>+C71</f>
        <v>8.5440000000000002E-2</v>
      </c>
      <c r="I71" s="557">
        <f>+G71</f>
        <v>8.5440000000000002E-2</v>
      </c>
      <c r="J71" s="557">
        <f>G71</f>
        <v>8.5440000000000002E-2</v>
      </c>
      <c r="K71" s="557">
        <f>+G71</f>
        <v>8.5440000000000002E-2</v>
      </c>
      <c r="L71" s="557">
        <f>+G71</f>
        <v>8.5440000000000002E-2</v>
      </c>
    </row>
    <row r="72" spans="1:12" ht="15">
      <c r="A72" s="84">
        <v>8</v>
      </c>
      <c r="B72" s="26" t="s">
        <v>33</v>
      </c>
      <c r="C72" s="562">
        <f t="shared" ref="C72:H72" si="9">SUM(C70:C71)</f>
        <v>8.8330000000000006E-2</v>
      </c>
      <c r="D72" s="562">
        <f t="shared" si="9"/>
        <v>8.8330000000000006E-2</v>
      </c>
      <c r="E72" s="562">
        <f t="shared" si="9"/>
        <v>8.8330000000000006E-2</v>
      </c>
      <c r="F72" s="562">
        <f t="shared" si="9"/>
        <v>8.8330000000000006E-2</v>
      </c>
      <c r="G72" s="562">
        <f t="shared" si="9"/>
        <v>8.8330000000000006E-2</v>
      </c>
      <c r="H72" s="562">
        <f t="shared" si="9"/>
        <v>8.8330000000000006E-2</v>
      </c>
      <c r="I72" s="562">
        <f t="shared" ref="I72:L72" si="10">SUM(I70:I71)</f>
        <v>8.8330000000000006E-2</v>
      </c>
      <c r="J72" s="562">
        <f t="shared" si="10"/>
        <v>8.8330000000000006E-2</v>
      </c>
      <c r="K72" s="562">
        <f t="shared" si="10"/>
        <v>8.8330000000000006E-2</v>
      </c>
      <c r="L72" s="562">
        <f t="shared" si="10"/>
        <v>8.8330000000000006E-2</v>
      </c>
    </row>
    <row r="73" spans="1:12" ht="15">
      <c r="A73" s="84">
        <v>9</v>
      </c>
      <c r="B73" s="35" t="s">
        <v>34</v>
      </c>
      <c r="C73" s="563">
        <v>0.35</v>
      </c>
      <c r="D73" s="564">
        <f>+C73</f>
        <v>0.35</v>
      </c>
      <c r="E73" s="564">
        <f>+C73</f>
        <v>0.35</v>
      </c>
      <c r="F73" s="564">
        <f>+C73</f>
        <v>0.35</v>
      </c>
      <c r="G73" s="564">
        <f>+C73</f>
        <v>0.35</v>
      </c>
      <c r="H73" s="564">
        <f>+C73</f>
        <v>0.35</v>
      </c>
      <c r="I73" s="564">
        <f>+G73</f>
        <v>0.35</v>
      </c>
      <c r="J73" s="564">
        <f>+G73</f>
        <v>0.35</v>
      </c>
      <c r="K73" s="564">
        <f>+G73</f>
        <v>0.35</v>
      </c>
      <c r="L73" s="564">
        <f>+G73</f>
        <v>0.35</v>
      </c>
    </row>
    <row r="74" spans="1:12" ht="15">
      <c r="A74" s="84">
        <v>10</v>
      </c>
      <c r="B74" s="32" t="s">
        <v>35</v>
      </c>
      <c r="C74" s="565">
        <v>-3.091E-2</v>
      </c>
      <c r="D74" s="566">
        <f>C74</f>
        <v>-3.091E-2</v>
      </c>
      <c r="E74" s="566">
        <f>C74</f>
        <v>-3.091E-2</v>
      </c>
      <c r="F74" s="566">
        <f>C74</f>
        <v>-3.091E-2</v>
      </c>
      <c r="G74" s="566">
        <f>C74</f>
        <v>-3.091E-2</v>
      </c>
      <c r="H74" s="566">
        <f>C74</f>
        <v>-3.091E-2</v>
      </c>
      <c r="I74" s="566">
        <f>G74</f>
        <v>-3.091E-2</v>
      </c>
      <c r="J74" s="566">
        <f>G74</f>
        <v>-3.091E-2</v>
      </c>
      <c r="K74" s="566">
        <f>G74</f>
        <v>-3.091E-2</v>
      </c>
      <c r="L74" s="566">
        <f>G74</f>
        <v>-3.091E-2</v>
      </c>
    </row>
    <row r="75" spans="1:12" ht="15">
      <c r="A75" s="84">
        <v>11</v>
      </c>
      <c r="B75" s="32" t="s">
        <v>36</v>
      </c>
      <c r="C75" s="562">
        <f t="shared" ref="C75:H75" si="11">SUM(C72:C74)</f>
        <v>0.40742</v>
      </c>
      <c r="D75" s="562">
        <f t="shared" si="11"/>
        <v>0.40742</v>
      </c>
      <c r="E75" s="562">
        <f t="shared" si="11"/>
        <v>0.40742</v>
      </c>
      <c r="F75" s="562">
        <f t="shared" si="11"/>
        <v>0.40742</v>
      </c>
      <c r="G75" s="562">
        <f t="shared" si="11"/>
        <v>0.40742</v>
      </c>
      <c r="H75" s="562">
        <f t="shared" si="11"/>
        <v>0.40742</v>
      </c>
      <c r="I75" s="562">
        <f t="shared" ref="I75:L75" si="12">SUM(I72:I74)</f>
        <v>0.40742</v>
      </c>
      <c r="J75" s="562">
        <f t="shared" si="12"/>
        <v>0.40742</v>
      </c>
      <c r="K75" s="562">
        <f t="shared" si="12"/>
        <v>0.40742</v>
      </c>
      <c r="L75" s="562">
        <f t="shared" si="12"/>
        <v>0.40742</v>
      </c>
    </row>
    <row r="76" spans="1:12" ht="15">
      <c r="A76" s="313">
        <v>12</v>
      </c>
      <c r="B76" s="32" t="s">
        <v>234</v>
      </c>
      <c r="C76" s="559">
        <f t="shared" ref="C76:H76" si="13">ROUND(SUM(C72:C74),4)</f>
        <v>0.40739999999999998</v>
      </c>
      <c r="D76" s="559">
        <f t="shared" si="13"/>
        <v>0.40739999999999998</v>
      </c>
      <c r="E76" s="559">
        <f t="shared" si="13"/>
        <v>0.40739999999999998</v>
      </c>
      <c r="F76" s="559">
        <f t="shared" si="13"/>
        <v>0.40739999999999998</v>
      </c>
      <c r="G76" s="559">
        <f t="shared" si="13"/>
        <v>0.40739999999999998</v>
      </c>
      <c r="H76" s="559">
        <f t="shared" si="13"/>
        <v>0.40739999999999998</v>
      </c>
      <c r="I76" s="559">
        <f t="shared" ref="I76:L76" si="14">ROUND(SUM(I72:I74),4)</f>
        <v>0.40739999999999998</v>
      </c>
      <c r="J76" s="559">
        <f t="shared" si="14"/>
        <v>0.40739999999999998</v>
      </c>
      <c r="K76" s="559">
        <f t="shared" si="14"/>
        <v>0.40739999999999998</v>
      </c>
      <c r="L76" s="559">
        <f t="shared" si="14"/>
        <v>0.40739999999999998</v>
      </c>
    </row>
  </sheetData>
  <mergeCells count="11">
    <mergeCell ref="A1:L1"/>
    <mergeCell ref="A2:L2"/>
    <mergeCell ref="A3:L3"/>
    <mergeCell ref="A21:E21"/>
    <mergeCell ref="A22:E22"/>
    <mergeCell ref="A5:E5"/>
    <mergeCell ref="A40:H40"/>
    <mergeCell ref="A59:L59"/>
    <mergeCell ref="A60:L60"/>
    <mergeCell ref="A4:E4"/>
    <mergeCell ref="A39:H39"/>
  </mergeCells>
  <phoneticPr fontId="4" type="noConversion"/>
  <printOptions horizontalCentered="1"/>
  <pageMargins left="0.75" right="0.75" top="1" bottom="1" header="0.5" footer="0.5"/>
  <pageSetup scale="74" orientation="landscape" r:id="rId1"/>
  <headerFooter alignWithMargins="0">
    <oddHeader>&amp;RAttachment 4
WP-Schedule 3
CWIP Balancing Acct 12-31-11 Balance
&amp;P of &amp;N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2"/>
    <pageSetUpPr fitToPage="1"/>
  </sheetPr>
  <dimension ref="A1:BE63"/>
  <sheetViews>
    <sheetView zoomScale="90" zoomScaleNormal="90" zoomScaleSheetLayoutView="80" workbookViewId="0">
      <pane xSplit="1" ySplit="6" topLeftCell="AI7" activePane="bottomRight" state="frozen"/>
      <selection activeCell="N41" sqref="N41"/>
      <selection pane="topRight" activeCell="N41" sqref="N41"/>
      <selection pane="bottomLeft" activeCell="N41" sqref="N41"/>
      <selection pane="bottomRight" activeCell="AH24" sqref="AH24"/>
    </sheetView>
  </sheetViews>
  <sheetFormatPr defaultRowHeight="12.75" outlineLevelCol="2"/>
  <cols>
    <col min="1" max="1" width="38.28515625" bestFit="1" customWidth="1"/>
    <col min="2" max="2" width="10" hidden="1" customWidth="1" outlineLevel="1"/>
    <col min="3" max="3" width="10.28515625" hidden="1" customWidth="1" outlineLevel="1"/>
    <col min="4" max="4" width="11" style="60" hidden="1" customWidth="1" outlineLevel="1" collapsed="1"/>
    <col min="5" max="6" width="11" style="60" hidden="1" customWidth="1" outlineLevel="1"/>
    <col min="7" max="9" width="11" hidden="1" customWidth="1" outlineLevel="1"/>
    <col min="10" max="10" width="12.42578125" hidden="1" customWidth="1" outlineLevel="1"/>
    <col min="11" max="13" width="12.28515625" hidden="1" customWidth="1" outlineLevel="1"/>
    <col min="14" max="14" width="12.28515625" hidden="1" customWidth="1" outlineLevel="1" collapsed="1"/>
    <col min="15" max="21" width="11" hidden="1" customWidth="1" outlineLevel="1"/>
    <col min="22" max="22" width="12.42578125" hidden="1" customWidth="1" outlineLevel="1"/>
    <col min="23" max="23" width="11" hidden="1" customWidth="1" outlineLevel="1"/>
    <col min="24" max="24" width="11.5703125" hidden="1" customWidth="1" outlineLevel="2"/>
    <col min="25" max="25" width="11.85546875" hidden="1" customWidth="1" outlineLevel="1"/>
    <col min="26" max="26" width="11" hidden="1" customWidth="1" outlineLevel="1" collapsed="1"/>
    <col min="27" max="33" width="11" hidden="1" customWidth="1" outlineLevel="1"/>
    <col min="34" max="34" width="12.42578125" hidden="1" customWidth="1" outlineLevel="1"/>
    <col min="35" max="35" width="11" customWidth="1" collapsed="1"/>
    <col min="36" max="36" width="11.5703125" customWidth="1"/>
    <col min="37" max="37" width="11.85546875" customWidth="1"/>
    <col min="38" max="40" width="11.5703125" bestFit="1" customWidth="1"/>
    <col min="41" max="45" width="12.28515625" bestFit="1" customWidth="1"/>
    <col min="46" max="46" width="12.42578125" customWidth="1"/>
    <col min="47" max="47" width="12.28515625" bestFit="1" customWidth="1"/>
    <col min="48" max="48" width="12.42578125" bestFit="1" customWidth="1"/>
    <col min="49" max="49" width="12.85546875" customWidth="1"/>
    <col min="50" max="50" width="12.85546875" bestFit="1" customWidth="1"/>
  </cols>
  <sheetData>
    <row r="1" spans="1:57" ht="18">
      <c r="A1" s="697" t="s">
        <v>0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697"/>
      <c r="S1" s="697"/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697"/>
      <c r="AM1" s="697"/>
      <c r="AN1" s="697"/>
      <c r="AO1" s="697"/>
      <c r="AP1" s="697"/>
      <c r="AQ1" s="697"/>
      <c r="AR1" s="697"/>
      <c r="AS1" s="697"/>
      <c r="AT1" s="697"/>
      <c r="AU1" s="697"/>
      <c r="AV1" s="697"/>
      <c r="AW1" s="697"/>
    </row>
    <row r="2" spans="1:57" ht="30" customHeight="1">
      <c r="A2" s="698" t="s">
        <v>90</v>
      </c>
      <c r="B2" s="698"/>
      <c r="C2" s="698"/>
      <c r="D2" s="698"/>
      <c r="E2" s="698"/>
      <c r="F2" s="698"/>
      <c r="G2" s="698"/>
      <c r="H2" s="698"/>
      <c r="I2" s="698"/>
      <c r="J2" s="698"/>
      <c r="K2" s="698"/>
      <c r="L2" s="698"/>
      <c r="M2" s="698"/>
      <c r="N2" s="698"/>
      <c r="O2" s="698"/>
      <c r="P2" s="698"/>
      <c r="Q2" s="698"/>
      <c r="R2" s="698"/>
      <c r="S2" s="698"/>
      <c r="T2" s="698"/>
      <c r="U2" s="698"/>
      <c r="V2" s="698"/>
      <c r="W2" s="698"/>
      <c r="X2" s="698"/>
      <c r="Y2" s="698"/>
      <c r="Z2" s="698"/>
      <c r="AA2" s="698"/>
      <c r="AB2" s="698"/>
      <c r="AC2" s="698"/>
      <c r="AD2" s="698"/>
      <c r="AE2" s="698"/>
      <c r="AF2" s="698"/>
      <c r="AG2" s="698"/>
      <c r="AH2" s="698"/>
      <c r="AI2" s="698"/>
      <c r="AJ2" s="698"/>
      <c r="AK2" s="698"/>
      <c r="AL2" s="698"/>
      <c r="AM2" s="698"/>
      <c r="AN2" s="698"/>
      <c r="AO2" s="698"/>
      <c r="AP2" s="698"/>
      <c r="AQ2" s="698"/>
      <c r="AR2" s="698"/>
      <c r="AS2" s="698"/>
      <c r="AT2" s="698"/>
      <c r="AU2" s="698"/>
      <c r="AV2" s="698"/>
      <c r="AW2" s="698"/>
    </row>
    <row r="3" spans="1:57" ht="15">
      <c r="A3" s="698">
        <v>2011</v>
      </c>
      <c r="B3" s="698"/>
      <c r="C3" s="698"/>
      <c r="D3" s="698"/>
      <c r="E3" s="698"/>
      <c r="F3" s="698"/>
      <c r="G3" s="698"/>
      <c r="H3" s="698"/>
      <c r="I3" s="698"/>
      <c r="J3" s="698"/>
      <c r="K3" s="698"/>
      <c r="L3" s="698"/>
      <c r="M3" s="698"/>
      <c r="N3" s="698"/>
      <c r="O3" s="698"/>
      <c r="P3" s="698"/>
      <c r="Q3" s="698"/>
      <c r="R3" s="698"/>
      <c r="S3" s="698"/>
      <c r="T3" s="698"/>
      <c r="U3" s="698"/>
      <c r="V3" s="698"/>
      <c r="W3" s="698"/>
      <c r="X3" s="698"/>
      <c r="Y3" s="698"/>
      <c r="Z3" s="698"/>
      <c r="AA3" s="698"/>
      <c r="AB3" s="698"/>
      <c r="AC3" s="698"/>
      <c r="AD3" s="698"/>
      <c r="AE3" s="698"/>
      <c r="AF3" s="698"/>
      <c r="AG3" s="698"/>
      <c r="AH3" s="698"/>
      <c r="AI3" s="698"/>
      <c r="AJ3" s="698"/>
      <c r="AK3" s="698"/>
      <c r="AL3" s="698"/>
      <c r="AM3" s="698"/>
      <c r="AN3" s="698"/>
      <c r="AO3" s="698"/>
      <c r="AP3" s="698"/>
      <c r="AQ3" s="698"/>
      <c r="AR3" s="698"/>
      <c r="AS3" s="698"/>
      <c r="AT3" s="698"/>
      <c r="AU3" s="698"/>
      <c r="AV3" s="698"/>
      <c r="AW3" s="698"/>
    </row>
    <row r="4" spans="1:57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</row>
    <row r="5" spans="1:57">
      <c r="A5" s="340"/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</row>
    <row r="6" spans="1:57" ht="18">
      <c r="B6" s="703">
        <v>2008</v>
      </c>
      <c r="C6" s="704"/>
      <c r="D6" s="704"/>
      <c r="E6" s="704"/>
      <c r="F6" s="704"/>
      <c r="G6" s="704"/>
      <c r="H6" s="704"/>
      <c r="I6" s="704"/>
      <c r="J6" s="704"/>
      <c r="K6" s="704"/>
      <c r="L6" s="704"/>
      <c r="M6" s="705"/>
      <c r="N6" s="703">
        <v>2009</v>
      </c>
      <c r="O6" s="704"/>
      <c r="P6" s="704"/>
      <c r="Q6" s="704"/>
      <c r="R6" s="704"/>
      <c r="S6" s="704"/>
      <c r="T6" s="704"/>
      <c r="U6" s="704"/>
      <c r="V6" s="704"/>
      <c r="W6" s="704"/>
      <c r="X6" s="704"/>
      <c r="Y6" s="705"/>
      <c r="Z6" s="700">
        <v>2010</v>
      </c>
      <c r="AA6" s="701"/>
      <c r="AB6" s="701"/>
      <c r="AC6" s="701"/>
      <c r="AD6" s="701"/>
      <c r="AE6" s="701"/>
      <c r="AF6" s="701"/>
      <c r="AG6" s="701"/>
      <c r="AH6" s="701"/>
      <c r="AI6" s="701"/>
      <c r="AJ6" s="701"/>
      <c r="AK6" s="702"/>
      <c r="AL6" s="703">
        <v>2011</v>
      </c>
      <c r="AM6" s="704"/>
      <c r="AN6" s="704"/>
      <c r="AO6" s="704"/>
      <c r="AP6" s="704"/>
      <c r="AQ6" s="704"/>
      <c r="AR6" s="704"/>
      <c r="AS6" s="704"/>
      <c r="AT6" s="704"/>
      <c r="AU6" s="704"/>
      <c r="AV6" s="704"/>
      <c r="AW6" s="705"/>
    </row>
    <row r="7" spans="1:57">
      <c r="B7" s="211" t="s">
        <v>175</v>
      </c>
      <c r="C7" s="211" t="s">
        <v>175</v>
      </c>
      <c r="D7" s="211" t="s">
        <v>175</v>
      </c>
      <c r="E7" s="211" t="s">
        <v>175</v>
      </c>
      <c r="F7" s="211" t="s">
        <v>175</v>
      </c>
      <c r="G7" s="211" t="s">
        <v>175</v>
      </c>
      <c r="H7" s="211" t="s">
        <v>175</v>
      </c>
      <c r="I7" s="211" t="s">
        <v>175</v>
      </c>
      <c r="J7" s="211" t="s">
        <v>175</v>
      </c>
      <c r="K7" s="211" t="s">
        <v>175</v>
      </c>
      <c r="L7" s="211" t="s">
        <v>175</v>
      </c>
      <c r="M7" s="211" t="s">
        <v>175</v>
      </c>
      <c r="N7" s="211" t="s">
        <v>175</v>
      </c>
      <c r="O7" s="211" t="s">
        <v>175</v>
      </c>
      <c r="P7" s="211" t="s">
        <v>175</v>
      </c>
      <c r="Q7" s="211" t="s">
        <v>175</v>
      </c>
      <c r="R7" s="211" t="s">
        <v>175</v>
      </c>
      <c r="S7" s="211" t="s">
        <v>175</v>
      </c>
      <c r="T7" s="211" t="s">
        <v>175</v>
      </c>
      <c r="U7" s="211" t="s">
        <v>175</v>
      </c>
      <c r="V7" s="211" t="s">
        <v>175</v>
      </c>
      <c r="W7" s="211" t="s">
        <v>175</v>
      </c>
      <c r="X7" s="211" t="s">
        <v>175</v>
      </c>
      <c r="Y7" s="211" t="s">
        <v>175</v>
      </c>
      <c r="Z7" s="329" t="s">
        <v>175</v>
      </c>
      <c r="AA7" s="211" t="s">
        <v>175</v>
      </c>
      <c r="AB7" s="211" t="s">
        <v>175</v>
      </c>
      <c r="AC7" s="211" t="s">
        <v>175</v>
      </c>
      <c r="AD7" s="211" t="s">
        <v>175</v>
      </c>
      <c r="AE7" s="211" t="s">
        <v>175</v>
      </c>
      <c r="AF7" s="211" t="s">
        <v>175</v>
      </c>
      <c r="AG7" s="211" t="s">
        <v>175</v>
      </c>
      <c r="AH7" s="211" t="s">
        <v>175</v>
      </c>
      <c r="AI7" s="211" t="s">
        <v>175</v>
      </c>
      <c r="AJ7" s="211" t="s">
        <v>175</v>
      </c>
      <c r="AK7" s="211" t="s">
        <v>175</v>
      </c>
      <c r="AL7" s="329" t="s">
        <v>175</v>
      </c>
      <c r="AM7" s="211" t="s">
        <v>175</v>
      </c>
      <c r="AN7" s="211" t="s">
        <v>175</v>
      </c>
      <c r="AO7" s="211" t="s">
        <v>175</v>
      </c>
      <c r="AP7" s="211" t="s">
        <v>175</v>
      </c>
      <c r="AQ7" s="211" t="s">
        <v>175</v>
      </c>
      <c r="AR7" s="211" t="s">
        <v>175</v>
      </c>
      <c r="AS7" s="211" t="s">
        <v>175</v>
      </c>
      <c r="AT7" s="211" t="s">
        <v>175</v>
      </c>
      <c r="AU7" s="211" t="s">
        <v>175</v>
      </c>
      <c r="AV7" s="211" t="s">
        <v>175</v>
      </c>
      <c r="AW7" s="211" t="s">
        <v>175</v>
      </c>
    </row>
    <row r="8" spans="1:57" s="110" customFormat="1" ht="24" customHeight="1">
      <c r="A8" s="108"/>
      <c r="B8" s="109" t="s">
        <v>100</v>
      </c>
      <c r="C8" s="109" t="s">
        <v>76</v>
      </c>
      <c r="D8" s="109" t="s">
        <v>77</v>
      </c>
      <c r="E8" s="109" t="s">
        <v>78</v>
      </c>
      <c r="F8" s="109" t="s">
        <v>75</v>
      </c>
      <c r="G8" s="109" t="s">
        <v>79</v>
      </c>
      <c r="H8" s="109" t="s">
        <v>80</v>
      </c>
      <c r="I8" s="109" t="s">
        <v>81</v>
      </c>
      <c r="J8" s="109" t="s">
        <v>82</v>
      </c>
      <c r="K8" s="109" t="s">
        <v>83</v>
      </c>
      <c r="L8" s="109" t="s">
        <v>84</v>
      </c>
      <c r="M8" s="109" t="s">
        <v>101</v>
      </c>
      <c r="N8" s="109" t="s">
        <v>100</v>
      </c>
      <c r="O8" s="109" t="s">
        <v>76</v>
      </c>
      <c r="P8" s="109" t="s">
        <v>77</v>
      </c>
      <c r="Q8" s="109" t="s">
        <v>78</v>
      </c>
      <c r="R8" s="109" t="s">
        <v>75</v>
      </c>
      <c r="S8" s="109" t="s">
        <v>79</v>
      </c>
      <c r="T8" s="109" t="s">
        <v>80</v>
      </c>
      <c r="U8" s="109" t="s">
        <v>81</v>
      </c>
      <c r="V8" s="109" t="s">
        <v>82</v>
      </c>
      <c r="W8" s="109" t="s">
        <v>83</v>
      </c>
      <c r="X8" s="109" t="s">
        <v>84</v>
      </c>
      <c r="Y8" s="109" t="s">
        <v>101</v>
      </c>
      <c r="Z8" s="109" t="s">
        <v>100</v>
      </c>
      <c r="AA8" s="109" t="s">
        <v>76</v>
      </c>
      <c r="AB8" s="109" t="s">
        <v>77</v>
      </c>
      <c r="AC8" s="109" t="s">
        <v>78</v>
      </c>
      <c r="AD8" s="109" t="s">
        <v>75</v>
      </c>
      <c r="AE8" s="109" t="s">
        <v>79</v>
      </c>
      <c r="AF8" s="109" t="s">
        <v>80</v>
      </c>
      <c r="AG8" s="109" t="s">
        <v>81</v>
      </c>
      <c r="AH8" s="109" t="s">
        <v>82</v>
      </c>
      <c r="AI8" s="109" t="s">
        <v>83</v>
      </c>
      <c r="AJ8" s="109" t="s">
        <v>84</v>
      </c>
      <c r="AK8" s="109" t="s">
        <v>101</v>
      </c>
      <c r="AL8" s="109" t="s">
        <v>100</v>
      </c>
      <c r="AM8" s="109" t="s">
        <v>76</v>
      </c>
      <c r="AN8" s="109" t="s">
        <v>77</v>
      </c>
      <c r="AO8" s="109" t="s">
        <v>78</v>
      </c>
      <c r="AP8" s="109" t="s">
        <v>75</v>
      </c>
      <c r="AQ8" s="109" t="s">
        <v>79</v>
      </c>
      <c r="AR8" s="109" t="s">
        <v>80</v>
      </c>
      <c r="AS8" s="109" t="s">
        <v>81</v>
      </c>
      <c r="AT8" s="109" t="s">
        <v>82</v>
      </c>
      <c r="AU8" s="109" t="s">
        <v>83</v>
      </c>
      <c r="AV8" s="109" t="s">
        <v>84</v>
      </c>
      <c r="AW8" s="109" t="s">
        <v>101</v>
      </c>
    </row>
    <row r="9" spans="1:57" s="113" customFormat="1" ht="15">
      <c r="A9" s="111"/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</row>
    <row r="10" spans="1:57" s="108" customFormat="1" ht="15">
      <c r="A10" s="114" t="s">
        <v>10</v>
      </c>
      <c r="B10" s="185">
        <v>0</v>
      </c>
      <c r="C10" s="185">
        <f>B18</f>
        <v>0</v>
      </c>
      <c r="D10" s="185">
        <f>C18</f>
        <v>0</v>
      </c>
      <c r="E10" s="185">
        <f>D18+D23</f>
        <v>-167.76572929843167</v>
      </c>
      <c r="F10" s="185">
        <f>E18</f>
        <v>-2043.0072303616917</v>
      </c>
      <c r="G10" s="185">
        <f>F18</f>
        <v>-3782.6857535626295</v>
      </c>
      <c r="H10" s="185">
        <f>G18+G23</f>
        <v>-5455.1433967302146</v>
      </c>
      <c r="I10" s="185">
        <f>H18</f>
        <v>-7277.2321456155278</v>
      </c>
      <c r="J10" s="185">
        <f>I18</f>
        <v>-8517.0800441535939</v>
      </c>
      <c r="K10" s="185">
        <f>J18+J23</f>
        <v>-9951.3106520979345</v>
      </c>
      <c r="L10" s="185">
        <f>K18</f>
        <v>-10746.066495974253</v>
      </c>
      <c r="M10" s="185">
        <f>L18</f>
        <v>-10412.4132458036</v>
      </c>
      <c r="N10" s="248">
        <f>M18+M23</f>
        <v>-10561.2239370834</v>
      </c>
      <c r="O10" s="247">
        <f>N18</f>
        <v>-9308.1505646580463</v>
      </c>
      <c r="P10" s="247">
        <f>O18</f>
        <v>-7495.7817510730392</v>
      </c>
      <c r="Q10" s="247">
        <f>P18+P23</f>
        <v>-5882.5326981912131</v>
      </c>
      <c r="R10" s="247">
        <f>Q18</f>
        <v>-3856.1928137351183</v>
      </c>
      <c r="S10" s="247">
        <f>R18</f>
        <v>-3392.1810816861266</v>
      </c>
      <c r="T10" s="247">
        <f>S18+S23</f>
        <v>-2918.5856907433026</v>
      </c>
      <c r="U10" s="247">
        <f>T18</f>
        <v>-2462.0155554418816</v>
      </c>
      <c r="V10" s="247">
        <f>U18</f>
        <v>-1841.9851318066198</v>
      </c>
      <c r="W10" s="247">
        <f>V18+V23</f>
        <v>-1184.7283664909535</v>
      </c>
      <c r="X10" s="247">
        <f>W18</f>
        <v>-692.98673493423507</v>
      </c>
      <c r="Y10" s="247">
        <f>X18</f>
        <v>-747.81383755683532</v>
      </c>
      <c r="Z10" s="248">
        <f>Y18+Y23</f>
        <v>-2026.7352334542372</v>
      </c>
      <c r="AA10" s="247">
        <f>Z18</f>
        <v>-3397.710440154809</v>
      </c>
      <c r="AB10" s="247">
        <f>AA18</f>
        <v>-4671.4105086386135</v>
      </c>
      <c r="AC10" s="247">
        <f>AB18+AB23</f>
        <v>-6016.6981078435538</v>
      </c>
      <c r="AD10" s="247">
        <f>AC18</f>
        <v>-6686.2769876253897</v>
      </c>
      <c r="AE10" s="247">
        <f>AD18</f>
        <v>-6764.6654434182728</v>
      </c>
      <c r="AF10" s="247">
        <f>AE18+AE23</f>
        <v>-7404.2717373569139</v>
      </c>
      <c r="AG10" s="247">
        <f>AF18</f>
        <v>-8067.7813796118953</v>
      </c>
      <c r="AH10" s="247">
        <f>AG18</f>
        <v>-8602.1873897992136</v>
      </c>
      <c r="AI10" s="247">
        <f>AH18+AH23</f>
        <v>-8636.343487150305</v>
      </c>
      <c r="AJ10" s="247">
        <f>AI18</f>
        <v>-7895.4462475099863</v>
      </c>
      <c r="AK10" s="460">
        <f>AJ18</f>
        <v>-6178.4724251958232</v>
      </c>
      <c r="AL10" s="461">
        <f>AK18+AK23</f>
        <v>-3871.4052861550958</v>
      </c>
      <c r="AM10" s="460">
        <f>AL18</f>
        <v>-683.50276475299324</v>
      </c>
      <c r="AN10" s="460">
        <f>AM18</f>
        <v>3468.6389010121056</v>
      </c>
      <c r="AO10" s="460">
        <f>AN18+AN23</f>
        <v>4368.5237308701862</v>
      </c>
      <c r="AP10" s="460">
        <f>AO18</f>
        <v>1660.4319054759753</v>
      </c>
      <c r="AQ10" s="460">
        <f>AP18</f>
        <v>-618.07963499911693</v>
      </c>
      <c r="AR10" s="460">
        <f>AQ18+AQ23</f>
        <v>-3133.644338290318</v>
      </c>
      <c r="AS10" s="460">
        <f>AR18</f>
        <v>-5894.3041070071649</v>
      </c>
      <c r="AT10" s="460">
        <f>AS18</f>
        <v>-10277.278440779339</v>
      </c>
      <c r="AU10" s="460">
        <f>AT18+AT23</f>
        <v>-13509.626129263826</v>
      </c>
      <c r="AV10" s="460">
        <f>AU18</f>
        <v>-13425.229408239384</v>
      </c>
      <c r="AW10" s="460">
        <f>AV18</f>
        <v>-7079.0026699604241</v>
      </c>
      <c r="AX10" s="353"/>
      <c r="AY10" s="353"/>
      <c r="AZ10" s="353"/>
      <c r="BA10" s="353"/>
      <c r="BB10" s="353"/>
      <c r="BC10" s="353"/>
      <c r="BD10" s="353"/>
      <c r="BE10" s="353"/>
    </row>
    <row r="11" spans="1:57" s="108" customFormat="1" ht="15">
      <c r="B11" s="185"/>
      <c r="C11" s="185"/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AK11" s="353"/>
      <c r="AL11" s="353"/>
      <c r="AM11" s="353"/>
      <c r="AN11" s="353"/>
      <c r="AO11" s="353"/>
      <c r="AP11" s="353"/>
      <c r="AQ11" s="353"/>
      <c r="AR11" s="353"/>
      <c r="AS11" s="353"/>
      <c r="AT11" s="353"/>
      <c r="AU11" s="353"/>
      <c r="AV11" s="353"/>
      <c r="AW11" s="353"/>
      <c r="AX11" s="353"/>
      <c r="AY11" s="353"/>
      <c r="AZ11" s="353"/>
      <c r="BA11" s="353"/>
      <c r="BB11" s="353"/>
      <c r="BC11" s="353"/>
      <c r="BD11" s="353"/>
      <c r="BE11" s="353"/>
    </row>
    <row r="12" spans="1:57" s="108" customFormat="1" ht="15.75">
      <c r="A12" s="108" t="s">
        <v>102</v>
      </c>
      <c r="B12" s="229">
        <f>'Monthly Entry'!C27</f>
        <v>0</v>
      </c>
      <c r="C12" s="229">
        <f>'Monthly Entry'!D27</f>
        <v>0</v>
      </c>
      <c r="D12" s="229">
        <f>'Monthly Entry'!E27</f>
        <v>1355.2622612855994</v>
      </c>
      <c r="E12" s="229">
        <f>'Monthly Entry'!F27</f>
        <v>1659.814544963283</v>
      </c>
      <c r="F12" s="229">
        <f>'Monthly Entry'!G27</f>
        <v>1823.9754467775633</v>
      </c>
      <c r="G12" s="229">
        <f>'Monthly Entry'!H27</f>
        <v>2146.5347624250808</v>
      </c>
      <c r="H12" s="229">
        <f>'Monthly Entry'!I27</f>
        <v>2668.5325508099927</v>
      </c>
      <c r="I12" s="229">
        <f>'Monthly Entry'!J27</f>
        <v>2942.3805567903455</v>
      </c>
      <c r="J12" s="229">
        <f>'Monthly Entry'!K27</f>
        <v>2991.9391949325309</v>
      </c>
      <c r="K12" s="229">
        <f>'Monthly Entry'!L27</f>
        <v>3210.6924979026326</v>
      </c>
      <c r="L12" s="229">
        <f>'Monthly Entry'!M27</f>
        <v>3476.5098496558071</v>
      </c>
      <c r="M12" s="229">
        <f>'Monthly Entry'!N27</f>
        <v>3846.3525899174128</v>
      </c>
      <c r="N12" s="229">
        <f>'Monthly Entry'!O27</f>
        <v>4347.874961529873</v>
      </c>
      <c r="O12" s="229">
        <f>'Monthly Entry'!P27</f>
        <v>4444.7818783551556</v>
      </c>
      <c r="P12" s="229">
        <f>'Monthly Entry'!Q27</f>
        <v>4615.5881239338269</v>
      </c>
      <c r="Q12" s="229">
        <f>'Monthly Entry'!R27</f>
        <v>4919.9617611929552</v>
      </c>
      <c r="R12" s="229">
        <f>'Monthly Entry'!S27</f>
        <v>3394.9971952777155</v>
      </c>
      <c r="S12" s="229">
        <f>'Monthly Entry'!T27</f>
        <v>3705.5852678990213</v>
      </c>
      <c r="T12" s="229">
        <f>'Monthly Entry'!U27</f>
        <v>4010.1646583168244</v>
      </c>
      <c r="U12" s="229">
        <f>'Monthly Entry'!V27</f>
        <v>4232.4575923893663</v>
      </c>
      <c r="V12" s="229">
        <f>'Monthly Entry'!W27</f>
        <v>4430.7246983738542</v>
      </c>
      <c r="W12" s="229">
        <f>'Monthly Entry'!X27</f>
        <v>3871.4241778760006</v>
      </c>
      <c r="X12" s="229">
        <f>'Monthly Entry'!Y27</f>
        <v>2729.9798663308484</v>
      </c>
      <c r="Y12" s="229">
        <f>'Monthly Entry'!Z27</f>
        <v>1980.7298723102158</v>
      </c>
      <c r="Z12" s="229">
        <f>'Monthly Entry'!AA27</f>
        <v>1746.2391362586648</v>
      </c>
      <c r="AA12" s="229">
        <f>'Monthly Entry'!AB27</f>
        <v>1936.805757366405</v>
      </c>
      <c r="AB12" s="229">
        <f>'Monthly Entry'!AC27</f>
        <v>2151.6944422389988</v>
      </c>
      <c r="AC12" s="229">
        <f>'Monthly Entry'!AD27</f>
        <v>2403.1371198412885</v>
      </c>
      <c r="AD12" s="229">
        <f>'Monthly Entry'!AE27</f>
        <v>2750.8359419423882</v>
      </c>
      <c r="AE12" s="229">
        <f>'Monthly Entry'!AF27</f>
        <v>3053.0630451255688</v>
      </c>
      <c r="AF12" s="229">
        <f>'Monthly Entry'!AG27</f>
        <v>3472.8006529137756</v>
      </c>
      <c r="AG12" s="229">
        <f>'Monthly Entry'!AH27</f>
        <v>3998.6874005797404</v>
      </c>
      <c r="AH12" s="229">
        <f>'Monthly Entry'!AI27</f>
        <v>4402.183995900331</v>
      </c>
      <c r="AI12" s="229">
        <f>'Monthly Entry'!AJ27</f>
        <v>4833.0920643240488</v>
      </c>
      <c r="AJ12" s="229">
        <f>'Monthly Entry'!AK27</f>
        <v>5396.0769423448619</v>
      </c>
      <c r="AK12" s="462">
        <f>'Monthly Entry'!AL27</f>
        <v>6372.428452659211</v>
      </c>
      <c r="AL12" s="462">
        <f>'Monthly Entry'!AM27</f>
        <v>7026.4186366428485</v>
      </c>
      <c r="AM12" s="462">
        <f>'Monthly Entry'!AN27</f>
        <v>7458.9290073546854</v>
      </c>
      <c r="AN12" s="462">
        <f>'Monthly Entry'!AO27</f>
        <v>8047.6456409031853</v>
      </c>
      <c r="AO12" s="462">
        <f>'Monthly Entry'!AP27</f>
        <v>8669.2221084912471</v>
      </c>
      <c r="AP12" s="462">
        <f>'Monthly Entry'!AQ27</f>
        <v>9252.0560832898555</v>
      </c>
      <c r="AQ12" s="462">
        <f>'Monthly Entry'!AR27</f>
        <v>9691.0935861245143</v>
      </c>
      <c r="AR12" s="462">
        <f>'Monthly Entry'!AS27</f>
        <v>10064.712119151318</v>
      </c>
      <c r="AS12" s="462">
        <f>'Monthly Entry'!AT27</f>
        <v>10549.238949720373</v>
      </c>
      <c r="AT12" s="462">
        <f>'Monthly Entry'!AU27</f>
        <v>11166.425898534808</v>
      </c>
      <c r="AU12" s="462">
        <f>'Monthly Entry'!AV27</f>
        <v>11906.285119299637</v>
      </c>
      <c r="AV12" s="462">
        <f>'Monthly Entry'!AW27</f>
        <v>12710.962916919081</v>
      </c>
      <c r="AW12" s="462">
        <f>'Monthly Entry'!AX27</f>
        <v>13693.49548766628</v>
      </c>
      <c r="AX12" s="353"/>
      <c r="AY12" s="353"/>
      <c r="AZ12" s="353"/>
      <c r="BA12" s="353"/>
      <c r="BB12" s="353"/>
      <c r="BC12" s="353"/>
      <c r="BD12" s="353"/>
      <c r="BE12" s="353"/>
    </row>
    <row r="13" spans="1:57" s="108" customFormat="1" ht="15.75"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AK13" s="353"/>
      <c r="AL13" s="353"/>
      <c r="AM13" s="353"/>
      <c r="AN13" s="353"/>
      <c r="AO13" s="353"/>
      <c r="AP13" s="353"/>
      <c r="AQ13" s="353"/>
      <c r="AR13" s="353"/>
      <c r="AS13" s="353"/>
      <c r="AT13" s="353"/>
      <c r="AU13" s="353"/>
      <c r="AV13" s="353"/>
      <c r="AW13" s="353"/>
      <c r="AX13" s="353"/>
      <c r="AY13" s="353"/>
      <c r="AZ13" s="353"/>
      <c r="BA13" s="353"/>
      <c r="BB13" s="353"/>
      <c r="BC13" s="353"/>
      <c r="BD13" s="353"/>
      <c r="BE13" s="353"/>
    </row>
    <row r="14" spans="1:57" s="108" customFormat="1" ht="15.75">
      <c r="A14" s="114" t="s">
        <v>176</v>
      </c>
      <c r="B14" s="230">
        <f>'Monthly Entry'!C30</f>
        <v>0</v>
      </c>
      <c r="C14" s="230">
        <f>'Monthly Entry'!D30</f>
        <v>0</v>
      </c>
      <c r="D14" s="230">
        <f>'Monthly Entry'!E30</f>
        <v>-1522.4872963041378</v>
      </c>
      <c r="E14" s="230">
        <f>'Monthly Entry'!F30</f>
        <v>-3535.0560460265428</v>
      </c>
      <c r="F14" s="230">
        <f>'Monthly Entry'!G30</f>
        <v>-3563.6539699785012</v>
      </c>
      <c r="G14" s="230">
        <f>'Monthly Entry'!H30</f>
        <v>-3770.4015648452951</v>
      </c>
      <c r="H14" s="230">
        <f>'Monthly Entry'!I30</f>
        <v>-4490.6212996953054</v>
      </c>
      <c r="I14" s="230">
        <f>'Monthly Entry'!J30</f>
        <v>-4182.2284553284117</v>
      </c>
      <c r="J14" s="230">
        <f>'Monthly Entry'!K30</f>
        <v>-4322.6176822805464</v>
      </c>
      <c r="K14" s="230">
        <f>'Monthly Entry'!L30</f>
        <v>-4005.4483417789525</v>
      </c>
      <c r="L14" s="230">
        <f>'Monthly Entry'!M30</f>
        <v>-3142.8565994851542</v>
      </c>
      <c r="M14" s="230">
        <f>'Monthly Entry'!N30</f>
        <v>-3864.5406323973439</v>
      </c>
      <c r="N14" s="230">
        <f>'Monthly Entry'!O30</f>
        <v>-3094.8015891045202</v>
      </c>
      <c r="O14" s="230">
        <f>'Monthly Entry'!P30</f>
        <v>-2632.4130647701486</v>
      </c>
      <c r="P14" s="230">
        <f>'Monthly Entry'!Q30</f>
        <v>-2908.2523809327045</v>
      </c>
      <c r="Q14" s="230">
        <f>'Monthly Entry'!R30</f>
        <v>-2893.6218767368605</v>
      </c>
      <c r="R14" s="230">
        <f>'Monthly Entry'!S30</f>
        <v>-2930.9854632287238</v>
      </c>
      <c r="S14" s="230">
        <f>'Monthly Entry'!T30</f>
        <v>-3199.3216614813232</v>
      </c>
      <c r="T14" s="230">
        <f>'Monthly Entry'!U30</f>
        <v>-3553.5945230154034</v>
      </c>
      <c r="U14" s="230">
        <f>'Monthly Entry'!V30</f>
        <v>-3612.4271687541045</v>
      </c>
      <c r="V14" s="230">
        <f>'Monthly Entry'!W30</f>
        <v>-3756.2779714840167</v>
      </c>
      <c r="W14" s="230">
        <f>'Monthly Entry'!X30</f>
        <v>-3379.6825463192822</v>
      </c>
      <c r="X14" s="230">
        <f>'Monthly Entry'!Y30</f>
        <v>-2784.8069689534486</v>
      </c>
      <c r="Y14" s="230">
        <f>'Monthly Entry'!Z30</f>
        <v>-3251.4114011854545</v>
      </c>
      <c r="Z14" s="230">
        <f>'Monthly Entry'!AA30</f>
        <v>-3117.2143429592365</v>
      </c>
      <c r="AA14" s="230">
        <f>'Monthly Entry'!AB30</f>
        <v>-3210.5058258502095</v>
      </c>
      <c r="AB14" s="230">
        <f>'Monthly Entry'!AC30</f>
        <v>-3464.2803064906984</v>
      </c>
      <c r="AC14" s="230">
        <f>'Monthly Entry'!AD30</f>
        <v>-3072.7159996231239</v>
      </c>
      <c r="AD14" s="230">
        <f>'Monthly Entry'!AE30</f>
        <v>-2829.2243977352714</v>
      </c>
      <c r="AE14" s="230">
        <f>'Monthly Entry'!AF30</f>
        <v>-3638.1393160542507</v>
      </c>
      <c r="AF14" s="230">
        <f>'Monthly Entry'!AG30</f>
        <v>-4136.310295168757</v>
      </c>
      <c r="AG14" s="230">
        <f>'Monthly Entry'!AH30</f>
        <v>-4533.0934107670582</v>
      </c>
      <c r="AH14" s="230">
        <f>'Monthly Entry'!AI30</f>
        <v>-4369.5610247064014</v>
      </c>
      <c r="AI14" s="230">
        <f>'Monthly Entry'!AJ30</f>
        <v>-4092.1948246837296</v>
      </c>
      <c r="AJ14" s="230">
        <f>'Monthly Entry'!AK30</f>
        <v>-3679.1031200306984</v>
      </c>
      <c r="AK14" s="463">
        <f>'Monthly Entry'!AL30</f>
        <v>-4010.3813261490859</v>
      </c>
      <c r="AL14" s="463">
        <f>'Monthly Entry'!AM30</f>
        <v>-3838.5161152407459</v>
      </c>
      <c r="AM14" s="463">
        <f>'Monthly Entry'!AN30</f>
        <v>-3306.787341589586</v>
      </c>
      <c r="AN14" s="463">
        <f>'Monthly Entry'!AO30</f>
        <v>-7155.9659581712913</v>
      </c>
      <c r="AO14" s="463">
        <f>'Monthly Entry'!AP30</f>
        <v>-11377.313933885458</v>
      </c>
      <c r="AP14" s="463">
        <f>'Monthly Entry'!AQ30</f>
        <v>-11530.567623764948</v>
      </c>
      <c r="AQ14" s="463">
        <f>'Monthly Entry'!AR30</f>
        <v>-12211.147480213171</v>
      </c>
      <c r="AR14" s="463">
        <f>'Monthly Entry'!AS30</f>
        <v>-12825.371887868165</v>
      </c>
      <c r="AS14" s="463">
        <f>'Monthly Entry'!AT30</f>
        <v>-14932.213283492547</v>
      </c>
      <c r="AT14" s="463">
        <f>'Monthly Entry'!AU30</f>
        <v>-14332.527497107649</v>
      </c>
      <c r="AU14" s="463">
        <f>'Monthly Entry'!AV30</f>
        <v>-11821.888398275194</v>
      </c>
      <c r="AV14" s="463">
        <f>'Monthly Entry'!AW30</f>
        <v>-6364.7361786401216</v>
      </c>
      <c r="AW14" s="463">
        <f>'Monthly Entry'!AX30</f>
        <v>-12372.637668586422</v>
      </c>
      <c r="AX14" s="353"/>
      <c r="AY14" s="353"/>
      <c r="AZ14" s="353"/>
      <c r="BA14" s="353"/>
      <c r="BB14" s="353"/>
      <c r="BC14" s="353"/>
      <c r="BD14" s="353"/>
      <c r="BE14" s="353"/>
    </row>
    <row r="15" spans="1:57" s="108" customFormat="1" ht="15">
      <c r="A15" s="114"/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AL15" s="353"/>
      <c r="AM15" s="353"/>
      <c r="AN15" s="353"/>
      <c r="AO15" s="353"/>
      <c r="AP15" s="353"/>
      <c r="AQ15" s="353"/>
      <c r="AR15" s="353"/>
      <c r="AS15" s="353"/>
      <c r="AT15" s="353"/>
      <c r="AU15" s="353"/>
      <c r="AV15" s="353"/>
      <c r="AW15" s="353"/>
      <c r="AX15" s="353"/>
      <c r="AY15" s="353"/>
      <c r="AZ15" s="353"/>
      <c r="BA15" s="353"/>
      <c r="BB15" s="353"/>
      <c r="BC15" s="353"/>
      <c r="BD15" s="353"/>
      <c r="BE15" s="353"/>
    </row>
    <row r="16" spans="1:57" s="108" customFormat="1" ht="15">
      <c r="A16" s="114" t="s">
        <v>103</v>
      </c>
      <c r="B16" s="185">
        <f>B12+B14</f>
        <v>0</v>
      </c>
      <c r="C16" s="185">
        <f t="shared" ref="C16:Y16" si="0">C12+C14</f>
        <v>0</v>
      </c>
      <c r="D16" s="185">
        <f t="shared" si="0"/>
        <v>-167.22503501853839</v>
      </c>
      <c r="E16" s="185">
        <f t="shared" si="0"/>
        <v>-1875.2415010632599</v>
      </c>
      <c r="F16" s="185">
        <f t="shared" si="0"/>
        <v>-1739.6785232009379</v>
      </c>
      <c r="G16" s="185">
        <f t="shared" si="0"/>
        <v>-1623.8668024202143</v>
      </c>
      <c r="H16" s="185">
        <f t="shared" si="0"/>
        <v>-1822.0887488853127</v>
      </c>
      <c r="I16" s="185">
        <f t="shared" si="0"/>
        <v>-1239.8478985380661</v>
      </c>
      <c r="J16" s="185">
        <f t="shared" si="0"/>
        <v>-1330.6784873480156</v>
      </c>
      <c r="K16" s="185">
        <f t="shared" si="0"/>
        <v>-794.75584387631989</v>
      </c>
      <c r="L16" s="185">
        <f t="shared" si="0"/>
        <v>333.65325017065288</v>
      </c>
      <c r="M16" s="185">
        <f t="shared" si="0"/>
        <v>-18.188042479931028</v>
      </c>
      <c r="N16" s="185">
        <f t="shared" si="0"/>
        <v>1253.0733724253528</v>
      </c>
      <c r="O16" s="185">
        <f t="shared" si="0"/>
        <v>1812.368813585007</v>
      </c>
      <c r="P16" s="185">
        <f t="shared" si="0"/>
        <v>1707.3357430011224</v>
      </c>
      <c r="Q16" s="185">
        <f t="shared" si="0"/>
        <v>2026.3398844560948</v>
      </c>
      <c r="R16" s="185">
        <f t="shared" si="0"/>
        <v>464.01173204899169</v>
      </c>
      <c r="S16" s="185">
        <f t="shared" si="0"/>
        <v>506.26360641769816</v>
      </c>
      <c r="T16" s="185">
        <f>T12+T14</f>
        <v>456.57013530142103</v>
      </c>
      <c r="U16" s="185">
        <f t="shared" si="0"/>
        <v>620.03042363526174</v>
      </c>
      <c r="V16" s="185">
        <f t="shared" si="0"/>
        <v>674.44672688983746</v>
      </c>
      <c r="W16" s="185">
        <f t="shared" si="0"/>
        <v>491.7416315567184</v>
      </c>
      <c r="X16" s="185">
        <f t="shared" si="0"/>
        <v>-54.82710262260025</v>
      </c>
      <c r="Y16" s="185">
        <f t="shared" si="0"/>
        <v>-1270.6815288752387</v>
      </c>
      <c r="Z16" s="185">
        <f t="shared" ref="Z16:AE16" si="1">Z12+Z14</f>
        <v>-1370.9752067005718</v>
      </c>
      <c r="AA16" s="185">
        <f t="shared" si="1"/>
        <v>-1273.7000684838044</v>
      </c>
      <c r="AB16" s="185">
        <f t="shared" si="1"/>
        <v>-1312.5858642516996</v>
      </c>
      <c r="AC16" s="185">
        <f t="shared" si="1"/>
        <v>-669.57887978183544</v>
      </c>
      <c r="AD16" s="185">
        <f t="shared" si="1"/>
        <v>-78.388455792883178</v>
      </c>
      <c r="AE16" s="185">
        <f t="shared" si="1"/>
        <v>-585.07627092868188</v>
      </c>
      <c r="AF16" s="185">
        <f t="shared" ref="AF16:AQ16" si="2">AF12+AF14</f>
        <v>-663.50964225498137</v>
      </c>
      <c r="AG16" s="185">
        <f t="shared" si="2"/>
        <v>-534.40601018731786</v>
      </c>
      <c r="AH16" s="185">
        <f t="shared" si="2"/>
        <v>32.622971193929516</v>
      </c>
      <c r="AI16" s="185">
        <f t="shared" si="2"/>
        <v>740.89723964031919</v>
      </c>
      <c r="AJ16" s="185">
        <f t="shared" si="2"/>
        <v>1716.9738223141635</v>
      </c>
      <c r="AK16" s="185">
        <f t="shared" si="2"/>
        <v>2362.0471265101251</v>
      </c>
      <c r="AL16" s="276">
        <f>AL12+AL14</f>
        <v>3187.9025214021026</v>
      </c>
      <c r="AM16" s="276">
        <f>AM12+AM14</f>
        <v>4152.1416657650989</v>
      </c>
      <c r="AN16" s="276">
        <f>AN12+AN14</f>
        <v>891.67968273189399</v>
      </c>
      <c r="AO16" s="276">
        <f t="shared" si="2"/>
        <v>-2708.0918253942109</v>
      </c>
      <c r="AP16" s="276">
        <f>AP12+AP14</f>
        <v>-2278.5115404750923</v>
      </c>
      <c r="AQ16" s="276">
        <f t="shared" si="2"/>
        <v>-2520.0538940886563</v>
      </c>
      <c r="AR16" s="276">
        <f t="shared" ref="AR16:AW16" si="3">AR12+AR14</f>
        <v>-2760.6597687168469</v>
      </c>
      <c r="AS16" s="276">
        <f t="shared" si="3"/>
        <v>-4382.9743337721738</v>
      </c>
      <c r="AT16" s="276">
        <f t="shared" si="3"/>
        <v>-3166.1015985728409</v>
      </c>
      <c r="AU16" s="276">
        <f t="shared" si="3"/>
        <v>84.396721024442741</v>
      </c>
      <c r="AV16" s="276">
        <f t="shared" si="3"/>
        <v>6346.2267382789596</v>
      </c>
      <c r="AW16" s="276">
        <f t="shared" si="3"/>
        <v>1320.857819079858</v>
      </c>
      <c r="AX16" s="353"/>
      <c r="AY16" s="353"/>
      <c r="AZ16" s="353"/>
      <c r="BA16" s="353"/>
      <c r="BB16" s="353"/>
      <c r="BC16" s="353"/>
      <c r="BD16" s="353"/>
      <c r="BE16" s="353"/>
    </row>
    <row r="17" spans="1:57" s="108" customFormat="1" ht="15">
      <c r="A17" s="114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AL17" s="353"/>
      <c r="AM17" s="353"/>
      <c r="AN17" s="353"/>
      <c r="AO17" s="353"/>
      <c r="AP17" s="353"/>
      <c r="AQ17" s="353"/>
      <c r="AR17" s="353"/>
      <c r="AS17" s="353"/>
      <c r="AT17" s="353"/>
      <c r="AU17" s="353"/>
      <c r="AV17" s="353"/>
      <c r="AW17" s="353"/>
      <c r="AX17" s="353"/>
      <c r="AY17" s="353"/>
      <c r="AZ17" s="353"/>
      <c r="BA17" s="353"/>
      <c r="BB17" s="353"/>
      <c r="BC17" s="353"/>
      <c r="BD17" s="353"/>
      <c r="BE17" s="353"/>
    </row>
    <row r="18" spans="1:57" s="108" customFormat="1" ht="15">
      <c r="A18" s="114" t="s">
        <v>11</v>
      </c>
      <c r="B18" s="185">
        <f t="shared" ref="B18:Y18" si="4">B10+B16</f>
        <v>0</v>
      </c>
      <c r="C18" s="185">
        <f t="shared" si="4"/>
        <v>0</v>
      </c>
      <c r="D18" s="231">
        <f t="shared" si="4"/>
        <v>-167.22503501853839</v>
      </c>
      <c r="E18" s="231">
        <f t="shared" si="4"/>
        <v>-2043.0072303616917</v>
      </c>
      <c r="F18" s="231">
        <f t="shared" si="4"/>
        <v>-3782.6857535626295</v>
      </c>
      <c r="G18" s="231">
        <f t="shared" si="4"/>
        <v>-5406.5525559828438</v>
      </c>
      <c r="H18" s="231">
        <f t="shared" si="4"/>
        <v>-7277.2321456155278</v>
      </c>
      <c r="I18" s="231">
        <f t="shared" si="4"/>
        <v>-8517.0800441535939</v>
      </c>
      <c r="J18" s="231">
        <f t="shared" si="4"/>
        <v>-9847.7585315016095</v>
      </c>
      <c r="K18" s="231">
        <f t="shared" si="4"/>
        <v>-10746.066495974253</v>
      </c>
      <c r="L18" s="231">
        <f t="shared" si="4"/>
        <v>-10412.4132458036</v>
      </c>
      <c r="M18" s="231">
        <f t="shared" si="4"/>
        <v>-10430.601288283531</v>
      </c>
      <c r="N18" s="231">
        <f t="shared" si="4"/>
        <v>-9308.1505646580463</v>
      </c>
      <c r="O18" s="231">
        <f t="shared" si="4"/>
        <v>-7495.7817510730392</v>
      </c>
      <c r="P18" s="231">
        <f t="shared" si="4"/>
        <v>-5788.4460080719164</v>
      </c>
      <c r="Q18" s="231">
        <f t="shared" si="4"/>
        <v>-3856.1928137351183</v>
      </c>
      <c r="R18" s="231">
        <f t="shared" si="4"/>
        <v>-3392.1810816861266</v>
      </c>
      <c r="S18" s="231">
        <f t="shared" si="4"/>
        <v>-2885.9174752684285</v>
      </c>
      <c r="T18" s="231">
        <f t="shared" si="4"/>
        <v>-2462.0155554418816</v>
      </c>
      <c r="U18" s="231">
        <f t="shared" si="4"/>
        <v>-1841.9851318066198</v>
      </c>
      <c r="V18" s="231">
        <f t="shared" si="4"/>
        <v>-1167.5384049167824</v>
      </c>
      <c r="W18" s="231">
        <f t="shared" si="4"/>
        <v>-692.98673493423507</v>
      </c>
      <c r="X18" s="231">
        <f t="shared" si="4"/>
        <v>-747.81383755683532</v>
      </c>
      <c r="Y18" s="231">
        <f t="shared" si="4"/>
        <v>-2018.495366432074</v>
      </c>
      <c r="Z18" s="231">
        <f t="shared" ref="Z18:AK18" si="5">Z10+Z16</f>
        <v>-3397.710440154809</v>
      </c>
      <c r="AA18" s="231">
        <f t="shared" si="5"/>
        <v>-4671.4105086386135</v>
      </c>
      <c r="AB18" s="231">
        <f t="shared" si="5"/>
        <v>-5983.9963728903131</v>
      </c>
      <c r="AC18" s="231">
        <f t="shared" si="5"/>
        <v>-6686.2769876253897</v>
      </c>
      <c r="AD18" s="231">
        <f t="shared" si="5"/>
        <v>-6764.6654434182728</v>
      </c>
      <c r="AE18" s="231">
        <f t="shared" si="5"/>
        <v>-7349.7417143469547</v>
      </c>
      <c r="AF18" s="231">
        <f t="shared" si="5"/>
        <v>-8067.7813796118953</v>
      </c>
      <c r="AG18" s="231">
        <f t="shared" si="5"/>
        <v>-8602.1873897992136</v>
      </c>
      <c r="AH18" s="231">
        <f t="shared" si="5"/>
        <v>-8569.564418605285</v>
      </c>
      <c r="AI18" s="231">
        <f t="shared" si="5"/>
        <v>-7895.4462475099863</v>
      </c>
      <c r="AJ18" s="231">
        <f t="shared" si="5"/>
        <v>-6178.4724251958232</v>
      </c>
      <c r="AK18" s="231">
        <f t="shared" si="5"/>
        <v>-3816.4252986856982</v>
      </c>
      <c r="AL18" s="231">
        <f>AL10+AL16</f>
        <v>-683.50276475299324</v>
      </c>
      <c r="AM18" s="231">
        <f t="shared" ref="AM18:AW18" si="6">AM10+AM16</f>
        <v>3468.6389010121056</v>
      </c>
      <c r="AN18" s="231">
        <f t="shared" si="6"/>
        <v>4360.3185837439996</v>
      </c>
      <c r="AO18" s="231">
        <f>AO10+AO16</f>
        <v>1660.4319054759753</v>
      </c>
      <c r="AP18" s="231">
        <f t="shared" si="6"/>
        <v>-618.07963499911693</v>
      </c>
      <c r="AQ18" s="231">
        <f t="shared" si="6"/>
        <v>-3138.1335290877732</v>
      </c>
      <c r="AR18" s="231">
        <f t="shared" si="6"/>
        <v>-5894.3041070071649</v>
      </c>
      <c r="AS18" s="231">
        <f t="shared" si="6"/>
        <v>-10277.278440779339</v>
      </c>
      <c r="AT18" s="231">
        <f t="shared" si="6"/>
        <v>-13443.38003935218</v>
      </c>
      <c r="AU18" s="231">
        <f t="shared" si="6"/>
        <v>-13425.229408239384</v>
      </c>
      <c r="AV18" s="231">
        <f t="shared" si="6"/>
        <v>-7079.0026699604241</v>
      </c>
      <c r="AW18" s="231">
        <f t="shared" si="6"/>
        <v>-5758.1448508805661</v>
      </c>
      <c r="AX18" s="231"/>
      <c r="AY18" s="353"/>
      <c r="AZ18" s="353"/>
      <c r="BA18" s="353"/>
      <c r="BB18" s="353"/>
      <c r="BC18" s="353"/>
      <c r="BD18" s="353"/>
      <c r="BE18" s="353"/>
    </row>
    <row r="19" spans="1:57" s="108" customFormat="1" ht="15">
      <c r="A19" s="114"/>
      <c r="B19" s="185"/>
      <c r="C19" s="185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AL19" s="353"/>
      <c r="AM19" s="353"/>
      <c r="AN19" s="353"/>
      <c r="AO19" s="353"/>
      <c r="AP19" s="353"/>
      <c r="AQ19" s="353"/>
      <c r="AR19" s="353"/>
      <c r="AS19" s="353"/>
      <c r="AT19" s="353"/>
      <c r="AU19" s="353"/>
      <c r="AV19" s="353"/>
      <c r="AW19" s="353"/>
      <c r="AX19" s="353"/>
      <c r="AY19" s="353"/>
      <c r="AZ19" s="353"/>
      <c r="BA19" s="353"/>
      <c r="BB19" s="353"/>
      <c r="BC19" s="353"/>
      <c r="BD19" s="353"/>
      <c r="BE19" s="353"/>
    </row>
    <row r="20" spans="1:57" s="108" customFormat="1" ht="15">
      <c r="A20" s="114" t="s">
        <v>104</v>
      </c>
      <c r="B20" s="185">
        <f t="shared" ref="B20:Y20" si="7">(B10+B18)/2</f>
        <v>0</v>
      </c>
      <c r="C20" s="185">
        <f t="shared" si="7"/>
        <v>0</v>
      </c>
      <c r="D20" s="231">
        <f t="shared" si="7"/>
        <v>-83.612517509269196</v>
      </c>
      <c r="E20" s="231">
        <f t="shared" si="7"/>
        <v>-1105.3864798300617</v>
      </c>
      <c r="F20" s="231">
        <f t="shared" si="7"/>
        <v>-2912.8464919621606</v>
      </c>
      <c r="G20" s="231">
        <f t="shared" si="7"/>
        <v>-4594.6191547727367</v>
      </c>
      <c r="H20" s="231">
        <f t="shared" si="7"/>
        <v>-6366.1877711728712</v>
      </c>
      <c r="I20" s="231">
        <f t="shared" si="7"/>
        <v>-7897.1560948845608</v>
      </c>
      <c r="J20" s="231">
        <f t="shared" si="7"/>
        <v>-9182.4192878276008</v>
      </c>
      <c r="K20" s="231">
        <f t="shared" si="7"/>
        <v>-10348.688574036094</v>
      </c>
      <c r="L20" s="231">
        <f t="shared" si="7"/>
        <v>-10579.239870888927</v>
      </c>
      <c r="M20" s="231">
        <f t="shared" si="7"/>
        <v>-10421.507267043566</v>
      </c>
      <c r="N20" s="231">
        <f t="shared" si="7"/>
        <v>-9934.6872508707238</v>
      </c>
      <c r="O20" s="231">
        <f t="shared" si="7"/>
        <v>-8401.9661578655432</v>
      </c>
      <c r="P20" s="231">
        <f t="shared" si="7"/>
        <v>-6642.1138795724783</v>
      </c>
      <c r="Q20" s="231">
        <f t="shared" si="7"/>
        <v>-4869.3627559631659</v>
      </c>
      <c r="R20" s="231">
        <f t="shared" si="7"/>
        <v>-3624.1869477106225</v>
      </c>
      <c r="S20" s="231">
        <f t="shared" si="7"/>
        <v>-3139.0492784772778</v>
      </c>
      <c r="T20" s="231">
        <f t="shared" si="7"/>
        <v>-2690.3006230925921</v>
      </c>
      <c r="U20" s="231">
        <f t="shared" si="7"/>
        <v>-2152.0003436242505</v>
      </c>
      <c r="V20" s="231">
        <f t="shared" si="7"/>
        <v>-1504.7617683617011</v>
      </c>
      <c r="W20" s="231">
        <f t="shared" si="7"/>
        <v>-938.85755071259427</v>
      </c>
      <c r="X20" s="231">
        <f t="shared" si="7"/>
        <v>-720.4002862455352</v>
      </c>
      <c r="Y20" s="231">
        <f t="shared" si="7"/>
        <v>-1383.1546019944547</v>
      </c>
      <c r="Z20" s="231">
        <f t="shared" ref="Z20:AK20" si="8">(Z10+Z18)/2</f>
        <v>-2712.222836804523</v>
      </c>
      <c r="AA20" s="231">
        <f t="shared" si="8"/>
        <v>-4034.5604743967115</v>
      </c>
      <c r="AB20" s="231">
        <f t="shared" si="8"/>
        <v>-5327.7034407644633</v>
      </c>
      <c r="AC20" s="231">
        <f t="shared" si="8"/>
        <v>-6351.4875477344722</v>
      </c>
      <c r="AD20" s="231">
        <f t="shared" si="8"/>
        <v>-6725.4712155218313</v>
      </c>
      <c r="AE20" s="231">
        <f t="shared" si="8"/>
        <v>-7057.2035788826142</v>
      </c>
      <c r="AF20" s="231">
        <f t="shared" si="8"/>
        <v>-7736.0265584844046</v>
      </c>
      <c r="AG20" s="231">
        <f t="shared" si="8"/>
        <v>-8334.9843847055545</v>
      </c>
      <c r="AH20" s="231">
        <f t="shared" si="8"/>
        <v>-8585.8759042022502</v>
      </c>
      <c r="AI20" s="231">
        <f t="shared" si="8"/>
        <v>-8265.8948673301456</v>
      </c>
      <c r="AJ20" s="231">
        <f t="shared" si="8"/>
        <v>-7036.9593363529048</v>
      </c>
      <c r="AK20" s="231">
        <f t="shared" si="8"/>
        <v>-4997.4488619407603</v>
      </c>
      <c r="AL20" s="231">
        <f>(AL10+AL18)/2</f>
        <v>-2277.4540254540443</v>
      </c>
      <c r="AM20" s="231">
        <f t="shared" ref="AM20:AW20" si="9">(AM10+AM18)/2</f>
        <v>1392.5680681295562</v>
      </c>
      <c r="AN20" s="231">
        <f t="shared" si="9"/>
        <v>3914.4787423780526</v>
      </c>
      <c r="AO20" s="231">
        <f t="shared" si="9"/>
        <v>3014.4778181730808</v>
      </c>
      <c r="AP20" s="231">
        <f t="shared" si="9"/>
        <v>521.1761352384292</v>
      </c>
      <c r="AQ20" s="231">
        <f t="shared" si="9"/>
        <v>-1878.1065820434451</v>
      </c>
      <c r="AR20" s="231">
        <f t="shared" si="9"/>
        <v>-4513.9742226487415</v>
      </c>
      <c r="AS20" s="231">
        <f t="shared" si="9"/>
        <v>-8085.7912738932519</v>
      </c>
      <c r="AT20" s="231">
        <f t="shared" si="9"/>
        <v>-11860.329240065759</v>
      </c>
      <c r="AU20" s="231">
        <f t="shared" si="9"/>
        <v>-13467.427768751604</v>
      </c>
      <c r="AV20" s="231">
        <f t="shared" si="9"/>
        <v>-10252.116039099903</v>
      </c>
      <c r="AW20" s="231">
        <f t="shared" si="9"/>
        <v>-6418.5737604204951</v>
      </c>
      <c r="AX20" s="353"/>
      <c r="AY20" s="353"/>
      <c r="AZ20" s="353"/>
      <c r="BA20" s="353"/>
      <c r="BB20" s="353"/>
      <c r="BC20" s="353"/>
      <c r="BD20" s="353"/>
      <c r="BE20" s="353"/>
    </row>
    <row r="21" spans="1:57" s="108" customFormat="1" ht="18">
      <c r="A21" s="114" t="s">
        <v>105</v>
      </c>
      <c r="B21" s="236">
        <f>B34</f>
        <v>7.7600000000000002E-2</v>
      </c>
      <c r="C21" s="236">
        <f>B21</f>
        <v>7.7600000000000002E-2</v>
      </c>
      <c r="D21" s="236">
        <f>C21</f>
        <v>7.7600000000000002E-2</v>
      </c>
      <c r="E21" s="236">
        <f>B35</f>
        <v>6.7699999999999996E-2</v>
      </c>
      <c r="F21" s="236">
        <f>E21</f>
        <v>6.7699999999999996E-2</v>
      </c>
      <c r="G21" s="236">
        <f>E21</f>
        <v>6.7699999999999996E-2</v>
      </c>
      <c r="H21" s="236">
        <f>B36</f>
        <v>5.2999999999999999E-2</v>
      </c>
      <c r="I21" s="236">
        <f>H21</f>
        <v>5.2999999999999999E-2</v>
      </c>
      <c r="J21" s="236">
        <f>H21</f>
        <v>5.2999999999999999E-2</v>
      </c>
      <c r="K21" s="236">
        <f>B37</f>
        <v>0.05</v>
      </c>
      <c r="L21" s="236">
        <f>K21</f>
        <v>0.05</v>
      </c>
      <c r="M21" s="236">
        <f>K21</f>
        <v>0.05</v>
      </c>
      <c r="N21" s="246">
        <f>N34</f>
        <v>4.5199999999999997E-2</v>
      </c>
      <c r="O21" s="246">
        <f>N21</f>
        <v>4.5199999999999997E-2</v>
      </c>
      <c r="P21" s="246">
        <f>N21</f>
        <v>4.5199999999999997E-2</v>
      </c>
      <c r="Q21" s="246">
        <f>N35</f>
        <v>3.3700000000000001E-2</v>
      </c>
      <c r="R21" s="246">
        <f>Q21</f>
        <v>3.3700000000000001E-2</v>
      </c>
      <c r="S21" s="246">
        <f>Q21</f>
        <v>3.3700000000000001E-2</v>
      </c>
      <c r="T21" s="246">
        <f>N36</f>
        <v>3.2500000000000001E-2</v>
      </c>
      <c r="U21" s="246">
        <f>T21</f>
        <v>3.2500000000000001E-2</v>
      </c>
      <c r="V21" s="246">
        <f>T21</f>
        <v>3.2500000000000001E-2</v>
      </c>
      <c r="W21" s="246">
        <f>N37</f>
        <v>3.2500000000000001E-2</v>
      </c>
      <c r="X21" s="246">
        <f>W21</f>
        <v>3.2500000000000001E-2</v>
      </c>
      <c r="Y21" s="246">
        <f>W21</f>
        <v>3.2500000000000001E-2</v>
      </c>
      <c r="Z21" s="246">
        <f>Z34</f>
        <v>3.2500000000000001E-2</v>
      </c>
      <c r="AA21" s="246">
        <f>Z21</f>
        <v>3.2500000000000001E-2</v>
      </c>
      <c r="AB21" s="246">
        <f>Z21</f>
        <v>3.2500000000000001E-2</v>
      </c>
      <c r="AC21" s="246">
        <f>Z35</f>
        <v>3.2500000000000001E-2</v>
      </c>
      <c r="AD21" s="246">
        <f>AC21</f>
        <v>3.2500000000000001E-2</v>
      </c>
      <c r="AE21" s="246">
        <f>AC21</f>
        <v>3.2500000000000001E-2</v>
      </c>
      <c r="AF21" s="246">
        <f>Z36</f>
        <v>3.2500000000000001E-2</v>
      </c>
      <c r="AG21" s="246">
        <f>AF21</f>
        <v>3.2500000000000001E-2</v>
      </c>
      <c r="AH21" s="246">
        <f>AF21</f>
        <v>3.2500000000000001E-2</v>
      </c>
      <c r="AI21" s="246">
        <f>Z37</f>
        <v>3.2500000000000001E-2</v>
      </c>
      <c r="AJ21" s="246">
        <f>AI21</f>
        <v>3.2500000000000001E-2</v>
      </c>
      <c r="AK21" s="246">
        <f>AI21</f>
        <v>3.2500000000000001E-2</v>
      </c>
      <c r="AL21" s="464">
        <f>AL34</f>
        <v>3.2500000000000001E-2</v>
      </c>
      <c r="AM21" s="464">
        <f>AL34</f>
        <v>3.2500000000000001E-2</v>
      </c>
      <c r="AN21" s="464">
        <f>AL34</f>
        <v>3.2500000000000001E-2</v>
      </c>
      <c r="AO21" s="464">
        <f>AL35</f>
        <v>3.2500000000000001E-2</v>
      </c>
      <c r="AP21" s="464">
        <f>AL35</f>
        <v>3.2500000000000001E-2</v>
      </c>
      <c r="AQ21" s="464">
        <f>AL35</f>
        <v>3.2500000000000001E-2</v>
      </c>
      <c r="AR21" s="464">
        <f>AL36</f>
        <v>3.2500000000000001E-2</v>
      </c>
      <c r="AS21" s="464">
        <f>AL36</f>
        <v>3.2500000000000001E-2</v>
      </c>
      <c r="AT21" s="464">
        <f>AL36</f>
        <v>3.2500000000000001E-2</v>
      </c>
      <c r="AU21" s="464">
        <f>AL37</f>
        <v>3.2500000000000001E-2</v>
      </c>
      <c r="AV21" s="464">
        <f>AL37</f>
        <v>3.2500000000000001E-2</v>
      </c>
      <c r="AW21" s="464">
        <f>AL37</f>
        <v>3.2500000000000001E-2</v>
      </c>
      <c r="AX21" s="353"/>
      <c r="AY21" s="353"/>
      <c r="AZ21" s="353"/>
      <c r="BA21" s="353"/>
      <c r="BB21" s="353"/>
      <c r="BC21" s="353"/>
      <c r="BD21" s="353"/>
      <c r="BE21" s="353"/>
    </row>
    <row r="22" spans="1:57" s="108" customFormat="1" ht="15">
      <c r="A22" s="114" t="s">
        <v>85</v>
      </c>
      <c r="B22" s="213">
        <f t="shared" ref="B22:M22" si="10">+B20*B21/12</f>
        <v>0</v>
      </c>
      <c r="C22" s="213">
        <f t="shared" si="10"/>
        <v>0</v>
      </c>
      <c r="D22" s="232">
        <f t="shared" si="10"/>
        <v>-0.54069427989327412</v>
      </c>
      <c r="E22" s="232">
        <f t="shared" si="10"/>
        <v>-6.2362220570412648</v>
      </c>
      <c r="F22" s="232">
        <f t="shared" si="10"/>
        <v>-16.433308958819854</v>
      </c>
      <c r="G22" s="232">
        <f t="shared" si="10"/>
        <v>-25.92130973150952</v>
      </c>
      <c r="H22" s="232">
        <f t="shared" si="10"/>
        <v>-28.117329322680181</v>
      </c>
      <c r="I22" s="232">
        <f t="shared" si="10"/>
        <v>-34.87910608574014</v>
      </c>
      <c r="J22" s="232">
        <f t="shared" si="10"/>
        <v>-40.555685187905233</v>
      </c>
      <c r="K22" s="232">
        <f t="shared" si="10"/>
        <v>-43.119535725150392</v>
      </c>
      <c r="L22" s="232">
        <f t="shared" si="10"/>
        <v>-44.080166128703866</v>
      </c>
      <c r="M22" s="232">
        <f t="shared" si="10"/>
        <v>-43.422946946014861</v>
      </c>
      <c r="N22" s="232">
        <f t="shared" ref="N22:Y22" si="11">+N20*N21/12</f>
        <v>-37.420655311613054</v>
      </c>
      <c r="O22" s="232">
        <f t="shared" si="11"/>
        <v>-31.647405861293546</v>
      </c>
      <c r="P22" s="232">
        <f t="shared" si="11"/>
        <v>-25.018628946389668</v>
      </c>
      <c r="Q22" s="232">
        <f t="shared" si="11"/>
        <v>-13.674793739663224</v>
      </c>
      <c r="R22" s="232">
        <f t="shared" si="11"/>
        <v>-10.177925011487332</v>
      </c>
      <c r="S22" s="232">
        <f t="shared" si="11"/>
        <v>-8.8154967237236885</v>
      </c>
      <c r="T22" s="232">
        <f t="shared" si="11"/>
        <v>-7.2862308542091041</v>
      </c>
      <c r="U22" s="232">
        <f t="shared" si="11"/>
        <v>-5.8283342639823452</v>
      </c>
      <c r="V22" s="232">
        <f t="shared" si="11"/>
        <v>-4.0753964559796074</v>
      </c>
      <c r="W22" s="232">
        <f t="shared" si="11"/>
        <v>-2.5427391998466096</v>
      </c>
      <c r="X22" s="232">
        <f t="shared" si="11"/>
        <v>-1.9510841085816579</v>
      </c>
      <c r="Y22" s="232">
        <f t="shared" si="11"/>
        <v>-3.7460437137349811</v>
      </c>
      <c r="Z22" s="232">
        <f t="shared" ref="Z22:AJ22" si="12">+Z20*Z21/12</f>
        <v>-7.3456035163455837</v>
      </c>
      <c r="AA22" s="232">
        <f t="shared" si="12"/>
        <v>-10.926934618157761</v>
      </c>
      <c r="AB22" s="232">
        <f t="shared" si="12"/>
        <v>-14.429196818737088</v>
      </c>
      <c r="AC22" s="232">
        <f t="shared" si="12"/>
        <v>-17.201945441780861</v>
      </c>
      <c r="AD22" s="232">
        <f t="shared" si="12"/>
        <v>-18.214817875371626</v>
      </c>
      <c r="AE22" s="232">
        <f t="shared" si="12"/>
        <v>-19.11325969280708</v>
      </c>
      <c r="AF22" s="232">
        <f t="shared" si="12"/>
        <v>-20.951738595895264</v>
      </c>
      <c r="AG22" s="232">
        <f t="shared" si="12"/>
        <v>-22.573916041910877</v>
      </c>
      <c r="AH22" s="232">
        <f t="shared" si="12"/>
        <v>-23.253413907214426</v>
      </c>
      <c r="AI22" s="232">
        <f t="shared" si="12"/>
        <v>-22.386798599019144</v>
      </c>
      <c r="AJ22" s="232">
        <f t="shared" si="12"/>
        <v>-19.058431535955783</v>
      </c>
      <c r="AK22" s="232">
        <f>+AK20*AK21/12</f>
        <v>-13.534757334422892</v>
      </c>
      <c r="AL22" s="465">
        <f>+AL20*AL21/12</f>
        <v>-6.1681046522713707</v>
      </c>
      <c r="AM22" s="465">
        <f t="shared" ref="AM22:AW22" si="13">+AM20*AM21/12</f>
        <v>3.7715385178508813</v>
      </c>
      <c r="AN22" s="465">
        <f t="shared" si="13"/>
        <v>10.601713260607227</v>
      </c>
      <c r="AO22" s="465">
        <f t="shared" si="13"/>
        <v>8.1642107575520946</v>
      </c>
      <c r="AP22" s="465">
        <f t="shared" si="13"/>
        <v>1.4115186996040789</v>
      </c>
      <c r="AQ22" s="465">
        <f t="shared" si="13"/>
        <v>-5.0865386597009978</v>
      </c>
      <c r="AR22" s="465">
        <f t="shared" si="13"/>
        <v>-12.225346853007009</v>
      </c>
      <c r="AS22" s="465">
        <f t="shared" si="13"/>
        <v>-21.899018033460891</v>
      </c>
      <c r="AT22" s="465">
        <f t="shared" si="13"/>
        <v>-32.121725025178101</v>
      </c>
      <c r="AU22" s="465">
        <f t="shared" si="13"/>
        <v>-36.47428354036893</v>
      </c>
      <c r="AV22" s="465">
        <f t="shared" si="13"/>
        <v>-27.766147605895572</v>
      </c>
      <c r="AW22" s="465">
        <f t="shared" si="13"/>
        <v>-17.383637267805508</v>
      </c>
      <c r="AX22" s="353"/>
      <c r="AY22" s="353"/>
      <c r="AZ22" s="353"/>
      <c r="BA22" s="353"/>
      <c r="BB22" s="353"/>
      <c r="BC22" s="353"/>
      <c r="BD22" s="353"/>
      <c r="BE22" s="353"/>
    </row>
    <row r="23" spans="1:57" ht="15">
      <c r="A23" s="118" t="s">
        <v>106</v>
      </c>
      <c r="B23" s="233"/>
      <c r="C23" s="233"/>
      <c r="D23" s="227">
        <f>SUM(B22:D22)</f>
        <v>-0.54069427989327412</v>
      </c>
      <c r="E23" s="227"/>
      <c r="F23" s="227"/>
      <c r="G23" s="227">
        <f>SUM(E22:G22)</f>
        <v>-48.590840747370635</v>
      </c>
      <c r="H23" s="227"/>
      <c r="I23" s="227"/>
      <c r="J23" s="227">
        <f>SUM(H22:J22)</f>
        <v>-103.55212059632555</v>
      </c>
      <c r="K23" s="185"/>
      <c r="L23" s="185"/>
      <c r="M23" s="228">
        <f>SUM(K22:M22)</f>
        <v>-130.62264879986913</v>
      </c>
      <c r="N23" s="188"/>
      <c r="P23" s="250">
        <f>SUM(N22:P22)</f>
        <v>-94.086690119296264</v>
      </c>
      <c r="S23" s="250">
        <f>SUM(Q22:S22)</f>
        <v>-32.668215474874245</v>
      </c>
      <c r="V23" s="249">
        <f>SUM(T22:V22)</f>
        <v>-17.189961574171058</v>
      </c>
      <c r="Y23" s="249">
        <f>SUM(W22:Y22)</f>
        <v>-8.2398670221632493</v>
      </c>
      <c r="Z23" s="188"/>
      <c r="AB23" s="250">
        <f>SUM(Z22:AB22)</f>
        <v>-32.701734953240432</v>
      </c>
      <c r="AE23" s="250">
        <f>SUM(AC22:AE22)</f>
        <v>-54.530023009959564</v>
      </c>
      <c r="AH23" s="443">
        <f>SUM(AF22:AH22)</f>
        <v>-66.779068545020564</v>
      </c>
      <c r="AK23" s="443">
        <f>SUM(AI22:AK22)</f>
        <v>-54.97998746939782</v>
      </c>
      <c r="AL23" s="466"/>
      <c r="AM23" s="355"/>
      <c r="AN23" s="231">
        <f>SUM(AL22:AN22)</f>
        <v>8.2051471261867377</v>
      </c>
      <c r="AO23" s="355"/>
      <c r="AP23" s="355"/>
      <c r="AQ23" s="231">
        <f>SUM(AO22:AQ22)</f>
        <v>4.4891907974551755</v>
      </c>
      <c r="AR23" s="355"/>
      <c r="AS23" s="355"/>
      <c r="AT23" s="349">
        <f>SUM(AR22:AT22)</f>
        <v>-66.24608991164601</v>
      </c>
      <c r="AU23" s="355"/>
      <c r="AV23" s="355"/>
      <c r="AW23" s="349">
        <f>SUM(AU22:AW22)</f>
        <v>-81.62406841407001</v>
      </c>
      <c r="AX23" s="355"/>
      <c r="AY23" s="355"/>
      <c r="AZ23" s="355"/>
      <c r="BA23" s="355"/>
      <c r="BB23" s="355"/>
      <c r="BC23" s="355"/>
      <c r="BD23" s="355"/>
      <c r="BE23" s="355"/>
    </row>
    <row r="24" spans="1:57" ht="15">
      <c r="A24" s="114" t="s">
        <v>187</v>
      </c>
      <c r="B24" s="233"/>
      <c r="C24" s="234"/>
      <c r="D24" s="213">
        <f>D18</f>
        <v>-167.22503501853839</v>
      </c>
      <c r="E24" s="213">
        <f t="shared" ref="E24:Y24" si="14">E18</f>
        <v>-2043.0072303616917</v>
      </c>
      <c r="F24" s="213">
        <f t="shared" si="14"/>
        <v>-3782.6857535626295</v>
      </c>
      <c r="G24" s="213">
        <f t="shared" si="14"/>
        <v>-5406.5525559828438</v>
      </c>
      <c r="H24" s="213">
        <f t="shared" si="14"/>
        <v>-7277.2321456155278</v>
      </c>
      <c r="I24" s="213">
        <f t="shared" si="14"/>
        <v>-8517.0800441535939</v>
      </c>
      <c r="J24" s="213">
        <f t="shared" si="14"/>
        <v>-9847.7585315016095</v>
      </c>
      <c r="K24" s="213">
        <f t="shared" si="14"/>
        <v>-10746.066495974253</v>
      </c>
      <c r="L24" s="213">
        <f t="shared" si="14"/>
        <v>-10412.4132458036</v>
      </c>
      <c r="M24" s="213">
        <f t="shared" si="14"/>
        <v>-10430.601288283531</v>
      </c>
      <c r="N24" s="213">
        <f t="shared" si="14"/>
        <v>-9308.1505646580463</v>
      </c>
      <c r="O24" s="213">
        <f t="shared" si="14"/>
        <v>-7495.7817510730392</v>
      </c>
      <c r="P24" s="213">
        <f t="shared" si="14"/>
        <v>-5788.4460080719164</v>
      </c>
      <c r="Q24" s="213">
        <f t="shared" si="14"/>
        <v>-3856.1928137351183</v>
      </c>
      <c r="R24" s="213">
        <f t="shared" si="14"/>
        <v>-3392.1810816861266</v>
      </c>
      <c r="S24" s="213">
        <f t="shared" si="14"/>
        <v>-2885.9174752684285</v>
      </c>
      <c r="T24" s="213">
        <f t="shared" si="14"/>
        <v>-2462.0155554418816</v>
      </c>
      <c r="U24" s="213">
        <f t="shared" si="14"/>
        <v>-1841.9851318066198</v>
      </c>
      <c r="V24" s="213">
        <f t="shared" si="14"/>
        <v>-1167.5384049167824</v>
      </c>
      <c r="W24" s="213">
        <f t="shared" si="14"/>
        <v>-692.98673493423507</v>
      </c>
      <c r="X24" s="213">
        <f t="shared" si="14"/>
        <v>-747.81383755683532</v>
      </c>
      <c r="Y24" s="213">
        <f t="shared" si="14"/>
        <v>-2018.495366432074</v>
      </c>
      <c r="Z24" s="213">
        <f t="shared" ref="Z24:AK24" si="15">Z18</f>
        <v>-3397.710440154809</v>
      </c>
      <c r="AA24" s="213">
        <f t="shared" si="15"/>
        <v>-4671.4105086386135</v>
      </c>
      <c r="AB24" s="213">
        <f t="shared" si="15"/>
        <v>-5983.9963728903131</v>
      </c>
      <c r="AC24" s="213">
        <f t="shared" si="15"/>
        <v>-6686.2769876253897</v>
      </c>
      <c r="AD24" s="213">
        <f t="shared" si="15"/>
        <v>-6764.6654434182728</v>
      </c>
      <c r="AE24" s="213">
        <f t="shared" si="15"/>
        <v>-7349.7417143469547</v>
      </c>
      <c r="AF24" s="213">
        <f t="shared" si="15"/>
        <v>-8067.7813796118953</v>
      </c>
      <c r="AG24" s="213">
        <f t="shared" si="15"/>
        <v>-8602.1873897992136</v>
      </c>
      <c r="AH24" s="213">
        <f t="shared" si="15"/>
        <v>-8569.564418605285</v>
      </c>
      <c r="AI24" s="213">
        <f t="shared" si="15"/>
        <v>-7895.4462475099863</v>
      </c>
      <c r="AJ24" s="213">
        <f t="shared" si="15"/>
        <v>-6178.4724251958232</v>
      </c>
      <c r="AK24" s="213">
        <f t="shared" si="15"/>
        <v>-3816.4252986856982</v>
      </c>
      <c r="AL24" s="467">
        <f>AL18</f>
        <v>-683.50276475299324</v>
      </c>
      <c r="AM24" s="467">
        <f>AM18</f>
        <v>3468.6389010121056</v>
      </c>
      <c r="AN24" s="467">
        <f>AN18</f>
        <v>4360.3185837439996</v>
      </c>
      <c r="AO24" s="467">
        <f>AO18</f>
        <v>1660.4319054759753</v>
      </c>
      <c r="AP24" s="467">
        <f t="shared" ref="AP24:AW24" si="16">AP18</f>
        <v>-618.07963499911693</v>
      </c>
      <c r="AQ24" s="467">
        <f t="shared" si="16"/>
        <v>-3138.1335290877732</v>
      </c>
      <c r="AR24" s="467">
        <f t="shared" si="16"/>
        <v>-5894.3041070071649</v>
      </c>
      <c r="AS24" s="467">
        <f t="shared" si="16"/>
        <v>-10277.278440779339</v>
      </c>
      <c r="AT24" s="467">
        <f t="shared" si="16"/>
        <v>-13443.38003935218</v>
      </c>
      <c r="AU24" s="467">
        <f t="shared" si="16"/>
        <v>-13425.229408239384</v>
      </c>
      <c r="AV24" s="467">
        <f t="shared" si="16"/>
        <v>-7079.0026699604241</v>
      </c>
      <c r="AW24" s="467">
        <f t="shared" si="16"/>
        <v>-5758.1448508805661</v>
      </c>
      <c r="AX24" s="233"/>
      <c r="AY24" s="355"/>
      <c r="AZ24" s="355"/>
      <c r="BA24" s="355"/>
      <c r="BB24" s="355"/>
      <c r="BC24" s="355"/>
      <c r="BD24" s="355"/>
      <c r="BE24" s="355"/>
    </row>
    <row r="25" spans="1:57" ht="15">
      <c r="A25" s="114" t="s">
        <v>188</v>
      </c>
      <c r="B25" s="235"/>
      <c r="C25" s="235"/>
      <c r="D25" s="185">
        <f>SUM(D23:D24)</f>
        <v>-167.76572929843167</v>
      </c>
      <c r="E25" s="185">
        <f t="shared" ref="E25:M25" si="17">SUM(E23:E24)</f>
        <v>-2043.0072303616917</v>
      </c>
      <c r="F25" s="185">
        <f t="shared" si="17"/>
        <v>-3782.6857535626295</v>
      </c>
      <c r="G25" s="185">
        <f t="shared" si="17"/>
        <v>-5455.1433967302146</v>
      </c>
      <c r="H25" s="185">
        <f t="shared" si="17"/>
        <v>-7277.2321456155278</v>
      </c>
      <c r="I25" s="185">
        <f t="shared" si="17"/>
        <v>-8517.0800441535939</v>
      </c>
      <c r="J25" s="185">
        <f t="shared" si="17"/>
        <v>-9951.3106520979345</v>
      </c>
      <c r="K25" s="185">
        <f t="shared" si="17"/>
        <v>-10746.066495974253</v>
      </c>
      <c r="L25" s="185">
        <f t="shared" si="17"/>
        <v>-10412.4132458036</v>
      </c>
      <c r="M25" s="185">
        <f t="shared" si="17"/>
        <v>-10561.2239370834</v>
      </c>
      <c r="N25" s="185">
        <f t="shared" ref="N25:Y25" si="18">SUM(N23:N24)</f>
        <v>-9308.1505646580463</v>
      </c>
      <c r="O25" s="185">
        <f t="shared" si="18"/>
        <v>-7495.7817510730392</v>
      </c>
      <c r="P25" s="185">
        <f t="shared" si="18"/>
        <v>-5882.5326981912131</v>
      </c>
      <c r="Q25" s="185">
        <f t="shared" si="18"/>
        <v>-3856.1928137351183</v>
      </c>
      <c r="R25" s="185">
        <f t="shared" si="18"/>
        <v>-3392.1810816861266</v>
      </c>
      <c r="S25" s="185">
        <f t="shared" si="18"/>
        <v>-2918.5856907433026</v>
      </c>
      <c r="T25" s="185">
        <f t="shared" si="18"/>
        <v>-2462.0155554418816</v>
      </c>
      <c r="U25" s="185">
        <f t="shared" si="18"/>
        <v>-1841.9851318066198</v>
      </c>
      <c r="V25" s="185">
        <f t="shared" si="18"/>
        <v>-1184.7283664909535</v>
      </c>
      <c r="W25" s="185">
        <f t="shared" si="18"/>
        <v>-692.98673493423507</v>
      </c>
      <c r="X25" s="185">
        <f t="shared" si="18"/>
        <v>-747.81383755683532</v>
      </c>
      <c r="Y25" s="185">
        <f t="shared" si="18"/>
        <v>-2026.7352334542372</v>
      </c>
      <c r="Z25" s="185">
        <f t="shared" ref="Z25:AK25" si="19">SUM(Z23:Z24)</f>
        <v>-3397.710440154809</v>
      </c>
      <c r="AA25" s="185">
        <f t="shared" si="19"/>
        <v>-4671.4105086386135</v>
      </c>
      <c r="AB25" s="185">
        <f t="shared" si="19"/>
        <v>-6016.6981078435538</v>
      </c>
      <c r="AC25" s="185">
        <f t="shared" si="19"/>
        <v>-6686.2769876253897</v>
      </c>
      <c r="AD25" s="185">
        <f t="shared" si="19"/>
        <v>-6764.6654434182728</v>
      </c>
      <c r="AE25" s="185">
        <f t="shared" si="19"/>
        <v>-7404.2717373569139</v>
      </c>
      <c r="AF25" s="185">
        <f t="shared" si="19"/>
        <v>-8067.7813796118953</v>
      </c>
      <c r="AG25" s="185">
        <f t="shared" si="19"/>
        <v>-8602.1873897992136</v>
      </c>
      <c r="AH25" s="185">
        <f t="shared" si="19"/>
        <v>-8636.343487150305</v>
      </c>
      <c r="AI25" s="185">
        <f t="shared" si="19"/>
        <v>-7895.4462475099863</v>
      </c>
      <c r="AJ25" s="185">
        <f t="shared" si="19"/>
        <v>-6178.4724251958232</v>
      </c>
      <c r="AK25" s="185">
        <f t="shared" si="19"/>
        <v>-3871.4052861550958</v>
      </c>
      <c r="AL25" s="276">
        <f t="shared" ref="AL25:AM25" si="20">SUM(AL23:AL24)</f>
        <v>-683.50276475299324</v>
      </c>
      <c r="AM25" s="276">
        <f t="shared" si="20"/>
        <v>3468.6389010121056</v>
      </c>
      <c r="AN25" s="276">
        <f t="shared" ref="AN25:AW25" si="21">SUM(AN23:AN24)</f>
        <v>4368.5237308701862</v>
      </c>
      <c r="AO25" s="276">
        <f t="shared" si="21"/>
        <v>1660.4319054759753</v>
      </c>
      <c r="AP25" s="276">
        <f t="shared" si="21"/>
        <v>-618.07963499911693</v>
      </c>
      <c r="AQ25" s="276">
        <f t="shared" si="21"/>
        <v>-3133.644338290318</v>
      </c>
      <c r="AR25" s="276">
        <f t="shared" si="21"/>
        <v>-5894.3041070071649</v>
      </c>
      <c r="AS25" s="276">
        <f t="shared" si="21"/>
        <v>-10277.278440779339</v>
      </c>
      <c r="AT25" s="276">
        <f t="shared" si="21"/>
        <v>-13509.626129263826</v>
      </c>
      <c r="AU25" s="276">
        <f t="shared" si="21"/>
        <v>-13425.229408239384</v>
      </c>
      <c r="AV25" s="276">
        <f t="shared" si="21"/>
        <v>-7079.0026699604241</v>
      </c>
      <c r="AW25" s="276">
        <f t="shared" si="21"/>
        <v>-5839.7689192946364</v>
      </c>
      <c r="AX25" s="233"/>
      <c r="AY25" s="355"/>
      <c r="AZ25" s="355"/>
      <c r="BA25" s="355"/>
      <c r="BB25" s="355"/>
      <c r="BC25" s="355"/>
      <c r="BD25" s="355"/>
      <c r="BE25" s="355"/>
    </row>
    <row r="26" spans="1:57">
      <c r="B26" s="96"/>
      <c r="C26" s="96"/>
      <c r="D26" s="93"/>
      <c r="E26" s="107"/>
      <c r="F26" s="94"/>
      <c r="G26" s="93"/>
      <c r="AL26" s="355"/>
      <c r="AM26" s="355"/>
      <c r="AN26" s="355"/>
      <c r="AO26" s="355"/>
      <c r="AP26" s="355"/>
      <c r="AQ26" s="355"/>
      <c r="AR26" s="355"/>
      <c r="AS26" s="355"/>
      <c r="AT26" s="355"/>
      <c r="AU26" s="355"/>
      <c r="AV26" s="355"/>
      <c r="AW26" s="355"/>
      <c r="AX26" s="355"/>
      <c r="AY26" s="355"/>
      <c r="AZ26" s="355"/>
      <c r="BA26" s="355"/>
      <c r="BB26" s="355"/>
      <c r="BC26" s="355"/>
      <c r="BD26" s="355"/>
      <c r="BE26" s="355"/>
    </row>
    <row r="27" spans="1:57" ht="15">
      <c r="A27" s="619" t="s">
        <v>317</v>
      </c>
      <c r="B27" s="96"/>
      <c r="C27" s="96"/>
      <c r="D27" s="93"/>
      <c r="E27" s="107"/>
      <c r="F27" s="94"/>
      <c r="G27" s="93"/>
      <c r="AL27" s="35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620">
        <v>-2000</v>
      </c>
      <c r="AX27" s="355"/>
      <c r="AY27" s="355"/>
      <c r="AZ27" s="355"/>
      <c r="BA27" s="355"/>
      <c r="BB27" s="355"/>
      <c r="BC27" s="355"/>
      <c r="BD27" s="355"/>
      <c r="BE27" s="355"/>
    </row>
    <row r="28" spans="1:57" ht="16.5" thickBot="1">
      <c r="A28" s="627" t="s">
        <v>318</v>
      </c>
      <c r="B28" s="621"/>
      <c r="C28" s="621"/>
      <c r="D28" s="622"/>
      <c r="E28" s="623"/>
      <c r="F28" s="624"/>
      <c r="G28" s="622"/>
      <c r="H28" s="625"/>
      <c r="I28" s="625"/>
      <c r="J28" s="625"/>
      <c r="K28" s="625"/>
      <c r="L28" s="625"/>
      <c r="M28" s="625"/>
      <c r="N28" s="625"/>
      <c r="O28" s="625"/>
      <c r="P28" s="625"/>
      <c r="Q28" s="625"/>
      <c r="R28" s="625"/>
      <c r="S28" s="625"/>
      <c r="T28" s="625"/>
      <c r="U28" s="625"/>
      <c r="V28" s="625"/>
      <c r="W28" s="625"/>
      <c r="X28" s="625"/>
      <c r="Y28" s="625"/>
      <c r="Z28" s="625"/>
      <c r="AA28" s="625"/>
      <c r="AB28" s="625"/>
      <c r="AC28" s="625"/>
      <c r="AD28" s="625"/>
      <c r="AE28" s="625"/>
      <c r="AF28" s="625"/>
      <c r="AG28" s="625"/>
      <c r="AH28" s="625"/>
      <c r="AI28" s="625"/>
      <c r="AJ28" s="625"/>
      <c r="AK28" s="625"/>
      <c r="AL28" s="626"/>
      <c r="AM28" s="626"/>
      <c r="AN28" s="626"/>
      <c r="AO28" s="626"/>
      <c r="AP28" s="626"/>
      <c r="AQ28" s="626"/>
      <c r="AR28" s="626"/>
      <c r="AS28" s="626"/>
      <c r="AT28" s="626"/>
      <c r="AU28" s="626"/>
      <c r="AV28" s="626"/>
      <c r="AW28" s="628">
        <f>AW25+AW27</f>
        <v>-7839.7689192946364</v>
      </c>
      <c r="AX28" s="355"/>
      <c r="AY28" s="355"/>
      <c r="AZ28" s="355"/>
      <c r="BA28" s="355"/>
      <c r="BB28" s="355"/>
      <c r="BC28" s="355"/>
      <c r="BD28" s="355"/>
      <c r="BE28" s="355"/>
    </row>
    <row r="29" spans="1:57" ht="15.75" thickTop="1">
      <c r="A29" s="114"/>
      <c r="B29" s="106"/>
      <c r="C29" s="106"/>
      <c r="D29" s="93"/>
      <c r="E29" s="93"/>
    </row>
    <row r="30" spans="1:57" s="117" customFormat="1" ht="30.75" customHeight="1">
      <c r="A30" s="314" t="s">
        <v>107</v>
      </c>
      <c r="B30" s="314"/>
      <c r="C30" s="314"/>
      <c r="D30" s="314"/>
      <c r="E30" s="314"/>
      <c r="F30" s="314"/>
      <c r="G30" s="314"/>
      <c r="H30" s="314"/>
      <c r="I30" s="314"/>
      <c r="J30" s="314"/>
      <c r="K30" s="314"/>
      <c r="L30" s="314"/>
      <c r="M30" s="314"/>
      <c r="N30" s="314"/>
      <c r="AL30" s="454"/>
    </row>
    <row r="31" spans="1:57" s="116" customFormat="1" ht="15">
      <c r="A31" s="315" t="s">
        <v>98</v>
      </c>
      <c r="B31" s="315"/>
      <c r="C31" s="315"/>
      <c r="D31" s="115"/>
      <c r="E31" s="115"/>
      <c r="F31" s="115"/>
    </row>
    <row r="32" spans="1:57" s="56" customFormat="1" ht="16.5">
      <c r="A32" s="699" t="s">
        <v>108</v>
      </c>
      <c r="B32" s="699"/>
      <c r="C32" s="699"/>
      <c r="D32" s="699"/>
      <c r="E32" s="699"/>
      <c r="F32" s="699"/>
      <c r="G32" s="699"/>
      <c r="H32" s="699"/>
      <c r="I32" s="699"/>
      <c r="J32" s="699"/>
      <c r="K32" s="699"/>
      <c r="L32" s="699"/>
      <c r="M32" s="699"/>
      <c r="N32" s="699"/>
    </row>
    <row r="33" spans="1:38" ht="19.5" customHeight="1">
      <c r="A33" s="105"/>
      <c r="B33" s="92">
        <v>2008</v>
      </c>
      <c r="C33" s="95"/>
      <c r="D33" s="95"/>
      <c r="E33" s="95"/>
      <c r="F33" s="95"/>
      <c r="N33" s="92">
        <v>2009</v>
      </c>
      <c r="Z33" s="92">
        <v>2010</v>
      </c>
      <c r="AL33" s="92">
        <v>2011</v>
      </c>
    </row>
    <row r="34" spans="1:38">
      <c r="A34" s="103" t="s">
        <v>86</v>
      </c>
      <c r="B34" s="104">
        <v>7.7600000000000002E-2</v>
      </c>
      <c r="N34" s="104">
        <v>4.5199999999999997E-2</v>
      </c>
      <c r="Z34" s="104">
        <v>3.2500000000000001E-2</v>
      </c>
      <c r="AL34" s="468">
        <v>3.2500000000000001E-2</v>
      </c>
    </row>
    <row r="35" spans="1:38">
      <c r="A35" s="103" t="s">
        <v>87</v>
      </c>
      <c r="B35" s="104">
        <v>6.7699999999999996E-2</v>
      </c>
      <c r="N35" s="104">
        <v>3.3700000000000001E-2</v>
      </c>
      <c r="Z35" s="104">
        <v>3.2500000000000001E-2</v>
      </c>
      <c r="AL35" s="468">
        <v>3.2500000000000001E-2</v>
      </c>
    </row>
    <row r="36" spans="1:38">
      <c r="A36" s="103" t="s">
        <v>88</v>
      </c>
      <c r="B36" s="104">
        <v>5.2999999999999999E-2</v>
      </c>
      <c r="N36" s="104">
        <v>3.2500000000000001E-2</v>
      </c>
      <c r="Z36" s="104">
        <v>3.2500000000000001E-2</v>
      </c>
      <c r="AL36" s="468">
        <v>3.2500000000000001E-2</v>
      </c>
    </row>
    <row r="37" spans="1:38">
      <c r="A37" s="103" t="s">
        <v>89</v>
      </c>
      <c r="B37" s="104">
        <v>0.05</v>
      </c>
      <c r="N37" s="104">
        <v>3.2500000000000001E-2</v>
      </c>
      <c r="Z37" s="104">
        <v>3.2500000000000001E-2</v>
      </c>
      <c r="AL37" s="468">
        <v>3.2500000000000001E-2</v>
      </c>
    </row>
    <row r="38" spans="1:38">
      <c r="A38" s="103"/>
      <c r="B38" s="104"/>
      <c r="N38" s="104"/>
      <c r="Z38" s="104"/>
    </row>
    <row r="39" spans="1:38">
      <c r="A39" s="103"/>
      <c r="B39" s="104"/>
      <c r="N39" s="104"/>
      <c r="Z39" s="104"/>
    </row>
    <row r="40" spans="1:38">
      <c r="A40" s="103"/>
      <c r="B40" s="104"/>
      <c r="N40" s="104"/>
      <c r="Z40" s="104"/>
    </row>
    <row r="41" spans="1:38" ht="15.75" hidden="1">
      <c r="A41" s="341" t="s">
        <v>241</v>
      </c>
      <c r="B41" s="104"/>
      <c r="N41" s="104"/>
      <c r="Z41" s="104"/>
    </row>
    <row r="42" spans="1:38" hidden="1"/>
    <row r="43" spans="1:38" s="354" customFormat="1" ht="24" hidden="1" customHeight="1">
      <c r="A43" s="353"/>
      <c r="B43" s="109" t="s">
        <v>100</v>
      </c>
      <c r="C43" s="109" t="s">
        <v>76</v>
      </c>
      <c r="D43" s="109" t="s">
        <v>77</v>
      </c>
      <c r="E43" s="109" t="s">
        <v>78</v>
      </c>
      <c r="F43" s="109" t="s">
        <v>75</v>
      </c>
      <c r="G43" s="109" t="s">
        <v>79</v>
      </c>
      <c r="H43" s="109" t="s">
        <v>80</v>
      </c>
      <c r="I43" s="109" t="s">
        <v>81</v>
      </c>
      <c r="J43" s="109" t="s">
        <v>82</v>
      </c>
      <c r="K43" s="109" t="s">
        <v>83</v>
      </c>
      <c r="L43" s="109" t="s">
        <v>84</v>
      </c>
      <c r="M43" s="109" t="s">
        <v>101</v>
      </c>
      <c r="N43" s="109" t="s">
        <v>100</v>
      </c>
      <c r="O43" s="109" t="s">
        <v>76</v>
      </c>
      <c r="P43" s="109" t="s">
        <v>77</v>
      </c>
      <c r="Q43" s="109" t="s">
        <v>78</v>
      </c>
      <c r="R43" s="109" t="s">
        <v>75</v>
      </c>
      <c r="S43" s="109" t="s">
        <v>79</v>
      </c>
      <c r="T43" s="109" t="s">
        <v>80</v>
      </c>
      <c r="U43" s="109" t="s">
        <v>81</v>
      </c>
      <c r="V43" s="109" t="s">
        <v>82</v>
      </c>
      <c r="W43" s="109" t="s">
        <v>83</v>
      </c>
      <c r="X43" s="109" t="s">
        <v>84</v>
      </c>
      <c r="Y43" s="109" t="s">
        <v>101</v>
      </c>
      <c r="Z43" s="109" t="s">
        <v>100</v>
      </c>
      <c r="AA43" s="109" t="s">
        <v>76</v>
      </c>
      <c r="AB43" s="109" t="s">
        <v>77</v>
      </c>
      <c r="AC43" s="109" t="s">
        <v>78</v>
      </c>
      <c r="AD43" s="109" t="s">
        <v>75</v>
      </c>
      <c r="AE43" s="109" t="s">
        <v>79</v>
      </c>
      <c r="AF43" s="109" t="s">
        <v>80</v>
      </c>
      <c r="AG43" s="109" t="s">
        <v>81</v>
      </c>
      <c r="AH43" s="109" t="s">
        <v>82</v>
      </c>
      <c r="AI43" s="109" t="s">
        <v>83</v>
      </c>
      <c r="AJ43" s="109" t="s">
        <v>84</v>
      </c>
      <c r="AK43" s="109" t="s">
        <v>101</v>
      </c>
    </row>
    <row r="44" spans="1:38" hidden="1">
      <c r="A44" s="103"/>
      <c r="B44" s="104"/>
    </row>
    <row r="45" spans="1:38" ht="15" hidden="1">
      <c r="A45" s="114" t="s">
        <v>10</v>
      </c>
      <c r="B45" s="185">
        <v>0</v>
      </c>
      <c r="C45" s="185" t="e">
        <f>B53</f>
        <v>#REF!</v>
      </c>
      <c r="D45" s="185" t="e">
        <f>C53</f>
        <v>#REF!</v>
      </c>
      <c r="E45" s="185" t="e">
        <f>D53+D58</f>
        <v>#REF!</v>
      </c>
      <c r="F45" s="185" t="e">
        <f>E53</f>
        <v>#REF!</v>
      </c>
      <c r="G45" s="185" t="e">
        <f>F53</f>
        <v>#REF!</v>
      </c>
      <c r="H45" s="185" t="e">
        <f>G53+G58</f>
        <v>#REF!</v>
      </c>
      <c r="I45" s="185" t="e">
        <f>H53</f>
        <v>#REF!</v>
      </c>
      <c r="J45" s="185" t="e">
        <f>I53</f>
        <v>#REF!</v>
      </c>
      <c r="K45" s="185" t="e">
        <f>J53+J58</f>
        <v>#REF!</v>
      </c>
      <c r="L45" s="185" t="e">
        <f>K53</f>
        <v>#REF!</v>
      </c>
      <c r="M45" s="185" t="e">
        <f>L53</f>
        <v>#REF!</v>
      </c>
      <c r="N45" s="185" t="e">
        <f t="shared" ref="N45:AK45" si="22">M53</f>
        <v>#REF!</v>
      </c>
      <c r="O45" s="185" t="e">
        <f t="shared" si="22"/>
        <v>#REF!</v>
      </c>
      <c r="P45" s="185" t="e">
        <f t="shared" si="22"/>
        <v>#REF!</v>
      </c>
      <c r="Q45" s="185" t="e">
        <f t="shared" si="22"/>
        <v>#REF!</v>
      </c>
      <c r="R45" s="185" t="e">
        <f t="shared" si="22"/>
        <v>#REF!</v>
      </c>
      <c r="S45" s="185" t="e">
        <f t="shared" si="22"/>
        <v>#REF!</v>
      </c>
      <c r="T45" s="185" t="e">
        <f t="shared" si="22"/>
        <v>#REF!</v>
      </c>
      <c r="U45" s="185" t="e">
        <f t="shared" si="22"/>
        <v>#REF!</v>
      </c>
      <c r="V45" s="185" t="e">
        <f t="shared" si="22"/>
        <v>#REF!</v>
      </c>
      <c r="W45" s="185" t="e">
        <f t="shared" si="22"/>
        <v>#REF!</v>
      </c>
      <c r="X45" s="185" t="e">
        <f t="shared" si="22"/>
        <v>#REF!</v>
      </c>
      <c r="Y45" s="185" t="e">
        <f t="shared" si="22"/>
        <v>#REF!</v>
      </c>
      <c r="Z45" s="185" t="e">
        <f t="shared" si="22"/>
        <v>#REF!</v>
      </c>
      <c r="AA45" s="185" t="e">
        <f t="shared" si="22"/>
        <v>#REF!</v>
      </c>
      <c r="AB45" s="185" t="e">
        <f t="shared" si="22"/>
        <v>#REF!</v>
      </c>
      <c r="AC45" s="185" t="e">
        <f t="shared" si="22"/>
        <v>#REF!</v>
      </c>
      <c r="AD45" s="185" t="e">
        <f t="shared" si="22"/>
        <v>#REF!</v>
      </c>
      <c r="AE45" s="185" t="e">
        <f t="shared" si="22"/>
        <v>#REF!</v>
      </c>
      <c r="AF45" s="185" t="e">
        <f t="shared" si="22"/>
        <v>#REF!</v>
      </c>
      <c r="AG45" s="185" t="e">
        <f t="shared" si="22"/>
        <v>#REF!</v>
      </c>
      <c r="AH45" s="185" t="e">
        <f t="shared" si="22"/>
        <v>#REF!</v>
      </c>
      <c r="AI45" s="185" t="e">
        <f t="shared" si="22"/>
        <v>#REF!</v>
      </c>
      <c r="AJ45" s="185" t="e">
        <f t="shared" si="22"/>
        <v>#REF!</v>
      </c>
      <c r="AK45" s="185" t="e">
        <f t="shared" si="22"/>
        <v>#REF!</v>
      </c>
    </row>
    <row r="46" spans="1:38" ht="15" hidden="1">
      <c r="A46" s="108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</row>
    <row r="47" spans="1:38" ht="15.75" hidden="1">
      <c r="A47" s="108" t="s">
        <v>102</v>
      </c>
      <c r="B47" s="229" t="e">
        <f>'Monthly Entry'!C37</f>
        <v>#REF!</v>
      </c>
      <c r="C47" s="229" t="e">
        <f>'Monthly Entry'!D37</f>
        <v>#REF!</v>
      </c>
      <c r="D47" s="229" t="e">
        <f>'Monthly Entry'!E37</f>
        <v>#REF!</v>
      </c>
      <c r="E47" s="229" t="e">
        <f>'Monthly Entry'!F37</f>
        <v>#REF!</v>
      </c>
      <c r="F47" s="229" t="e">
        <f>'Monthly Entry'!G37</f>
        <v>#REF!</v>
      </c>
      <c r="G47" s="229" t="e">
        <f>'Monthly Entry'!H37</f>
        <v>#REF!</v>
      </c>
      <c r="H47" s="229" t="e">
        <f>'Monthly Entry'!I37</f>
        <v>#REF!</v>
      </c>
      <c r="I47" s="229" t="e">
        <f>'Monthly Entry'!J37</f>
        <v>#REF!</v>
      </c>
      <c r="J47" s="229" t="e">
        <f>'Monthly Entry'!K37</f>
        <v>#REF!</v>
      </c>
      <c r="K47" s="229" t="e">
        <f>'Monthly Entry'!L37</f>
        <v>#REF!</v>
      </c>
      <c r="L47" s="229" t="e">
        <f>'Monthly Entry'!M37</f>
        <v>#REF!</v>
      </c>
      <c r="M47" s="229" t="e">
        <f>'Monthly Entry'!N37</f>
        <v>#REF!</v>
      </c>
      <c r="N47" s="229" t="e">
        <f>'Monthly Entry'!O37</f>
        <v>#REF!</v>
      </c>
      <c r="O47" s="229" t="e">
        <f>'Monthly Entry'!P37</f>
        <v>#REF!</v>
      </c>
      <c r="P47" s="229" t="e">
        <f>'Monthly Entry'!Q37</f>
        <v>#REF!</v>
      </c>
      <c r="Q47" s="229" t="e">
        <f>'Monthly Entry'!R37</f>
        <v>#REF!</v>
      </c>
      <c r="R47" s="229" t="e">
        <f>'Monthly Entry'!S37</f>
        <v>#REF!</v>
      </c>
      <c r="S47" s="229" t="e">
        <f>'Monthly Entry'!T37</f>
        <v>#REF!</v>
      </c>
      <c r="T47" s="229" t="e">
        <f>'Monthly Entry'!U37</f>
        <v>#REF!</v>
      </c>
      <c r="U47" s="229" t="e">
        <f>'Monthly Entry'!V37</f>
        <v>#REF!</v>
      </c>
      <c r="V47" s="229" t="e">
        <f>'Monthly Entry'!W37</f>
        <v>#REF!</v>
      </c>
      <c r="W47" s="229" t="e">
        <f>'Monthly Entry'!X37</f>
        <v>#REF!</v>
      </c>
      <c r="X47" s="229" t="e">
        <f>'Monthly Entry'!Y37</f>
        <v>#REF!</v>
      </c>
      <c r="Y47" s="229" t="e">
        <f>'Monthly Entry'!Z37</f>
        <v>#REF!</v>
      </c>
      <c r="Z47" s="229" t="e">
        <f>'Monthly Entry'!AA37</f>
        <v>#REF!</v>
      </c>
      <c r="AA47" s="229" t="e">
        <f>'Monthly Entry'!AB37</f>
        <v>#REF!</v>
      </c>
      <c r="AB47" s="229" t="e">
        <f>'Monthly Entry'!AC37</f>
        <v>#REF!</v>
      </c>
      <c r="AC47" s="229" t="e">
        <f>'Monthly Entry'!AD37</f>
        <v>#REF!</v>
      </c>
      <c r="AD47" s="229" t="e">
        <f>'Monthly Entry'!AE37</f>
        <v>#REF!</v>
      </c>
      <c r="AE47" s="229" t="e">
        <f>'Monthly Entry'!AF37</f>
        <v>#REF!</v>
      </c>
      <c r="AF47" s="229" t="e">
        <f>'Monthly Entry'!AG37</f>
        <v>#REF!</v>
      </c>
      <c r="AG47" s="229" t="e">
        <f>'Monthly Entry'!AH37</f>
        <v>#REF!</v>
      </c>
      <c r="AH47" s="229" t="e">
        <f>'Monthly Entry'!AI37</f>
        <v>#REF!</v>
      </c>
      <c r="AI47" s="229" t="e">
        <f>'Monthly Entry'!AJ37</f>
        <v>#REF!</v>
      </c>
      <c r="AJ47" s="229" t="e">
        <f>'Monthly Entry'!AK37</f>
        <v>#REF!</v>
      </c>
      <c r="AK47" s="229" t="e">
        <f>'Monthly Entry'!AL37</f>
        <v>#REF!</v>
      </c>
    </row>
    <row r="48" spans="1:38" ht="15.75" hidden="1">
      <c r="A48" s="10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</row>
    <row r="49" spans="1:37" ht="15.75" hidden="1">
      <c r="A49" s="114" t="s">
        <v>176</v>
      </c>
      <c r="B49" s="230">
        <f>B14</f>
        <v>0</v>
      </c>
      <c r="C49" s="230">
        <f t="shared" ref="C49:AK49" si="23">C14</f>
        <v>0</v>
      </c>
      <c r="D49" s="230">
        <f t="shared" si="23"/>
        <v>-1522.4872963041378</v>
      </c>
      <c r="E49" s="230">
        <f t="shared" si="23"/>
        <v>-3535.0560460265428</v>
      </c>
      <c r="F49" s="230">
        <f t="shared" si="23"/>
        <v>-3563.6539699785012</v>
      </c>
      <c r="G49" s="230">
        <f t="shared" si="23"/>
        <v>-3770.4015648452951</v>
      </c>
      <c r="H49" s="230">
        <f t="shared" si="23"/>
        <v>-4490.6212996953054</v>
      </c>
      <c r="I49" s="230">
        <f t="shared" si="23"/>
        <v>-4182.2284553284117</v>
      </c>
      <c r="J49" s="230">
        <f t="shared" si="23"/>
        <v>-4322.6176822805464</v>
      </c>
      <c r="K49" s="230">
        <f t="shared" si="23"/>
        <v>-4005.4483417789525</v>
      </c>
      <c r="L49" s="230">
        <f t="shared" si="23"/>
        <v>-3142.8565994851542</v>
      </c>
      <c r="M49" s="230">
        <f t="shared" si="23"/>
        <v>-3864.5406323973439</v>
      </c>
      <c r="N49" s="230">
        <f t="shared" si="23"/>
        <v>-3094.8015891045202</v>
      </c>
      <c r="O49" s="230">
        <f t="shared" si="23"/>
        <v>-2632.4130647701486</v>
      </c>
      <c r="P49" s="230">
        <f t="shared" si="23"/>
        <v>-2908.2523809327045</v>
      </c>
      <c r="Q49" s="230">
        <f t="shared" si="23"/>
        <v>-2893.6218767368605</v>
      </c>
      <c r="R49" s="230">
        <f t="shared" si="23"/>
        <v>-2930.9854632287238</v>
      </c>
      <c r="S49" s="230">
        <f t="shared" si="23"/>
        <v>-3199.3216614813232</v>
      </c>
      <c r="T49" s="230">
        <f t="shared" si="23"/>
        <v>-3553.5945230154034</v>
      </c>
      <c r="U49" s="230">
        <f t="shared" si="23"/>
        <v>-3612.4271687541045</v>
      </c>
      <c r="V49" s="230">
        <f t="shared" si="23"/>
        <v>-3756.2779714840167</v>
      </c>
      <c r="W49" s="230">
        <f t="shared" si="23"/>
        <v>-3379.6825463192822</v>
      </c>
      <c r="X49" s="230">
        <f t="shared" si="23"/>
        <v>-2784.8069689534486</v>
      </c>
      <c r="Y49" s="230">
        <f t="shared" si="23"/>
        <v>-3251.4114011854545</v>
      </c>
      <c r="Z49" s="230">
        <f t="shared" si="23"/>
        <v>-3117.2143429592365</v>
      </c>
      <c r="AA49" s="230">
        <f t="shared" si="23"/>
        <v>-3210.5058258502095</v>
      </c>
      <c r="AB49" s="230">
        <f t="shared" si="23"/>
        <v>-3464.2803064906984</v>
      </c>
      <c r="AC49" s="230">
        <f t="shared" si="23"/>
        <v>-3072.7159996231239</v>
      </c>
      <c r="AD49" s="230">
        <f t="shared" si="23"/>
        <v>-2829.2243977352714</v>
      </c>
      <c r="AE49" s="230">
        <f t="shared" si="23"/>
        <v>-3638.1393160542507</v>
      </c>
      <c r="AF49" s="230">
        <f t="shared" si="23"/>
        <v>-4136.310295168757</v>
      </c>
      <c r="AG49" s="230">
        <f t="shared" si="23"/>
        <v>-4533.0934107670582</v>
      </c>
      <c r="AH49" s="230">
        <f t="shared" si="23"/>
        <v>-4369.5610247064014</v>
      </c>
      <c r="AI49" s="230">
        <f t="shared" si="23"/>
        <v>-4092.1948246837296</v>
      </c>
      <c r="AJ49" s="230">
        <f t="shared" si="23"/>
        <v>-3679.1031200306984</v>
      </c>
      <c r="AK49" s="230">
        <f t="shared" si="23"/>
        <v>-4010.3813261490859</v>
      </c>
    </row>
    <row r="50" spans="1:37" ht="15" hidden="1">
      <c r="A50" s="11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</row>
    <row r="51" spans="1:37" ht="15" hidden="1">
      <c r="A51" s="114" t="s">
        <v>103</v>
      </c>
      <c r="B51" s="185" t="e">
        <f>B47+B49</f>
        <v>#REF!</v>
      </c>
      <c r="C51" s="185" t="e">
        <f t="shared" ref="C51:AK51" si="24">C47+C49</f>
        <v>#REF!</v>
      </c>
      <c r="D51" s="185" t="e">
        <f t="shared" si="24"/>
        <v>#REF!</v>
      </c>
      <c r="E51" s="185" t="e">
        <f t="shared" si="24"/>
        <v>#REF!</v>
      </c>
      <c r="F51" s="185" t="e">
        <f t="shared" si="24"/>
        <v>#REF!</v>
      </c>
      <c r="G51" s="185" t="e">
        <f t="shared" si="24"/>
        <v>#REF!</v>
      </c>
      <c r="H51" s="185" t="e">
        <f t="shared" si="24"/>
        <v>#REF!</v>
      </c>
      <c r="I51" s="185" t="e">
        <f t="shared" si="24"/>
        <v>#REF!</v>
      </c>
      <c r="J51" s="185" t="e">
        <f t="shared" si="24"/>
        <v>#REF!</v>
      </c>
      <c r="K51" s="185" t="e">
        <f t="shared" si="24"/>
        <v>#REF!</v>
      </c>
      <c r="L51" s="185" t="e">
        <f t="shared" si="24"/>
        <v>#REF!</v>
      </c>
      <c r="M51" s="185" t="e">
        <f t="shared" si="24"/>
        <v>#REF!</v>
      </c>
      <c r="N51" s="185" t="e">
        <f t="shared" si="24"/>
        <v>#REF!</v>
      </c>
      <c r="O51" s="185" t="e">
        <f t="shared" si="24"/>
        <v>#REF!</v>
      </c>
      <c r="P51" s="185" t="e">
        <f t="shared" si="24"/>
        <v>#REF!</v>
      </c>
      <c r="Q51" s="185" t="e">
        <f t="shared" si="24"/>
        <v>#REF!</v>
      </c>
      <c r="R51" s="185" t="e">
        <f t="shared" si="24"/>
        <v>#REF!</v>
      </c>
      <c r="S51" s="185" t="e">
        <f t="shared" si="24"/>
        <v>#REF!</v>
      </c>
      <c r="T51" s="185" t="e">
        <f t="shared" si="24"/>
        <v>#REF!</v>
      </c>
      <c r="U51" s="185" t="e">
        <f t="shared" si="24"/>
        <v>#REF!</v>
      </c>
      <c r="V51" s="185" t="e">
        <f t="shared" si="24"/>
        <v>#REF!</v>
      </c>
      <c r="W51" s="185" t="e">
        <f t="shared" si="24"/>
        <v>#REF!</v>
      </c>
      <c r="X51" s="185" t="e">
        <f t="shared" si="24"/>
        <v>#REF!</v>
      </c>
      <c r="Y51" s="185" t="e">
        <f t="shared" si="24"/>
        <v>#REF!</v>
      </c>
      <c r="Z51" s="185" t="e">
        <f t="shared" si="24"/>
        <v>#REF!</v>
      </c>
      <c r="AA51" s="185" t="e">
        <f t="shared" si="24"/>
        <v>#REF!</v>
      </c>
      <c r="AB51" s="185" t="e">
        <f t="shared" si="24"/>
        <v>#REF!</v>
      </c>
      <c r="AC51" s="185" t="e">
        <f t="shared" si="24"/>
        <v>#REF!</v>
      </c>
      <c r="AD51" s="185" t="e">
        <f t="shared" si="24"/>
        <v>#REF!</v>
      </c>
      <c r="AE51" s="185" t="e">
        <f t="shared" si="24"/>
        <v>#REF!</v>
      </c>
      <c r="AF51" s="185" t="e">
        <f t="shared" si="24"/>
        <v>#REF!</v>
      </c>
      <c r="AG51" s="185" t="e">
        <f t="shared" si="24"/>
        <v>#REF!</v>
      </c>
      <c r="AH51" s="185" t="e">
        <f t="shared" si="24"/>
        <v>#REF!</v>
      </c>
      <c r="AI51" s="185" t="e">
        <f t="shared" si="24"/>
        <v>#REF!</v>
      </c>
      <c r="AJ51" s="185" t="e">
        <f t="shared" si="24"/>
        <v>#REF!</v>
      </c>
      <c r="AK51" s="185" t="e">
        <f t="shared" si="24"/>
        <v>#REF!</v>
      </c>
    </row>
    <row r="52" spans="1:37" ht="15" hidden="1">
      <c r="A52" s="114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</row>
    <row r="53" spans="1:37" ht="15" hidden="1">
      <c r="A53" s="114" t="s">
        <v>11</v>
      </c>
      <c r="B53" s="185" t="e">
        <f t="shared" ref="B53:AK53" si="25">B45+B51</f>
        <v>#REF!</v>
      </c>
      <c r="C53" s="185" t="e">
        <f t="shared" si="25"/>
        <v>#REF!</v>
      </c>
      <c r="D53" s="231" t="e">
        <f t="shared" si="25"/>
        <v>#REF!</v>
      </c>
      <c r="E53" s="231" t="e">
        <f t="shared" si="25"/>
        <v>#REF!</v>
      </c>
      <c r="F53" s="231" t="e">
        <f t="shared" si="25"/>
        <v>#REF!</v>
      </c>
      <c r="G53" s="231" t="e">
        <f t="shared" si="25"/>
        <v>#REF!</v>
      </c>
      <c r="H53" s="231" t="e">
        <f t="shared" si="25"/>
        <v>#REF!</v>
      </c>
      <c r="I53" s="231" t="e">
        <f t="shared" si="25"/>
        <v>#REF!</v>
      </c>
      <c r="J53" s="231" t="e">
        <f t="shared" si="25"/>
        <v>#REF!</v>
      </c>
      <c r="K53" s="231" t="e">
        <f t="shared" si="25"/>
        <v>#REF!</v>
      </c>
      <c r="L53" s="231" t="e">
        <f t="shared" si="25"/>
        <v>#REF!</v>
      </c>
      <c r="M53" s="231" t="e">
        <f t="shared" si="25"/>
        <v>#REF!</v>
      </c>
      <c r="N53" s="231" t="e">
        <f t="shared" si="25"/>
        <v>#REF!</v>
      </c>
      <c r="O53" s="231" t="e">
        <f t="shared" si="25"/>
        <v>#REF!</v>
      </c>
      <c r="P53" s="231" t="e">
        <f t="shared" si="25"/>
        <v>#REF!</v>
      </c>
      <c r="Q53" s="231" t="e">
        <f t="shared" si="25"/>
        <v>#REF!</v>
      </c>
      <c r="R53" s="231" t="e">
        <f t="shared" si="25"/>
        <v>#REF!</v>
      </c>
      <c r="S53" s="231" t="e">
        <f t="shared" si="25"/>
        <v>#REF!</v>
      </c>
      <c r="T53" s="231" t="e">
        <f t="shared" si="25"/>
        <v>#REF!</v>
      </c>
      <c r="U53" s="231" t="e">
        <f t="shared" si="25"/>
        <v>#REF!</v>
      </c>
      <c r="V53" s="231" t="e">
        <f t="shared" si="25"/>
        <v>#REF!</v>
      </c>
      <c r="W53" s="231" t="e">
        <f t="shared" si="25"/>
        <v>#REF!</v>
      </c>
      <c r="X53" s="231" t="e">
        <f t="shared" si="25"/>
        <v>#REF!</v>
      </c>
      <c r="Y53" s="231" t="e">
        <f t="shared" si="25"/>
        <v>#REF!</v>
      </c>
      <c r="Z53" s="231" t="e">
        <f t="shared" si="25"/>
        <v>#REF!</v>
      </c>
      <c r="AA53" s="231" t="e">
        <f t="shared" si="25"/>
        <v>#REF!</v>
      </c>
      <c r="AB53" s="231" t="e">
        <f t="shared" si="25"/>
        <v>#REF!</v>
      </c>
      <c r="AC53" s="231" t="e">
        <f t="shared" si="25"/>
        <v>#REF!</v>
      </c>
      <c r="AD53" s="231" t="e">
        <f t="shared" si="25"/>
        <v>#REF!</v>
      </c>
      <c r="AE53" s="231" t="e">
        <f t="shared" si="25"/>
        <v>#REF!</v>
      </c>
      <c r="AF53" s="231" t="e">
        <f t="shared" si="25"/>
        <v>#REF!</v>
      </c>
      <c r="AG53" s="231" t="e">
        <f t="shared" si="25"/>
        <v>#REF!</v>
      </c>
      <c r="AH53" s="231" t="e">
        <f t="shared" si="25"/>
        <v>#REF!</v>
      </c>
      <c r="AI53" s="231" t="e">
        <f t="shared" si="25"/>
        <v>#REF!</v>
      </c>
      <c r="AJ53" s="231" t="e">
        <f t="shared" si="25"/>
        <v>#REF!</v>
      </c>
      <c r="AK53" s="231" t="e">
        <f t="shared" si="25"/>
        <v>#REF!</v>
      </c>
    </row>
    <row r="54" spans="1:37" ht="15" hidden="1">
      <c r="A54" s="114"/>
      <c r="B54" s="185"/>
      <c r="C54" s="185"/>
      <c r="D54" s="231"/>
      <c r="E54" s="231"/>
      <c r="F54" s="231"/>
      <c r="G54" s="231"/>
      <c r="H54" s="231"/>
      <c r="I54" s="231"/>
      <c r="J54" s="231"/>
      <c r="K54" s="231"/>
      <c r="L54" s="231"/>
      <c r="M54" s="231"/>
    </row>
    <row r="55" spans="1:37" ht="15" hidden="1">
      <c r="A55" s="114" t="s">
        <v>104</v>
      </c>
      <c r="B55" s="185" t="e">
        <f t="shared" ref="B55:AK55" si="26">(B45+B53)/2</f>
        <v>#REF!</v>
      </c>
      <c r="C55" s="185" t="e">
        <f t="shared" si="26"/>
        <v>#REF!</v>
      </c>
      <c r="D55" s="231" t="e">
        <f t="shared" si="26"/>
        <v>#REF!</v>
      </c>
      <c r="E55" s="231" t="e">
        <f t="shared" si="26"/>
        <v>#REF!</v>
      </c>
      <c r="F55" s="231" t="e">
        <f t="shared" si="26"/>
        <v>#REF!</v>
      </c>
      <c r="G55" s="231" t="e">
        <f t="shared" si="26"/>
        <v>#REF!</v>
      </c>
      <c r="H55" s="231" t="e">
        <f t="shared" si="26"/>
        <v>#REF!</v>
      </c>
      <c r="I55" s="231" t="e">
        <f t="shared" si="26"/>
        <v>#REF!</v>
      </c>
      <c r="J55" s="231" t="e">
        <f t="shared" si="26"/>
        <v>#REF!</v>
      </c>
      <c r="K55" s="231" t="e">
        <f t="shared" si="26"/>
        <v>#REF!</v>
      </c>
      <c r="L55" s="231" t="e">
        <f t="shared" si="26"/>
        <v>#REF!</v>
      </c>
      <c r="M55" s="231" t="e">
        <f t="shared" si="26"/>
        <v>#REF!</v>
      </c>
      <c r="N55" s="231" t="e">
        <f t="shared" si="26"/>
        <v>#REF!</v>
      </c>
      <c r="O55" s="231" t="e">
        <f t="shared" si="26"/>
        <v>#REF!</v>
      </c>
      <c r="P55" s="231" t="e">
        <f t="shared" si="26"/>
        <v>#REF!</v>
      </c>
      <c r="Q55" s="231" t="e">
        <f t="shared" si="26"/>
        <v>#REF!</v>
      </c>
      <c r="R55" s="231" t="e">
        <f t="shared" si="26"/>
        <v>#REF!</v>
      </c>
      <c r="S55" s="231" t="e">
        <f t="shared" si="26"/>
        <v>#REF!</v>
      </c>
      <c r="T55" s="231" t="e">
        <f t="shared" si="26"/>
        <v>#REF!</v>
      </c>
      <c r="U55" s="231" t="e">
        <f t="shared" si="26"/>
        <v>#REF!</v>
      </c>
      <c r="V55" s="231" t="e">
        <f t="shared" si="26"/>
        <v>#REF!</v>
      </c>
      <c r="W55" s="231" t="e">
        <f t="shared" si="26"/>
        <v>#REF!</v>
      </c>
      <c r="X55" s="231" t="e">
        <f t="shared" si="26"/>
        <v>#REF!</v>
      </c>
      <c r="Y55" s="231" t="e">
        <f t="shared" si="26"/>
        <v>#REF!</v>
      </c>
      <c r="Z55" s="231" t="e">
        <f t="shared" si="26"/>
        <v>#REF!</v>
      </c>
      <c r="AA55" s="231" t="e">
        <f t="shared" si="26"/>
        <v>#REF!</v>
      </c>
      <c r="AB55" s="231" t="e">
        <f t="shared" si="26"/>
        <v>#REF!</v>
      </c>
      <c r="AC55" s="231" t="e">
        <f t="shared" si="26"/>
        <v>#REF!</v>
      </c>
      <c r="AD55" s="231" t="e">
        <f t="shared" si="26"/>
        <v>#REF!</v>
      </c>
      <c r="AE55" s="231" t="e">
        <f t="shared" si="26"/>
        <v>#REF!</v>
      </c>
      <c r="AF55" s="231" t="e">
        <f t="shared" si="26"/>
        <v>#REF!</v>
      </c>
      <c r="AG55" s="231" t="e">
        <f t="shared" si="26"/>
        <v>#REF!</v>
      </c>
      <c r="AH55" s="231" t="e">
        <f t="shared" si="26"/>
        <v>#REF!</v>
      </c>
      <c r="AI55" s="231" t="e">
        <f t="shared" si="26"/>
        <v>#REF!</v>
      </c>
      <c r="AJ55" s="231" t="e">
        <f t="shared" si="26"/>
        <v>#REF!</v>
      </c>
      <c r="AK55" s="231" t="e">
        <f t="shared" si="26"/>
        <v>#REF!</v>
      </c>
    </row>
    <row r="56" spans="1:37" ht="18" hidden="1">
      <c r="A56" s="114" t="s">
        <v>105</v>
      </c>
      <c r="B56" s="236">
        <f>B21</f>
        <v>7.7600000000000002E-2</v>
      </c>
      <c r="C56" s="236">
        <f t="shared" ref="C56:AK56" si="27">C21</f>
        <v>7.7600000000000002E-2</v>
      </c>
      <c r="D56" s="236">
        <f t="shared" si="27"/>
        <v>7.7600000000000002E-2</v>
      </c>
      <c r="E56" s="236">
        <f t="shared" si="27"/>
        <v>6.7699999999999996E-2</v>
      </c>
      <c r="F56" s="236">
        <f t="shared" si="27"/>
        <v>6.7699999999999996E-2</v>
      </c>
      <c r="G56" s="236">
        <f t="shared" si="27"/>
        <v>6.7699999999999996E-2</v>
      </c>
      <c r="H56" s="236">
        <f t="shared" si="27"/>
        <v>5.2999999999999999E-2</v>
      </c>
      <c r="I56" s="236">
        <f t="shared" si="27"/>
        <v>5.2999999999999999E-2</v>
      </c>
      <c r="J56" s="236">
        <f t="shared" si="27"/>
        <v>5.2999999999999999E-2</v>
      </c>
      <c r="K56" s="236">
        <f t="shared" si="27"/>
        <v>0.05</v>
      </c>
      <c r="L56" s="236">
        <f t="shared" si="27"/>
        <v>0.05</v>
      </c>
      <c r="M56" s="236">
        <f t="shared" si="27"/>
        <v>0.05</v>
      </c>
      <c r="N56" s="236">
        <f t="shared" si="27"/>
        <v>4.5199999999999997E-2</v>
      </c>
      <c r="O56" s="236">
        <f t="shared" si="27"/>
        <v>4.5199999999999997E-2</v>
      </c>
      <c r="P56" s="236">
        <f t="shared" si="27"/>
        <v>4.5199999999999997E-2</v>
      </c>
      <c r="Q56" s="236">
        <f t="shared" si="27"/>
        <v>3.3700000000000001E-2</v>
      </c>
      <c r="R56" s="236">
        <f t="shared" si="27"/>
        <v>3.3700000000000001E-2</v>
      </c>
      <c r="S56" s="236">
        <f t="shared" si="27"/>
        <v>3.3700000000000001E-2</v>
      </c>
      <c r="T56" s="236">
        <f t="shared" si="27"/>
        <v>3.2500000000000001E-2</v>
      </c>
      <c r="U56" s="236">
        <f t="shared" si="27"/>
        <v>3.2500000000000001E-2</v>
      </c>
      <c r="V56" s="236">
        <f t="shared" si="27"/>
        <v>3.2500000000000001E-2</v>
      </c>
      <c r="W56" s="236">
        <f t="shared" si="27"/>
        <v>3.2500000000000001E-2</v>
      </c>
      <c r="X56" s="236">
        <f t="shared" si="27"/>
        <v>3.2500000000000001E-2</v>
      </c>
      <c r="Y56" s="236">
        <f t="shared" si="27"/>
        <v>3.2500000000000001E-2</v>
      </c>
      <c r="Z56" s="236">
        <f t="shared" si="27"/>
        <v>3.2500000000000001E-2</v>
      </c>
      <c r="AA56" s="236">
        <f t="shared" si="27"/>
        <v>3.2500000000000001E-2</v>
      </c>
      <c r="AB56" s="236">
        <f t="shared" si="27"/>
        <v>3.2500000000000001E-2</v>
      </c>
      <c r="AC56" s="236">
        <f t="shared" si="27"/>
        <v>3.2500000000000001E-2</v>
      </c>
      <c r="AD56" s="236">
        <f t="shared" si="27"/>
        <v>3.2500000000000001E-2</v>
      </c>
      <c r="AE56" s="236">
        <f t="shared" si="27"/>
        <v>3.2500000000000001E-2</v>
      </c>
      <c r="AF56" s="236">
        <f t="shared" si="27"/>
        <v>3.2500000000000001E-2</v>
      </c>
      <c r="AG56" s="236">
        <f t="shared" si="27"/>
        <v>3.2500000000000001E-2</v>
      </c>
      <c r="AH56" s="236">
        <f t="shared" si="27"/>
        <v>3.2500000000000001E-2</v>
      </c>
      <c r="AI56" s="236">
        <f t="shared" si="27"/>
        <v>3.2500000000000001E-2</v>
      </c>
      <c r="AJ56" s="236">
        <f t="shared" si="27"/>
        <v>3.2500000000000001E-2</v>
      </c>
      <c r="AK56" s="236">
        <f t="shared" si="27"/>
        <v>3.2500000000000001E-2</v>
      </c>
    </row>
    <row r="57" spans="1:37" ht="15" hidden="1">
      <c r="A57" s="114" t="s">
        <v>85</v>
      </c>
      <c r="B57" s="213" t="e">
        <f t="shared" ref="B57:AK57" si="28">+B55*B56/12</f>
        <v>#REF!</v>
      </c>
      <c r="C57" s="213" t="e">
        <f t="shared" si="28"/>
        <v>#REF!</v>
      </c>
      <c r="D57" s="232" t="e">
        <f t="shared" si="28"/>
        <v>#REF!</v>
      </c>
      <c r="E57" s="232" t="e">
        <f t="shared" si="28"/>
        <v>#REF!</v>
      </c>
      <c r="F57" s="232" t="e">
        <f t="shared" si="28"/>
        <v>#REF!</v>
      </c>
      <c r="G57" s="232" t="e">
        <f t="shared" si="28"/>
        <v>#REF!</v>
      </c>
      <c r="H57" s="232" t="e">
        <f t="shared" si="28"/>
        <v>#REF!</v>
      </c>
      <c r="I57" s="232" t="e">
        <f t="shared" si="28"/>
        <v>#REF!</v>
      </c>
      <c r="J57" s="232" t="e">
        <f t="shared" si="28"/>
        <v>#REF!</v>
      </c>
      <c r="K57" s="232" t="e">
        <f t="shared" si="28"/>
        <v>#REF!</v>
      </c>
      <c r="L57" s="232" t="e">
        <f t="shared" si="28"/>
        <v>#REF!</v>
      </c>
      <c r="M57" s="232" t="e">
        <f t="shared" si="28"/>
        <v>#REF!</v>
      </c>
      <c r="N57" s="232" t="e">
        <f t="shared" si="28"/>
        <v>#REF!</v>
      </c>
      <c r="O57" s="232" t="e">
        <f t="shared" si="28"/>
        <v>#REF!</v>
      </c>
      <c r="P57" s="232" t="e">
        <f t="shared" si="28"/>
        <v>#REF!</v>
      </c>
      <c r="Q57" s="232" t="e">
        <f t="shared" si="28"/>
        <v>#REF!</v>
      </c>
      <c r="R57" s="232" t="e">
        <f t="shared" si="28"/>
        <v>#REF!</v>
      </c>
      <c r="S57" s="232" t="e">
        <f t="shared" si="28"/>
        <v>#REF!</v>
      </c>
      <c r="T57" s="232" t="e">
        <f t="shared" si="28"/>
        <v>#REF!</v>
      </c>
      <c r="U57" s="232" t="e">
        <f t="shared" si="28"/>
        <v>#REF!</v>
      </c>
      <c r="V57" s="232" t="e">
        <f t="shared" si="28"/>
        <v>#REF!</v>
      </c>
      <c r="W57" s="232" t="e">
        <f t="shared" si="28"/>
        <v>#REF!</v>
      </c>
      <c r="X57" s="232" t="e">
        <f t="shared" si="28"/>
        <v>#REF!</v>
      </c>
      <c r="Y57" s="232" t="e">
        <f t="shared" si="28"/>
        <v>#REF!</v>
      </c>
      <c r="Z57" s="232" t="e">
        <f t="shared" si="28"/>
        <v>#REF!</v>
      </c>
      <c r="AA57" s="232" t="e">
        <f t="shared" si="28"/>
        <v>#REF!</v>
      </c>
      <c r="AB57" s="232" t="e">
        <f t="shared" si="28"/>
        <v>#REF!</v>
      </c>
      <c r="AC57" s="232" t="e">
        <f t="shared" si="28"/>
        <v>#REF!</v>
      </c>
      <c r="AD57" s="232" t="e">
        <f t="shared" si="28"/>
        <v>#REF!</v>
      </c>
      <c r="AE57" s="232" t="e">
        <f t="shared" si="28"/>
        <v>#REF!</v>
      </c>
      <c r="AF57" s="232" t="e">
        <f t="shared" si="28"/>
        <v>#REF!</v>
      </c>
      <c r="AG57" s="232" t="e">
        <f t="shared" si="28"/>
        <v>#REF!</v>
      </c>
      <c r="AH57" s="232" t="e">
        <f t="shared" si="28"/>
        <v>#REF!</v>
      </c>
      <c r="AI57" s="232" t="e">
        <f t="shared" si="28"/>
        <v>#REF!</v>
      </c>
      <c r="AJ57" s="232" t="e">
        <f t="shared" si="28"/>
        <v>#REF!</v>
      </c>
      <c r="AK57" s="232" t="e">
        <f t="shared" si="28"/>
        <v>#REF!</v>
      </c>
    </row>
    <row r="58" spans="1:37" s="352" customFormat="1" ht="15" hidden="1">
      <c r="A58" s="350" t="s">
        <v>106</v>
      </c>
      <c r="B58" s="349"/>
      <c r="C58" s="349"/>
      <c r="D58" s="280" t="e">
        <f>SUM(B57:D57)</f>
        <v>#REF!</v>
      </c>
      <c r="E58" s="280"/>
      <c r="F58" s="280"/>
      <c r="G58" s="280" t="e">
        <f>SUM(E57:G57)</f>
        <v>#REF!</v>
      </c>
      <c r="H58" s="280"/>
      <c r="I58" s="280"/>
      <c r="J58" s="280" t="e">
        <f>SUM(H57:J57)</f>
        <v>#REF!</v>
      </c>
      <c r="K58" s="276"/>
      <c r="L58" s="276"/>
      <c r="M58" s="351" t="e">
        <f>SUM(K57:M57)</f>
        <v>#REF!</v>
      </c>
      <c r="P58" s="349" t="e">
        <f>SUM(N57:P57)</f>
        <v>#REF!</v>
      </c>
      <c r="S58" s="349" t="e">
        <f>SUM(Q57:S57)</f>
        <v>#REF!</v>
      </c>
      <c r="V58" s="349" t="e">
        <f>SUM(T57:V57)</f>
        <v>#REF!</v>
      </c>
      <c r="Y58" s="349" t="e">
        <f>SUM(W57:Y57)</f>
        <v>#REF!</v>
      </c>
      <c r="AB58" s="349" t="e">
        <f>SUM(Z57:AB57)</f>
        <v>#REF!</v>
      </c>
      <c r="AE58" s="349" t="e">
        <f>SUM(AC57:AE57)</f>
        <v>#REF!</v>
      </c>
      <c r="AH58" s="349" t="e">
        <f>SUM(AF57:AH57)</f>
        <v>#REF!</v>
      </c>
      <c r="AK58" s="349" t="e">
        <f>SUM(AI57:AK57)</f>
        <v>#REF!</v>
      </c>
    </row>
    <row r="59" spans="1:37" ht="15" hidden="1">
      <c r="A59" s="114" t="s">
        <v>187</v>
      </c>
      <c r="B59" s="233"/>
      <c r="C59" s="234"/>
      <c r="D59" s="213" t="e">
        <f>D53</f>
        <v>#REF!</v>
      </c>
      <c r="E59" s="213" t="e">
        <f t="shared" ref="E59:AK59" si="29">E53</f>
        <v>#REF!</v>
      </c>
      <c r="F59" s="213" t="e">
        <f t="shared" si="29"/>
        <v>#REF!</v>
      </c>
      <c r="G59" s="213" t="e">
        <f t="shared" si="29"/>
        <v>#REF!</v>
      </c>
      <c r="H59" s="213" t="e">
        <f t="shared" si="29"/>
        <v>#REF!</v>
      </c>
      <c r="I59" s="213" t="e">
        <f t="shared" si="29"/>
        <v>#REF!</v>
      </c>
      <c r="J59" s="213" t="e">
        <f t="shared" si="29"/>
        <v>#REF!</v>
      </c>
      <c r="K59" s="213" t="e">
        <f t="shared" si="29"/>
        <v>#REF!</v>
      </c>
      <c r="L59" s="213" t="e">
        <f t="shared" si="29"/>
        <v>#REF!</v>
      </c>
      <c r="M59" s="213" t="e">
        <f t="shared" si="29"/>
        <v>#REF!</v>
      </c>
      <c r="N59" s="213" t="e">
        <f t="shared" si="29"/>
        <v>#REF!</v>
      </c>
      <c r="O59" s="213" t="e">
        <f t="shared" si="29"/>
        <v>#REF!</v>
      </c>
      <c r="P59" s="213" t="e">
        <f t="shared" si="29"/>
        <v>#REF!</v>
      </c>
      <c r="Q59" s="213" t="e">
        <f t="shared" si="29"/>
        <v>#REF!</v>
      </c>
      <c r="R59" s="213" t="e">
        <f t="shared" si="29"/>
        <v>#REF!</v>
      </c>
      <c r="S59" s="213" t="e">
        <f t="shared" si="29"/>
        <v>#REF!</v>
      </c>
      <c r="T59" s="213" t="e">
        <f t="shared" si="29"/>
        <v>#REF!</v>
      </c>
      <c r="U59" s="213" t="e">
        <f t="shared" si="29"/>
        <v>#REF!</v>
      </c>
      <c r="V59" s="213" t="e">
        <f t="shared" si="29"/>
        <v>#REF!</v>
      </c>
      <c r="W59" s="213" t="e">
        <f t="shared" si="29"/>
        <v>#REF!</v>
      </c>
      <c r="X59" s="213" t="e">
        <f t="shared" si="29"/>
        <v>#REF!</v>
      </c>
      <c r="Y59" s="213" t="e">
        <f t="shared" si="29"/>
        <v>#REF!</v>
      </c>
      <c r="Z59" s="213" t="e">
        <f t="shared" si="29"/>
        <v>#REF!</v>
      </c>
      <c r="AA59" s="213" t="e">
        <f t="shared" si="29"/>
        <v>#REF!</v>
      </c>
      <c r="AB59" s="213" t="e">
        <f t="shared" si="29"/>
        <v>#REF!</v>
      </c>
      <c r="AC59" s="213" t="e">
        <f t="shared" si="29"/>
        <v>#REF!</v>
      </c>
      <c r="AD59" s="213" t="e">
        <f t="shared" si="29"/>
        <v>#REF!</v>
      </c>
      <c r="AE59" s="213" t="e">
        <f t="shared" si="29"/>
        <v>#REF!</v>
      </c>
      <c r="AF59" s="213" t="e">
        <f t="shared" si="29"/>
        <v>#REF!</v>
      </c>
      <c r="AG59" s="213" t="e">
        <f t="shared" si="29"/>
        <v>#REF!</v>
      </c>
      <c r="AH59" s="213" t="e">
        <f t="shared" si="29"/>
        <v>#REF!</v>
      </c>
      <c r="AI59" s="213" t="e">
        <f t="shared" si="29"/>
        <v>#REF!</v>
      </c>
      <c r="AJ59" s="213" t="e">
        <f t="shared" si="29"/>
        <v>#REF!</v>
      </c>
      <c r="AK59" s="213" t="e">
        <f t="shared" si="29"/>
        <v>#REF!</v>
      </c>
    </row>
    <row r="60" spans="1:37" ht="15" hidden="1">
      <c r="A60" s="114" t="s">
        <v>188</v>
      </c>
      <c r="B60" s="235"/>
      <c r="C60" s="235"/>
      <c r="D60" s="185" t="e">
        <f>SUM(D58:D59)</f>
        <v>#REF!</v>
      </c>
      <c r="E60" s="185" t="e">
        <f t="shared" ref="E60:AK60" si="30">SUM(E58:E59)</f>
        <v>#REF!</v>
      </c>
      <c r="F60" s="185" t="e">
        <f t="shared" si="30"/>
        <v>#REF!</v>
      </c>
      <c r="G60" s="185" t="e">
        <f t="shared" si="30"/>
        <v>#REF!</v>
      </c>
      <c r="H60" s="185" t="e">
        <f t="shared" si="30"/>
        <v>#REF!</v>
      </c>
      <c r="I60" s="185" t="e">
        <f t="shared" si="30"/>
        <v>#REF!</v>
      </c>
      <c r="J60" s="185" t="e">
        <f t="shared" si="30"/>
        <v>#REF!</v>
      </c>
      <c r="K60" s="185" t="e">
        <f t="shared" si="30"/>
        <v>#REF!</v>
      </c>
      <c r="L60" s="185" t="e">
        <f t="shared" si="30"/>
        <v>#REF!</v>
      </c>
      <c r="M60" s="185" t="e">
        <f t="shared" si="30"/>
        <v>#REF!</v>
      </c>
      <c r="N60" s="185" t="e">
        <f t="shared" si="30"/>
        <v>#REF!</v>
      </c>
      <c r="O60" s="185" t="e">
        <f t="shared" si="30"/>
        <v>#REF!</v>
      </c>
      <c r="P60" s="185" t="e">
        <f t="shared" si="30"/>
        <v>#REF!</v>
      </c>
      <c r="Q60" s="185" t="e">
        <f t="shared" si="30"/>
        <v>#REF!</v>
      </c>
      <c r="R60" s="185" t="e">
        <f t="shared" si="30"/>
        <v>#REF!</v>
      </c>
      <c r="S60" s="185" t="e">
        <f t="shared" si="30"/>
        <v>#REF!</v>
      </c>
      <c r="T60" s="185" t="e">
        <f t="shared" si="30"/>
        <v>#REF!</v>
      </c>
      <c r="U60" s="185" t="e">
        <f t="shared" si="30"/>
        <v>#REF!</v>
      </c>
      <c r="V60" s="185" t="e">
        <f t="shared" si="30"/>
        <v>#REF!</v>
      </c>
      <c r="W60" s="185" t="e">
        <f t="shared" si="30"/>
        <v>#REF!</v>
      </c>
      <c r="X60" s="185" t="e">
        <f t="shared" si="30"/>
        <v>#REF!</v>
      </c>
      <c r="Y60" s="185" t="e">
        <f t="shared" si="30"/>
        <v>#REF!</v>
      </c>
      <c r="Z60" s="185" t="e">
        <f t="shared" si="30"/>
        <v>#REF!</v>
      </c>
      <c r="AA60" s="185" t="e">
        <f t="shared" si="30"/>
        <v>#REF!</v>
      </c>
      <c r="AB60" s="185" t="e">
        <f t="shared" si="30"/>
        <v>#REF!</v>
      </c>
      <c r="AC60" s="185" t="e">
        <f t="shared" si="30"/>
        <v>#REF!</v>
      </c>
      <c r="AD60" s="185" t="e">
        <f t="shared" si="30"/>
        <v>#REF!</v>
      </c>
      <c r="AE60" s="185" t="e">
        <f t="shared" si="30"/>
        <v>#REF!</v>
      </c>
      <c r="AF60" s="185" t="e">
        <f t="shared" si="30"/>
        <v>#REF!</v>
      </c>
      <c r="AG60" s="185" t="e">
        <f t="shared" si="30"/>
        <v>#REF!</v>
      </c>
      <c r="AH60" s="185" t="e">
        <f t="shared" si="30"/>
        <v>#REF!</v>
      </c>
      <c r="AI60" s="185" t="e">
        <f t="shared" si="30"/>
        <v>#REF!</v>
      </c>
      <c r="AJ60" s="185" t="e">
        <f t="shared" si="30"/>
        <v>#REF!</v>
      </c>
      <c r="AK60" s="185" t="e">
        <f t="shared" si="30"/>
        <v>#REF!</v>
      </c>
    </row>
    <row r="61" spans="1:37" ht="13.5" hidden="1" thickBot="1"/>
    <row r="62" spans="1:37" ht="17.25" hidden="1" thickTop="1" thickBot="1">
      <c r="A62" s="342" t="s">
        <v>242</v>
      </c>
      <c r="B62" s="343"/>
      <c r="C62" s="343"/>
      <c r="D62" s="344"/>
      <c r="E62" s="344"/>
      <c r="F62" s="344"/>
      <c r="G62" s="343"/>
      <c r="H62" s="343"/>
      <c r="I62" s="343"/>
      <c r="J62" s="343"/>
      <c r="K62" s="343"/>
      <c r="L62" s="343"/>
      <c r="M62" s="345" t="e">
        <f>M25-M60</f>
        <v>#REF!</v>
      </c>
    </row>
    <row r="63" spans="1:37" ht="13.5" hidden="1" thickTop="1"/>
  </sheetData>
  <mergeCells count="9">
    <mergeCell ref="A1:AW1"/>
    <mergeCell ref="A2:AW2"/>
    <mergeCell ref="A3:AW3"/>
    <mergeCell ref="A4:AW4"/>
    <mergeCell ref="A32:N32"/>
    <mergeCell ref="Z6:AK6"/>
    <mergeCell ref="N6:Y6"/>
    <mergeCell ref="AL6:AW6"/>
    <mergeCell ref="B6:M6"/>
  </mergeCells>
  <phoneticPr fontId="4" type="noConversion"/>
  <hyperlinks>
    <hyperlink ref="A31" r:id="rId1"/>
  </hyperlinks>
  <printOptions horizontalCentered="1"/>
  <pageMargins left="0.39" right="0.35" top="0.48" bottom="0.51" header="0.3" footer="0.3"/>
  <pageSetup scale="61" orientation="landscape" r:id="rId2"/>
  <headerFooter alignWithMargins="0">
    <oddHeader>&amp;RAttachment 4
WP-Schedule 3
CWIP Balancing Acct 12-31-11 Balance
&amp;P of &amp;N</oddHeader>
    <oddFooter>&amp;R&amp;A</oddFooter>
  </headerFooter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46"/>
    <pageSetUpPr fitToPage="1"/>
  </sheetPr>
  <dimension ref="A1:AX46"/>
  <sheetViews>
    <sheetView zoomScaleNormal="100" workbookViewId="0">
      <selection activeCell="AX22" sqref="AX22"/>
    </sheetView>
  </sheetViews>
  <sheetFormatPr defaultRowHeight="12.75" outlineLevelCol="2"/>
  <cols>
    <col min="1" max="1" width="3.85546875" bestFit="1" customWidth="1"/>
    <col min="2" max="2" width="43" bestFit="1" customWidth="1"/>
    <col min="3" max="3" width="7.42578125" hidden="1" customWidth="1" outlineLevel="1"/>
    <col min="4" max="4" width="8.28515625" hidden="1" customWidth="1" outlineLevel="1"/>
    <col min="5" max="23" width="10.28515625" hidden="1" customWidth="1" outlineLevel="1"/>
    <col min="24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5" width="10.28515625" hidden="1" customWidth="1" outlineLevel="1"/>
    <col min="36" max="36" width="10.28515625" hidden="1" customWidth="1" outlineLevel="1" collapsed="1"/>
    <col min="37" max="38" width="10.28515625" hidden="1" customWidth="1" outlineLevel="1"/>
    <col min="39" max="39" width="10.28515625" bestFit="1" customWidth="1" collapsed="1"/>
    <col min="40" max="40" width="10.28515625" bestFit="1" customWidth="1"/>
    <col min="41" max="50" width="10.28515625" customWidth="1"/>
  </cols>
  <sheetData>
    <row r="1" spans="1:50" ht="15.75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1"/>
      <c r="W1" s="691"/>
      <c r="X1" s="691"/>
      <c r="Y1" s="691"/>
      <c r="Z1" s="691"/>
      <c r="AA1" s="691"/>
      <c r="AB1" s="691"/>
      <c r="AC1" s="691"/>
      <c r="AD1" s="691"/>
      <c r="AE1" s="691"/>
      <c r="AF1" s="691"/>
      <c r="AG1" s="691"/>
      <c r="AH1" s="691"/>
      <c r="AI1" s="691"/>
      <c r="AJ1" s="691"/>
      <c r="AK1" s="691"/>
      <c r="AL1" s="691"/>
      <c r="AM1" s="691"/>
      <c r="AN1" s="691"/>
      <c r="AO1" s="691"/>
      <c r="AP1" s="691"/>
      <c r="AQ1" s="691"/>
      <c r="AR1" s="691"/>
      <c r="AS1" s="691"/>
      <c r="AT1" s="691"/>
      <c r="AU1" s="691"/>
      <c r="AV1" s="691"/>
      <c r="AW1" s="691"/>
      <c r="AX1" s="691"/>
    </row>
    <row r="2" spans="1:50" ht="15">
      <c r="A2" s="692" t="s">
        <v>6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</row>
    <row r="3" spans="1:50" ht="15">
      <c r="A3" s="706" t="s">
        <v>275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706"/>
      <c r="AU3" s="706"/>
      <c r="AV3" s="706"/>
      <c r="AW3" s="706"/>
      <c r="AX3" s="706"/>
    </row>
    <row r="4" spans="1:50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  <c r="AX4" s="693"/>
    </row>
    <row r="5" spans="1:50" ht="15.75">
      <c r="A5" s="691" t="s">
        <v>7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  <c r="AA5" s="691"/>
      <c r="AB5" s="691"/>
      <c r="AC5" s="691"/>
      <c r="AD5" s="691"/>
      <c r="AE5" s="691"/>
      <c r="AF5" s="691"/>
      <c r="AG5" s="691"/>
      <c r="AH5" s="691"/>
      <c r="AI5" s="691"/>
      <c r="AJ5" s="691"/>
      <c r="AK5" s="691"/>
      <c r="AL5" s="691"/>
      <c r="AM5" s="691"/>
      <c r="AN5" s="691"/>
      <c r="AO5" s="691"/>
      <c r="AP5" s="691"/>
      <c r="AQ5" s="691"/>
      <c r="AR5" s="691"/>
      <c r="AS5" s="691"/>
      <c r="AT5" s="691"/>
      <c r="AU5" s="691"/>
      <c r="AV5" s="691"/>
      <c r="AW5" s="691"/>
      <c r="AX5" s="691"/>
    </row>
    <row r="6" spans="1:50" ht="15.75">
      <c r="A6" s="6"/>
      <c r="B6" s="6"/>
      <c r="C6" s="6"/>
      <c r="D6" s="6"/>
      <c r="E6" s="6"/>
    </row>
    <row r="11" spans="1:50">
      <c r="C11" s="687">
        <v>2008</v>
      </c>
      <c r="D11" s="688"/>
      <c r="E11" s="688"/>
      <c r="F11" s="688"/>
      <c r="G11" s="688"/>
      <c r="H11" s="688"/>
      <c r="I11" s="688"/>
      <c r="J11" s="688"/>
      <c r="K11" s="688"/>
      <c r="L11" s="688"/>
      <c r="M11" s="688"/>
      <c r="N11" s="689"/>
      <c r="O11" s="687">
        <v>2009</v>
      </c>
      <c r="P11" s="688"/>
      <c r="Q11" s="688"/>
      <c r="R11" s="688"/>
      <c r="S11" s="688"/>
      <c r="T11" s="688"/>
      <c r="U11" s="688"/>
      <c r="V11" s="688"/>
      <c r="W11" s="688"/>
      <c r="X11" s="688"/>
      <c r="Y11" s="688"/>
      <c r="Z11" s="689"/>
      <c r="AA11" s="687">
        <v>2010</v>
      </c>
      <c r="AB11" s="688"/>
      <c r="AC11" s="688"/>
      <c r="AD11" s="688"/>
      <c r="AE11" s="688"/>
      <c r="AF11" s="688"/>
      <c r="AG11" s="688"/>
      <c r="AH11" s="688"/>
      <c r="AI11" s="688"/>
      <c r="AJ11" s="688"/>
      <c r="AK11" s="688"/>
      <c r="AL11" s="689"/>
      <c r="AM11" s="687">
        <v>2011</v>
      </c>
      <c r="AN11" s="688"/>
      <c r="AO11" s="688"/>
      <c r="AP11" s="688"/>
      <c r="AQ11" s="688"/>
      <c r="AR11" s="688"/>
      <c r="AS11" s="688"/>
      <c r="AT11" s="688"/>
      <c r="AU11" s="688"/>
      <c r="AV11" s="688"/>
      <c r="AW11" s="688"/>
      <c r="AX11" s="689"/>
    </row>
    <row r="12" spans="1:50" ht="24.75" customHeight="1">
      <c r="A12" s="83" t="s">
        <v>2</v>
      </c>
      <c r="C12" s="119" t="s">
        <v>100</v>
      </c>
      <c r="D12" s="119" t="s">
        <v>76</v>
      </c>
      <c r="E12" s="119" t="s">
        <v>77</v>
      </c>
      <c r="F12" s="119" t="s">
        <v>78</v>
      </c>
      <c r="G12" s="119" t="s">
        <v>75</v>
      </c>
      <c r="H12" s="119" t="s">
        <v>79</v>
      </c>
      <c r="I12" s="119" t="s">
        <v>80</v>
      </c>
      <c r="J12" s="119" t="s">
        <v>81</v>
      </c>
      <c r="K12" s="119" t="s">
        <v>82</v>
      </c>
      <c r="L12" s="119" t="s">
        <v>83</v>
      </c>
      <c r="M12" s="119" t="s">
        <v>84</v>
      </c>
      <c r="N12" s="119" t="s">
        <v>101</v>
      </c>
      <c r="O12" s="269" t="s">
        <v>100</v>
      </c>
      <c r="P12" s="269" t="s">
        <v>76</v>
      </c>
      <c r="Q12" s="269" t="s">
        <v>77</v>
      </c>
      <c r="R12" s="119" t="s">
        <v>78</v>
      </c>
      <c r="S12" s="119" t="s">
        <v>75</v>
      </c>
      <c r="T12" s="119" t="s">
        <v>79</v>
      </c>
      <c r="U12" s="119" t="s">
        <v>80</v>
      </c>
      <c r="V12" s="119" t="s">
        <v>81</v>
      </c>
      <c r="W12" s="119" t="s">
        <v>82</v>
      </c>
      <c r="X12" s="119" t="s">
        <v>83</v>
      </c>
      <c r="Y12" s="119" t="s">
        <v>84</v>
      </c>
      <c r="Z12" s="119" t="s">
        <v>101</v>
      </c>
      <c r="AA12" s="269" t="s">
        <v>100</v>
      </c>
      <c r="AB12" s="269" t="s">
        <v>76</v>
      </c>
      <c r="AC12" s="269" t="s">
        <v>77</v>
      </c>
      <c r="AD12" s="119" t="s">
        <v>78</v>
      </c>
      <c r="AE12" s="119" t="s">
        <v>75</v>
      </c>
      <c r="AF12" s="119" t="s">
        <v>79</v>
      </c>
      <c r="AG12" s="119" t="s">
        <v>80</v>
      </c>
      <c r="AH12" s="119" t="s">
        <v>81</v>
      </c>
      <c r="AI12" s="119" t="s">
        <v>82</v>
      </c>
      <c r="AJ12" s="119" t="s">
        <v>83</v>
      </c>
      <c r="AK12" s="119" t="s">
        <v>84</v>
      </c>
      <c r="AL12" s="119" t="s">
        <v>101</v>
      </c>
      <c r="AM12" s="269" t="s">
        <v>100</v>
      </c>
      <c r="AN12" s="269" t="s">
        <v>76</v>
      </c>
      <c r="AO12" s="269" t="s">
        <v>77</v>
      </c>
      <c r="AP12" s="119" t="s">
        <v>78</v>
      </c>
      <c r="AQ12" s="119" t="s">
        <v>75</v>
      </c>
      <c r="AR12" s="119" t="s">
        <v>79</v>
      </c>
      <c r="AS12" s="119" t="s">
        <v>80</v>
      </c>
      <c r="AT12" s="119" t="s">
        <v>81</v>
      </c>
      <c r="AU12" s="119" t="s">
        <v>82</v>
      </c>
      <c r="AV12" s="119" t="s">
        <v>83</v>
      </c>
      <c r="AW12" s="119" t="s">
        <v>84</v>
      </c>
      <c r="AX12" s="119" t="s">
        <v>101</v>
      </c>
    </row>
    <row r="13" spans="1:50" ht="21" customHeight="1">
      <c r="A13" s="84">
        <v>1</v>
      </c>
      <c r="B13" s="67" t="s">
        <v>67</v>
      </c>
    </row>
    <row r="14" spans="1:50">
      <c r="A14" s="84">
        <v>2</v>
      </c>
      <c r="B14" s="68" t="s">
        <v>68</v>
      </c>
    </row>
    <row r="15" spans="1:50" s="202" customFormat="1" ht="24">
      <c r="A15" s="198">
        <v>3</v>
      </c>
      <c r="B15" s="199" t="s">
        <v>172</v>
      </c>
      <c r="C15" s="200">
        <v>0</v>
      </c>
      <c r="D15" s="200">
        <v>0</v>
      </c>
      <c r="E15" s="201">
        <v>45075</v>
      </c>
      <c r="F15" s="201">
        <v>45075</v>
      </c>
      <c r="G15" s="201">
        <v>45075</v>
      </c>
      <c r="H15" s="201">
        <v>45075</v>
      </c>
      <c r="I15" s="201">
        <v>45075</v>
      </c>
      <c r="J15" s="201">
        <v>45075</v>
      </c>
      <c r="K15" s="201">
        <v>45075</v>
      </c>
      <c r="L15" s="201">
        <v>45075</v>
      </c>
      <c r="M15" s="201">
        <v>45075</v>
      </c>
      <c r="N15" s="201">
        <v>45075</v>
      </c>
      <c r="O15" s="244">
        <v>38617</v>
      </c>
      <c r="P15" s="244">
        <v>38617</v>
      </c>
      <c r="Q15" s="244">
        <v>38617</v>
      </c>
      <c r="R15" s="244">
        <v>38617</v>
      </c>
      <c r="S15" s="244">
        <v>38617</v>
      </c>
      <c r="T15" s="244">
        <v>38617</v>
      </c>
      <c r="U15" s="244">
        <v>38617</v>
      </c>
      <c r="V15" s="244">
        <v>38617</v>
      </c>
      <c r="W15" s="244">
        <v>38617</v>
      </c>
      <c r="X15" s="244">
        <v>38617</v>
      </c>
      <c r="Y15" s="244">
        <v>38617</v>
      </c>
      <c r="Z15" s="244">
        <v>38617</v>
      </c>
      <c r="AA15" s="244">
        <v>46196</v>
      </c>
      <c r="AB15" s="244">
        <v>46196</v>
      </c>
      <c r="AC15" s="244">
        <v>38617</v>
      </c>
      <c r="AD15" s="244">
        <v>38617</v>
      </c>
      <c r="AE15" s="244">
        <v>38617</v>
      </c>
      <c r="AF15" s="244">
        <v>46196</v>
      </c>
      <c r="AG15" s="244">
        <v>46196</v>
      </c>
      <c r="AH15" s="244">
        <v>46196</v>
      </c>
      <c r="AI15" s="244">
        <v>46196</v>
      </c>
      <c r="AJ15" s="244">
        <v>46196</v>
      </c>
      <c r="AK15" s="244">
        <v>46196</v>
      </c>
      <c r="AL15" s="244">
        <v>46196</v>
      </c>
      <c r="AM15" s="469">
        <v>46196</v>
      </c>
      <c r="AN15" s="469">
        <v>46196</v>
      </c>
      <c r="AO15" s="469">
        <v>145970</v>
      </c>
      <c r="AP15" s="469">
        <v>145970</v>
      </c>
      <c r="AQ15" s="469">
        <v>145970</v>
      </c>
      <c r="AR15" s="469">
        <v>145970</v>
      </c>
      <c r="AS15" s="469">
        <v>145970</v>
      </c>
      <c r="AT15" s="469">
        <v>145970</v>
      </c>
      <c r="AU15" s="469">
        <v>145970</v>
      </c>
      <c r="AV15" s="469">
        <v>145970</v>
      </c>
      <c r="AW15" s="469">
        <v>145970</v>
      </c>
      <c r="AX15" s="469">
        <v>145970</v>
      </c>
    </row>
    <row r="16" spans="1:50" s="202" customFormat="1" ht="24">
      <c r="A16" s="198">
        <v>4</v>
      </c>
      <c r="B16" s="567" t="s">
        <v>285</v>
      </c>
      <c r="C16" s="200">
        <v>0</v>
      </c>
      <c r="D16" s="200">
        <v>0</v>
      </c>
      <c r="E16" s="201">
        <v>357075</v>
      </c>
      <c r="F16" s="201">
        <v>357075</v>
      </c>
      <c r="G16" s="201">
        <v>357075</v>
      </c>
      <c r="H16" s="201">
        <v>357075</v>
      </c>
      <c r="I16" s="201">
        <v>357075</v>
      </c>
      <c r="J16" s="201">
        <v>357075</v>
      </c>
      <c r="K16" s="201">
        <v>357075</v>
      </c>
      <c r="L16" s="201">
        <v>357075</v>
      </c>
      <c r="M16" s="201">
        <v>357075</v>
      </c>
      <c r="N16" s="201">
        <v>357075</v>
      </c>
      <c r="O16" s="244">
        <v>350617</v>
      </c>
      <c r="P16" s="244">
        <v>350617</v>
      </c>
      <c r="Q16" s="244">
        <v>568312</v>
      </c>
      <c r="R16" s="244">
        <v>568312</v>
      </c>
      <c r="S16" s="244">
        <v>568312</v>
      </c>
      <c r="T16" s="244">
        <v>568312</v>
      </c>
      <c r="U16" s="244">
        <v>568312</v>
      </c>
      <c r="V16" s="244">
        <v>568312</v>
      </c>
      <c r="W16" s="244">
        <v>568312</v>
      </c>
      <c r="X16" s="244">
        <v>486617</v>
      </c>
      <c r="Y16" s="244">
        <v>486617</v>
      </c>
      <c r="Z16" s="244">
        <v>486617</v>
      </c>
      <c r="AA16" s="244">
        <v>494196</v>
      </c>
      <c r="AB16" s="244">
        <v>494196</v>
      </c>
      <c r="AC16" s="244">
        <v>593532</v>
      </c>
      <c r="AD16" s="244">
        <v>593532</v>
      </c>
      <c r="AE16" s="244">
        <v>593532</v>
      </c>
      <c r="AF16" s="244">
        <v>601111</v>
      </c>
      <c r="AG16" s="244">
        <v>601111</v>
      </c>
      <c r="AH16" s="244">
        <v>601111</v>
      </c>
      <c r="AI16" s="244">
        <v>601111</v>
      </c>
      <c r="AJ16" s="244">
        <v>601111</v>
      </c>
      <c r="AK16" s="244">
        <v>601111</v>
      </c>
      <c r="AL16" s="244">
        <v>601111</v>
      </c>
      <c r="AM16" s="469">
        <v>601111</v>
      </c>
      <c r="AN16" s="469">
        <v>601111</v>
      </c>
      <c r="AO16" s="469">
        <v>635970</v>
      </c>
      <c r="AP16" s="469">
        <v>635970</v>
      </c>
      <c r="AQ16" s="469">
        <v>635970</v>
      </c>
      <c r="AR16" s="469">
        <v>635970</v>
      </c>
      <c r="AS16" s="469">
        <v>635970</v>
      </c>
      <c r="AT16" s="469">
        <v>635970</v>
      </c>
      <c r="AU16" s="469">
        <v>635970</v>
      </c>
      <c r="AV16" s="469">
        <v>635970</v>
      </c>
      <c r="AW16" s="469">
        <v>635970</v>
      </c>
      <c r="AX16" s="469">
        <v>635970</v>
      </c>
    </row>
    <row r="17" spans="1:50" ht="15.75" customHeight="1">
      <c r="A17" s="84">
        <v>5</v>
      </c>
      <c r="B17" s="61" t="s">
        <v>171</v>
      </c>
      <c r="C17" s="7"/>
      <c r="D17" s="7"/>
      <c r="E17" s="89">
        <f>E15/E16</f>
        <v>0.12623398445704684</v>
      </c>
      <c r="F17" s="89">
        <f t="shared" ref="F17:L17" si="0">F15/F16</f>
        <v>0.12623398445704684</v>
      </c>
      <c r="G17" s="89">
        <f t="shared" si="0"/>
        <v>0.12623398445704684</v>
      </c>
      <c r="H17" s="89">
        <f t="shared" si="0"/>
        <v>0.12623398445704684</v>
      </c>
      <c r="I17" s="89">
        <v>0.12620000000000001</v>
      </c>
      <c r="J17" s="89">
        <v>0.12620000000000001</v>
      </c>
      <c r="K17" s="89">
        <v>0.12620000000000001</v>
      </c>
      <c r="L17" s="89">
        <f t="shared" si="0"/>
        <v>0.12623398445704684</v>
      </c>
      <c r="M17" s="89">
        <v>0.12620000000000001</v>
      </c>
      <c r="N17" s="89">
        <v>0.12620000000000001</v>
      </c>
      <c r="O17" s="245">
        <v>0.1101</v>
      </c>
      <c r="P17" s="245">
        <v>0.1101</v>
      </c>
      <c r="Q17" s="245">
        <v>8.4500000000000006E-2</v>
      </c>
      <c r="R17" s="245">
        <v>6.8000000000000005E-2</v>
      </c>
      <c r="S17" s="245">
        <v>6.8000000000000005E-2</v>
      </c>
      <c r="T17" s="245">
        <v>6.8000000000000005E-2</v>
      </c>
      <c r="U17" s="245">
        <v>6.8000000000000005E-2</v>
      </c>
      <c r="V17" s="245">
        <v>6.8000000000000005E-2</v>
      </c>
      <c r="W17" s="245">
        <v>6.8000000000000005E-2</v>
      </c>
      <c r="X17" s="245">
        <v>7.2700000000000001E-2</v>
      </c>
      <c r="Y17" s="245">
        <v>7.9399999999999998E-2</v>
      </c>
      <c r="Z17" s="245">
        <v>7.9399999999999998E-2</v>
      </c>
      <c r="AA17" s="245">
        <v>8.48E-2</v>
      </c>
      <c r="AB17" s="245">
        <v>9.35E-2</v>
      </c>
      <c r="AC17" s="245">
        <v>7.8E-2</v>
      </c>
      <c r="AD17" s="245">
        <v>6.5100000000000005E-2</v>
      </c>
      <c r="AE17" s="245">
        <f t="shared" ref="AE17" si="1">AE15/AE16</f>
        <v>6.5063046305843655E-2</v>
      </c>
      <c r="AF17" s="245">
        <v>7.1099999999999997E-2</v>
      </c>
      <c r="AG17" s="245">
        <v>7.6899999999999996E-2</v>
      </c>
      <c r="AH17" s="245">
        <v>7.6899999999999996E-2</v>
      </c>
      <c r="AI17" s="245">
        <v>7.6899999999999996E-2</v>
      </c>
      <c r="AJ17" s="245">
        <v>7.6899999999999996E-2</v>
      </c>
      <c r="AK17" s="245">
        <v>7.6899999999999996E-2</v>
      </c>
      <c r="AL17" s="245">
        <v>7.6899999999999996E-2</v>
      </c>
      <c r="AM17" s="245">
        <v>7.6899999999999996E-2</v>
      </c>
      <c r="AN17" s="245">
        <v>7.6899999999999996E-2</v>
      </c>
      <c r="AO17" s="245">
        <v>0.13700000000000001</v>
      </c>
      <c r="AP17" s="245">
        <v>0.22950000000000001</v>
      </c>
      <c r="AQ17" s="245">
        <v>0.22950000000000001</v>
      </c>
      <c r="AR17" s="245">
        <v>0.22950000000000001</v>
      </c>
      <c r="AS17" s="245">
        <v>0.22950000000000001</v>
      </c>
      <c r="AT17" s="245">
        <v>0.22950000000000001</v>
      </c>
      <c r="AU17" s="245">
        <v>0.22950000000000001</v>
      </c>
      <c r="AV17" s="245">
        <v>0.22950000000000001</v>
      </c>
      <c r="AW17" s="245">
        <v>0.22950000000000001</v>
      </c>
      <c r="AX17" s="245">
        <v>0.22950000000000001</v>
      </c>
    </row>
    <row r="18" spans="1:50" s="202" customFormat="1" ht="24">
      <c r="A18" s="198">
        <v>6</v>
      </c>
      <c r="B18" s="204" t="s">
        <v>173</v>
      </c>
      <c r="C18" s="200"/>
      <c r="D18" s="200"/>
      <c r="E18" s="203">
        <v>12197.2</v>
      </c>
      <c r="F18" s="203">
        <f>24745.59624+3575.0247</f>
        <v>28320.620940000001</v>
      </c>
      <c r="G18" s="203">
        <f>24945.78336+3603.94596</f>
        <v>28549.729320000002</v>
      </c>
      <c r="H18" s="203">
        <f>26393.02845+3813.03112</f>
        <v>30206.059570000001</v>
      </c>
      <c r="I18" s="203">
        <f>31444.29597+4541.39409</f>
        <v>35985.690060000001</v>
      </c>
      <c r="J18" s="203">
        <f>29284.86296+4229.51443</f>
        <v>33514.377390000001</v>
      </c>
      <c r="K18" s="203">
        <f>30267.89852+4371.49095</f>
        <v>34639.389470000002</v>
      </c>
      <c r="L18" s="203">
        <v>32089.104869999999</v>
      </c>
      <c r="M18" s="203">
        <f>22006.95773+3178.39101</f>
        <v>25185.348739999998</v>
      </c>
      <c r="N18" s="203">
        <f>27060.34451+3908.2347</f>
        <v>30968.57921</v>
      </c>
      <c r="O18" s="203">
        <f>25304.08831+3130.6665</f>
        <v>28434.754809999999</v>
      </c>
      <c r="P18" s="203">
        <f>21523.45174+2662.91947</f>
        <v>24186.371210000001</v>
      </c>
      <c r="Q18" s="203">
        <f>31874.08508+2941.95542</f>
        <v>34816.040500000003</v>
      </c>
      <c r="R18" s="203">
        <f>40119.24711+2927.15537</f>
        <v>43046.402479999997</v>
      </c>
      <c r="S18" s="203">
        <f>40637.28265+2964.95195</f>
        <v>43602.234600000003</v>
      </c>
      <c r="T18" s="203">
        <f>44357.68797+3236.39784</f>
        <v>47594.085809999997</v>
      </c>
      <c r="U18" s="203">
        <f>49269.58078+3594.77628</f>
        <v>52864.357059999995</v>
      </c>
      <c r="V18" s="203">
        <f>50085.27874+3654.29072</f>
        <v>53739.569459999999</v>
      </c>
      <c r="W18" s="203">
        <f>52079.72934+3799.80858</f>
        <v>55879.537919999995</v>
      </c>
      <c r="X18" s="203">
        <f>43607.95826+3418.84888</f>
        <v>47026.807139999997</v>
      </c>
      <c r="Y18" s="203">
        <f>32662.51038+2817.07943</f>
        <v>35479.589809999998</v>
      </c>
      <c r="Z18" s="203">
        <f>38135.23157+3289.09123</f>
        <v>41424.322800000002</v>
      </c>
      <c r="AA18" s="203">
        <f>34032.26236+3153.33899</f>
        <v>37185.601349999997</v>
      </c>
      <c r="AB18" s="203">
        <f>31487.17192+3247.71161</f>
        <v>34734.883529999999</v>
      </c>
      <c r="AC18" s="203">
        <f>41424.12455+3504.42702</f>
        <v>44928.551570000003</v>
      </c>
      <c r="AD18" s="203">
        <f>44638.60238+3108.32497</f>
        <v>47746.927349999998</v>
      </c>
      <c r="AE18" s="203">
        <f>41124.64447+2863.63713</f>
        <v>43988.281600000002</v>
      </c>
      <c r="AF18" s="203">
        <f>48082.01762+3680.30084</f>
        <v>51762.318459999995</v>
      </c>
      <c r="AG18" s="203">
        <f>50227.26352+4184.24501</f>
        <v>54411.508529999999</v>
      </c>
      <c r="AH18" s="203">
        <f>55045.40546+4585.62635</f>
        <v>59631.03181</v>
      </c>
      <c r="AI18" s="203">
        <f>53059.62982+4420.19882</f>
        <v>57479.82864</v>
      </c>
      <c r="AJ18" s="203">
        <f>49691.5688599999+4139.61829</f>
        <v>53831.187149999896</v>
      </c>
      <c r="AK18" s="203">
        <f>44675.39153+3721.73937</f>
        <v>48397.130900000004</v>
      </c>
      <c r="AL18" s="203">
        <f>48698.1066+4056.85668</f>
        <v>52754.963279999996</v>
      </c>
      <c r="AM18" s="203">
        <f>46611.14537+3882.99976</f>
        <v>50494.145129999997</v>
      </c>
      <c r="AN18" s="470">
        <f>40154.35675+3345.10891</f>
        <v>43499.465660000002</v>
      </c>
      <c r="AO18" s="470">
        <f>45599.75297+7238.89474</f>
        <v>52838.647710000005</v>
      </c>
      <c r="AP18" s="470">
        <f>38639.69507+11509.1629</f>
        <v>50148.857969999997</v>
      </c>
      <c r="AQ18" s="470">
        <f>39160.17608+11664.19261</f>
        <v>50824.368689999996</v>
      </c>
      <c r="AR18" s="470">
        <f>41471.56506+12352.65955</f>
        <v>53824.224610000005</v>
      </c>
      <c r="AS18" s="470">
        <f>43557.59731+12974.00206</f>
        <v>56531.599369999996</v>
      </c>
      <c r="AT18" s="470">
        <f>50712.86345+15105.25913</f>
        <v>65818.122579999996</v>
      </c>
      <c r="AU18" s="470">
        <f>48676.20734+14498.62373</f>
        <v>63174.83107</v>
      </c>
      <c r="AV18" s="470">
        <f>40149.56126+11958.88944</f>
        <v>52108.450700000001</v>
      </c>
      <c r="AW18" s="470">
        <f>39384.53638+11731.02025</f>
        <v>51115.556629999999</v>
      </c>
      <c r="AX18" s="470">
        <f>42020.01891+12516.02121</f>
        <v>54536.040119999998</v>
      </c>
    </row>
    <row r="19" spans="1:50" s="202" customFormat="1" ht="24">
      <c r="A19" s="198">
        <v>7</v>
      </c>
      <c r="B19" s="206" t="s">
        <v>174</v>
      </c>
      <c r="C19" s="200"/>
      <c r="D19" s="200"/>
      <c r="E19" s="209">
        <f>E18*E17</f>
        <v>1539.7011552194917</v>
      </c>
      <c r="F19" s="209">
        <f t="shared" ref="F19:N19" si="2">F18*F17</f>
        <v>3575.0248235538752</v>
      </c>
      <c r="G19" s="209">
        <f t="shared" si="2"/>
        <v>3603.9460872337745</v>
      </c>
      <c r="H19" s="209">
        <f t="shared" si="2"/>
        <v>3813.0312542680113</v>
      </c>
      <c r="I19" s="209">
        <f t="shared" si="2"/>
        <v>4541.3940855720002</v>
      </c>
      <c r="J19" s="209">
        <f t="shared" si="2"/>
        <v>4229.5144266180005</v>
      </c>
      <c r="K19" s="209">
        <f t="shared" si="2"/>
        <v>4371.4909511140004</v>
      </c>
      <c r="L19" s="209">
        <f t="shared" si="2"/>
        <v>4050.7355654001258</v>
      </c>
      <c r="M19" s="209">
        <f t="shared" si="2"/>
        <v>3178.3910109879998</v>
      </c>
      <c r="N19" s="209">
        <f t="shared" si="2"/>
        <v>3908.234696302</v>
      </c>
      <c r="O19" s="209">
        <f t="shared" ref="O19:Z19" si="3">O18*O17</f>
        <v>3130.666504581</v>
      </c>
      <c r="P19" s="209">
        <f t="shared" si="3"/>
        <v>2662.9194702210002</v>
      </c>
      <c r="Q19" s="209">
        <f t="shared" si="3"/>
        <v>2941.9554222500005</v>
      </c>
      <c r="R19" s="209">
        <f t="shared" si="3"/>
        <v>2927.1553686400002</v>
      </c>
      <c r="S19" s="209">
        <f t="shared" si="3"/>
        <v>2964.9519528000005</v>
      </c>
      <c r="T19" s="209">
        <f t="shared" si="3"/>
        <v>3236.3978350799998</v>
      </c>
      <c r="U19" s="209">
        <f t="shared" si="3"/>
        <v>3594.7762800800001</v>
      </c>
      <c r="V19" s="209">
        <f t="shared" si="3"/>
        <v>3654.2907232800003</v>
      </c>
      <c r="W19" s="209">
        <f t="shared" si="3"/>
        <v>3799.8085785600001</v>
      </c>
      <c r="X19" s="209">
        <f t="shared" si="3"/>
        <v>3418.8488790779998</v>
      </c>
      <c r="Y19" s="209">
        <f t="shared" si="3"/>
        <v>2817.0794309139997</v>
      </c>
      <c r="Z19" s="209">
        <f t="shared" si="3"/>
        <v>3289.0912303200002</v>
      </c>
      <c r="AA19" s="209">
        <f t="shared" ref="AA19:AL19" si="4">AA18*AA17</f>
        <v>3153.3389944799997</v>
      </c>
      <c r="AB19" s="209">
        <f t="shared" si="4"/>
        <v>3247.7116100549997</v>
      </c>
      <c r="AC19" s="209">
        <f t="shared" si="4"/>
        <v>3504.4270224600004</v>
      </c>
      <c r="AD19" s="209">
        <f t="shared" si="4"/>
        <v>3108.324970485</v>
      </c>
      <c r="AE19" s="209">
        <f t="shared" si="4"/>
        <v>2862.0116026552905</v>
      </c>
      <c r="AF19" s="209">
        <f t="shared" si="4"/>
        <v>3680.3008425059993</v>
      </c>
      <c r="AG19" s="209">
        <f t="shared" si="4"/>
        <v>4184.2450059570001</v>
      </c>
      <c r="AH19" s="209">
        <f t="shared" si="4"/>
        <v>4585.6263461889994</v>
      </c>
      <c r="AI19" s="209">
        <f t="shared" si="4"/>
        <v>4420.1988224159995</v>
      </c>
      <c r="AJ19" s="209">
        <f t="shared" si="4"/>
        <v>4139.6182918349914</v>
      </c>
      <c r="AK19" s="209">
        <f t="shared" si="4"/>
        <v>3721.7393662100003</v>
      </c>
      <c r="AL19" s="209">
        <f t="shared" si="4"/>
        <v>4056.8566762319997</v>
      </c>
      <c r="AM19" s="209">
        <f t="shared" ref="AM19:AX19" si="5">AM18*AM17</f>
        <v>3882.9997604969994</v>
      </c>
      <c r="AN19" s="209">
        <f t="shared" si="5"/>
        <v>3345.1089092540001</v>
      </c>
      <c r="AO19" s="209">
        <f>AO18*AO17</f>
        <v>7238.894736270001</v>
      </c>
      <c r="AP19" s="209">
        <f>AP18*AP17</f>
        <v>11509.162904114999</v>
      </c>
      <c r="AQ19" s="209">
        <f>AQ18*AQ17</f>
        <v>11664.192614354999</v>
      </c>
      <c r="AR19" s="209">
        <f t="shared" si="5"/>
        <v>12352.659547995001</v>
      </c>
      <c r="AS19" s="209">
        <f t="shared" si="5"/>
        <v>12974.002055415</v>
      </c>
      <c r="AT19" s="209">
        <f t="shared" si="5"/>
        <v>15105.259132109999</v>
      </c>
      <c r="AU19" s="209">
        <f t="shared" si="5"/>
        <v>14498.623730565001</v>
      </c>
      <c r="AV19" s="209">
        <f t="shared" si="5"/>
        <v>11958.88943565</v>
      </c>
      <c r="AW19" s="209">
        <f t="shared" si="5"/>
        <v>11731.020246585</v>
      </c>
      <c r="AX19" s="209">
        <f t="shared" si="5"/>
        <v>12516.02120754</v>
      </c>
    </row>
    <row r="20" spans="1:50">
      <c r="A20" s="84">
        <v>8</v>
      </c>
      <c r="B20" s="63" t="s">
        <v>159</v>
      </c>
      <c r="C20" s="7"/>
      <c r="D20" s="7"/>
      <c r="E20" s="165">
        <f t="shared" ref="E20:N20" si="6">0.00893+0.00225</f>
        <v>1.1180000000000001E-2</v>
      </c>
      <c r="F20" s="165">
        <f t="shared" si="6"/>
        <v>1.1180000000000001E-2</v>
      </c>
      <c r="G20" s="165">
        <f t="shared" si="6"/>
        <v>1.1180000000000001E-2</v>
      </c>
      <c r="H20" s="165">
        <f t="shared" si="6"/>
        <v>1.1180000000000001E-2</v>
      </c>
      <c r="I20" s="165">
        <f t="shared" si="6"/>
        <v>1.1180000000000001E-2</v>
      </c>
      <c r="J20" s="165">
        <f t="shared" si="6"/>
        <v>1.1180000000000001E-2</v>
      </c>
      <c r="K20" s="165">
        <f t="shared" si="6"/>
        <v>1.1180000000000001E-2</v>
      </c>
      <c r="L20" s="165">
        <f t="shared" si="6"/>
        <v>1.1180000000000001E-2</v>
      </c>
      <c r="M20" s="165">
        <f t="shared" si="6"/>
        <v>1.1180000000000001E-2</v>
      </c>
      <c r="N20" s="165">
        <f t="shared" si="6"/>
        <v>1.1180000000000001E-2</v>
      </c>
      <c r="O20" s="270">
        <f>0.009056+0.0024</f>
        <v>1.1455999999999999E-2</v>
      </c>
      <c r="P20" s="270">
        <f t="shared" ref="P20:AX20" si="7">0.009056+0.0024</f>
        <v>1.1455999999999999E-2</v>
      </c>
      <c r="Q20" s="270">
        <f t="shared" si="7"/>
        <v>1.1455999999999999E-2</v>
      </c>
      <c r="R20" s="270">
        <f t="shared" si="7"/>
        <v>1.1455999999999999E-2</v>
      </c>
      <c r="S20" s="270">
        <f t="shared" si="7"/>
        <v>1.1455999999999999E-2</v>
      </c>
      <c r="T20" s="270">
        <f t="shared" si="7"/>
        <v>1.1455999999999999E-2</v>
      </c>
      <c r="U20" s="270">
        <f t="shared" si="7"/>
        <v>1.1455999999999999E-2</v>
      </c>
      <c r="V20" s="270">
        <f t="shared" si="7"/>
        <v>1.1455999999999999E-2</v>
      </c>
      <c r="W20" s="270">
        <f t="shared" si="7"/>
        <v>1.1455999999999999E-2</v>
      </c>
      <c r="X20" s="270">
        <f t="shared" si="7"/>
        <v>1.1455999999999999E-2</v>
      </c>
      <c r="Y20" s="270">
        <f t="shared" si="7"/>
        <v>1.1455999999999999E-2</v>
      </c>
      <c r="Z20" s="270">
        <f t="shared" si="7"/>
        <v>1.1455999999999999E-2</v>
      </c>
      <c r="AA20" s="270">
        <f>0.009056+0.0024</f>
        <v>1.1455999999999999E-2</v>
      </c>
      <c r="AB20" s="270">
        <f t="shared" si="7"/>
        <v>1.1455999999999999E-2</v>
      </c>
      <c r="AC20" s="270">
        <f t="shared" si="7"/>
        <v>1.1455999999999999E-2</v>
      </c>
      <c r="AD20" s="270">
        <f t="shared" si="7"/>
        <v>1.1455999999999999E-2</v>
      </c>
      <c r="AE20" s="270">
        <f t="shared" si="7"/>
        <v>1.1455999999999999E-2</v>
      </c>
      <c r="AF20" s="270">
        <f t="shared" si="7"/>
        <v>1.1455999999999999E-2</v>
      </c>
      <c r="AG20" s="270">
        <f t="shared" si="7"/>
        <v>1.1455999999999999E-2</v>
      </c>
      <c r="AH20" s="270">
        <f t="shared" si="7"/>
        <v>1.1455999999999999E-2</v>
      </c>
      <c r="AI20" s="270">
        <f t="shared" si="7"/>
        <v>1.1455999999999999E-2</v>
      </c>
      <c r="AJ20" s="270">
        <f t="shared" si="7"/>
        <v>1.1455999999999999E-2</v>
      </c>
      <c r="AK20" s="270">
        <f t="shared" si="7"/>
        <v>1.1455999999999999E-2</v>
      </c>
      <c r="AL20" s="270">
        <f t="shared" si="7"/>
        <v>1.1455999999999999E-2</v>
      </c>
      <c r="AM20" s="270">
        <f>0.009056+0.0024</f>
        <v>1.1455999999999999E-2</v>
      </c>
      <c r="AN20" s="270">
        <f t="shared" si="7"/>
        <v>1.1455999999999999E-2</v>
      </c>
      <c r="AO20" s="270">
        <f t="shared" si="7"/>
        <v>1.1455999999999999E-2</v>
      </c>
      <c r="AP20" s="270">
        <f t="shared" si="7"/>
        <v>1.1455999999999999E-2</v>
      </c>
      <c r="AQ20" s="270">
        <f>0.009056+0.0024</f>
        <v>1.1455999999999999E-2</v>
      </c>
      <c r="AR20" s="270">
        <f t="shared" si="7"/>
        <v>1.1455999999999999E-2</v>
      </c>
      <c r="AS20" s="270">
        <f t="shared" si="7"/>
        <v>1.1455999999999999E-2</v>
      </c>
      <c r="AT20" s="270">
        <f t="shared" si="7"/>
        <v>1.1455999999999999E-2</v>
      </c>
      <c r="AU20" s="270">
        <f t="shared" si="7"/>
        <v>1.1455999999999999E-2</v>
      </c>
      <c r="AV20" s="270">
        <f t="shared" si="7"/>
        <v>1.1455999999999999E-2</v>
      </c>
      <c r="AW20" s="270">
        <f t="shared" si="7"/>
        <v>1.1455999999999999E-2</v>
      </c>
      <c r="AX20" s="270">
        <f t="shared" si="7"/>
        <v>1.1455999999999999E-2</v>
      </c>
    </row>
    <row r="21" spans="1:50">
      <c r="A21" s="84">
        <v>9</v>
      </c>
      <c r="B21" s="163" t="s">
        <v>160</v>
      </c>
      <c r="C21" s="7"/>
      <c r="D21" s="7"/>
      <c r="E21" s="166">
        <f>1-E20</f>
        <v>0.98882000000000003</v>
      </c>
      <c r="F21" s="166">
        <f t="shared" ref="F21:N21" si="8">1-F20</f>
        <v>0.98882000000000003</v>
      </c>
      <c r="G21" s="166">
        <f t="shared" si="8"/>
        <v>0.98882000000000003</v>
      </c>
      <c r="H21" s="166">
        <f t="shared" si="8"/>
        <v>0.98882000000000003</v>
      </c>
      <c r="I21" s="166">
        <f t="shared" si="8"/>
        <v>0.98882000000000003</v>
      </c>
      <c r="J21" s="166">
        <f t="shared" si="8"/>
        <v>0.98882000000000003</v>
      </c>
      <c r="K21" s="166">
        <f t="shared" si="8"/>
        <v>0.98882000000000003</v>
      </c>
      <c r="L21" s="166">
        <f t="shared" si="8"/>
        <v>0.98882000000000003</v>
      </c>
      <c r="M21" s="166">
        <f t="shared" si="8"/>
        <v>0.98882000000000003</v>
      </c>
      <c r="N21" s="166">
        <f t="shared" si="8"/>
        <v>0.98882000000000003</v>
      </c>
      <c r="O21" s="166">
        <f t="shared" ref="O21:Z21" si="9">1-O20</f>
        <v>0.98854399999999998</v>
      </c>
      <c r="P21" s="166">
        <f t="shared" si="9"/>
        <v>0.98854399999999998</v>
      </c>
      <c r="Q21" s="166">
        <f t="shared" si="9"/>
        <v>0.98854399999999998</v>
      </c>
      <c r="R21" s="166">
        <f t="shared" si="9"/>
        <v>0.98854399999999998</v>
      </c>
      <c r="S21" s="166">
        <f t="shared" si="9"/>
        <v>0.98854399999999998</v>
      </c>
      <c r="T21" s="166">
        <f t="shared" si="9"/>
        <v>0.98854399999999998</v>
      </c>
      <c r="U21" s="166">
        <f t="shared" si="9"/>
        <v>0.98854399999999998</v>
      </c>
      <c r="V21" s="166">
        <f t="shared" si="9"/>
        <v>0.98854399999999998</v>
      </c>
      <c r="W21" s="166">
        <f t="shared" si="9"/>
        <v>0.98854399999999998</v>
      </c>
      <c r="X21" s="166">
        <f t="shared" si="9"/>
        <v>0.98854399999999998</v>
      </c>
      <c r="Y21" s="166">
        <f t="shared" si="9"/>
        <v>0.98854399999999998</v>
      </c>
      <c r="Z21" s="166">
        <f t="shared" si="9"/>
        <v>0.98854399999999998</v>
      </c>
      <c r="AA21" s="166">
        <f t="shared" ref="AA21:AL21" si="10">1-AA20</f>
        <v>0.98854399999999998</v>
      </c>
      <c r="AB21" s="166">
        <f t="shared" si="10"/>
        <v>0.98854399999999998</v>
      </c>
      <c r="AC21" s="166">
        <f t="shared" si="10"/>
        <v>0.98854399999999998</v>
      </c>
      <c r="AD21" s="166">
        <f t="shared" si="10"/>
        <v>0.98854399999999998</v>
      </c>
      <c r="AE21" s="166">
        <f t="shared" si="10"/>
        <v>0.98854399999999998</v>
      </c>
      <c r="AF21" s="166">
        <f t="shared" si="10"/>
        <v>0.98854399999999998</v>
      </c>
      <c r="AG21" s="166">
        <f t="shared" si="10"/>
        <v>0.98854399999999998</v>
      </c>
      <c r="AH21" s="166">
        <f t="shared" si="10"/>
        <v>0.98854399999999998</v>
      </c>
      <c r="AI21" s="166">
        <f t="shared" si="10"/>
        <v>0.98854399999999998</v>
      </c>
      <c r="AJ21" s="166">
        <f t="shared" si="10"/>
        <v>0.98854399999999998</v>
      </c>
      <c r="AK21" s="166">
        <f t="shared" si="10"/>
        <v>0.98854399999999998</v>
      </c>
      <c r="AL21" s="166">
        <f t="shared" si="10"/>
        <v>0.98854399999999998</v>
      </c>
      <c r="AM21" s="166">
        <f t="shared" ref="AM21:AX21" si="11">1-AM20</f>
        <v>0.98854399999999998</v>
      </c>
      <c r="AN21" s="166">
        <f t="shared" si="11"/>
        <v>0.98854399999999998</v>
      </c>
      <c r="AO21" s="166">
        <f t="shared" si="11"/>
        <v>0.98854399999999998</v>
      </c>
      <c r="AP21" s="166">
        <f t="shared" si="11"/>
        <v>0.98854399999999998</v>
      </c>
      <c r="AQ21" s="166">
        <f t="shared" si="11"/>
        <v>0.98854399999999998</v>
      </c>
      <c r="AR21" s="166">
        <f t="shared" si="11"/>
        <v>0.98854399999999998</v>
      </c>
      <c r="AS21" s="166">
        <f t="shared" si="11"/>
        <v>0.98854399999999998</v>
      </c>
      <c r="AT21" s="166">
        <f t="shared" si="11"/>
        <v>0.98854399999999998</v>
      </c>
      <c r="AU21" s="166">
        <f t="shared" si="11"/>
        <v>0.98854399999999998</v>
      </c>
      <c r="AV21" s="166">
        <f t="shared" si="11"/>
        <v>0.98854399999999998</v>
      </c>
      <c r="AW21" s="166">
        <f t="shared" si="11"/>
        <v>0.98854399999999998</v>
      </c>
      <c r="AX21" s="166">
        <f t="shared" si="11"/>
        <v>0.98854399999999998</v>
      </c>
    </row>
    <row r="22" spans="1:50" s="192" customFormat="1" ht="47.25" customHeight="1" thickBot="1">
      <c r="A22" s="207">
        <v>10</v>
      </c>
      <c r="B22" s="208" t="s">
        <v>319</v>
      </c>
      <c r="C22" s="205">
        <v>0</v>
      </c>
      <c r="D22" s="205">
        <v>0</v>
      </c>
      <c r="E22" s="210">
        <f>E19*E21</f>
        <v>1522.4872963041378</v>
      </c>
      <c r="F22" s="210">
        <f t="shared" ref="F22:N22" si="12">F19*F21</f>
        <v>3535.0560460265428</v>
      </c>
      <c r="G22" s="210">
        <f t="shared" si="12"/>
        <v>3563.6539699785012</v>
      </c>
      <c r="H22" s="210">
        <f t="shared" si="12"/>
        <v>3770.4015648452951</v>
      </c>
      <c r="I22" s="210">
        <f t="shared" si="12"/>
        <v>4490.6212996953054</v>
      </c>
      <c r="J22" s="210">
        <f t="shared" si="12"/>
        <v>4182.2284553284117</v>
      </c>
      <c r="K22" s="210">
        <f t="shared" si="12"/>
        <v>4322.6176822805464</v>
      </c>
      <c r="L22" s="210">
        <f t="shared" si="12"/>
        <v>4005.4483417789525</v>
      </c>
      <c r="M22" s="210">
        <f t="shared" si="12"/>
        <v>3142.8565994851542</v>
      </c>
      <c r="N22" s="210">
        <f t="shared" si="12"/>
        <v>3864.5406323973439</v>
      </c>
      <c r="O22" s="210">
        <f t="shared" ref="O22:Z22" si="13">O19*O21</f>
        <v>3094.8015891045202</v>
      </c>
      <c r="P22" s="210">
        <f t="shared" si="13"/>
        <v>2632.4130647701486</v>
      </c>
      <c r="Q22" s="210">
        <f t="shared" si="13"/>
        <v>2908.2523809327045</v>
      </c>
      <c r="R22" s="210">
        <f t="shared" si="13"/>
        <v>2893.6218767368605</v>
      </c>
      <c r="S22" s="210">
        <f t="shared" si="13"/>
        <v>2930.9854632287238</v>
      </c>
      <c r="T22" s="210">
        <f t="shared" si="13"/>
        <v>3199.3216614813232</v>
      </c>
      <c r="U22" s="210">
        <f t="shared" si="13"/>
        <v>3553.5945230154034</v>
      </c>
      <c r="V22" s="210">
        <f t="shared" si="13"/>
        <v>3612.4271687541045</v>
      </c>
      <c r="W22" s="210">
        <f t="shared" si="13"/>
        <v>3756.2779714840167</v>
      </c>
      <c r="X22" s="210">
        <f t="shared" si="13"/>
        <v>3379.6825463192822</v>
      </c>
      <c r="Y22" s="210">
        <f t="shared" si="13"/>
        <v>2784.8069689534486</v>
      </c>
      <c r="Z22" s="210">
        <f t="shared" si="13"/>
        <v>3251.4114011854545</v>
      </c>
      <c r="AA22" s="210">
        <f t="shared" ref="AA22:AL22" si="14">AA19*AA21</f>
        <v>3117.2143429592365</v>
      </c>
      <c r="AB22" s="210">
        <f t="shared" si="14"/>
        <v>3210.5058258502095</v>
      </c>
      <c r="AC22" s="210">
        <f t="shared" si="14"/>
        <v>3464.2803064906984</v>
      </c>
      <c r="AD22" s="210">
        <f t="shared" si="14"/>
        <v>3072.7159996231239</v>
      </c>
      <c r="AE22" s="210">
        <f t="shared" si="14"/>
        <v>2829.2243977352714</v>
      </c>
      <c r="AF22" s="210">
        <f t="shared" si="14"/>
        <v>3638.1393160542507</v>
      </c>
      <c r="AG22" s="210">
        <f t="shared" si="14"/>
        <v>4136.310295168757</v>
      </c>
      <c r="AH22" s="210">
        <f t="shared" si="14"/>
        <v>4533.0934107670582</v>
      </c>
      <c r="AI22" s="210">
        <f t="shared" si="14"/>
        <v>4369.5610247064014</v>
      </c>
      <c r="AJ22" s="210">
        <f t="shared" si="14"/>
        <v>4092.1948246837296</v>
      </c>
      <c r="AK22" s="210">
        <f t="shared" si="14"/>
        <v>3679.1031200306984</v>
      </c>
      <c r="AL22" s="210">
        <f t="shared" si="14"/>
        <v>4010.3813261490859</v>
      </c>
      <c r="AM22" s="210">
        <f t="shared" ref="AM22:AX22" si="15">AM19*AM21</f>
        <v>3838.5161152407459</v>
      </c>
      <c r="AN22" s="210">
        <f t="shared" si="15"/>
        <v>3306.787341589586</v>
      </c>
      <c r="AO22" s="210">
        <f>AO19*AO21</f>
        <v>7155.9659581712913</v>
      </c>
      <c r="AP22" s="210">
        <f>AP19*AP21</f>
        <v>11377.313933885458</v>
      </c>
      <c r="AQ22" s="210">
        <f>AQ19*AQ21</f>
        <v>11530.567623764948</v>
      </c>
      <c r="AR22" s="210">
        <f t="shared" si="15"/>
        <v>12211.147480213171</v>
      </c>
      <c r="AS22" s="210">
        <f t="shared" si="15"/>
        <v>12825.371887868165</v>
      </c>
      <c r="AT22" s="210">
        <f t="shared" si="15"/>
        <v>14932.213283492547</v>
      </c>
      <c r="AU22" s="210">
        <f t="shared" si="15"/>
        <v>14332.527497107649</v>
      </c>
      <c r="AV22" s="210">
        <f t="shared" si="15"/>
        <v>11821.888398275194</v>
      </c>
      <c r="AW22" s="210">
        <f>(AW19*AW21)-5296.7535+64.86</f>
        <v>6364.7361786401216</v>
      </c>
      <c r="AX22" s="210">
        <f t="shared" si="15"/>
        <v>12372.637668586422</v>
      </c>
    </row>
    <row r="23" spans="1:50" ht="13.5" thickTop="1">
      <c r="A23" s="82"/>
    </row>
    <row r="24" spans="1:50">
      <c r="A24" s="82"/>
    </row>
    <row r="25" spans="1:50">
      <c r="A25" s="82"/>
    </row>
    <row r="26" spans="1:50">
      <c r="A26" s="82"/>
    </row>
    <row r="27" spans="1:50">
      <c r="A27" s="82"/>
    </row>
    <row r="28" spans="1:50">
      <c r="A28" s="82"/>
      <c r="AA28" s="245"/>
    </row>
    <row r="29" spans="1:50">
      <c r="A29" s="82"/>
    </row>
    <row r="30" spans="1:50">
      <c r="A30" s="82"/>
    </row>
    <row r="31" spans="1:50">
      <c r="A31" s="82"/>
    </row>
    <row r="32" spans="1:50">
      <c r="A32" s="82"/>
    </row>
    <row r="33" spans="1:1">
      <c r="A33" s="82"/>
    </row>
    <row r="34" spans="1:1">
      <c r="A34" s="82"/>
    </row>
    <row r="35" spans="1:1">
      <c r="A35" s="82"/>
    </row>
    <row r="36" spans="1:1">
      <c r="A36" s="82"/>
    </row>
    <row r="37" spans="1:1">
      <c r="A37" s="82"/>
    </row>
    <row r="38" spans="1:1">
      <c r="A38" s="82"/>
    </row>
    <row r="39" spans="1:1">
      <c r="A39" s="82"/>
    </row>
    <row r="40" spans="1:1">
      <c r="A40" s="82"/>
    </row>
    <row r="41" spans="1:1">
      <c r="A41" s="82"/>
    </row>
    <row r="42" spans="1:1">
      <c r="A42" s="82"/>
    </row>
    <row r="43" spans="1:1">
      <c r="A43" s="82"/>
    </row>
    <row r="44" spans="1:1">
      <c r="A44" s="82"/>
    </row>
    <row r="45" spans="1:1">
      <c r="A45" s="82"/>
    </row>
    <row r="46" spans="1:1">
      <c r="A46" s="82"/>
    </row>
  </sheetData>
  <mergeCells count="9">
    <mergeCell ref="AM11:AX11"/>
    <mergeCell ref="AA11:AL11"/>
    <mergeCell ref="O11:Z11"/>
    <mergeCell ref="C11:N11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7" right="0.28000000000000003" top="1" bottom="1" header="0.5" footer="0.5"/>
  <pageSetup scale="78" orientation="landscape" cellComments="asDisplayed" r:id="rId1"/>
  <headerFooter alignWithMargins="0">
    <oddHeader>&amp;RAttachment 4
WP-Schedule 3
CWIP Balancing Acct 12-31-11 Balance
&amp;P of &amp;N</oddHeader>
    <oddFooter>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AJ6" activePane="bottomRight" state="frozen"/>
      <selection pane="topRight" activeCell="C1" sqref="C1"/>
      <selection pane="bottomLeft" activeCell="A6" sqref="A6"/>
      <selection pane="bottomRight" activeCell="A5" sqref="A5:AX5"/>
    </sheetView>
  </sheetViews>
  <sheetFormatPr defaultRowHeight="12.75" outlineLevelCol="2"/>
  <cols>
    <col min="1" max="1" width="5.28515625" style="74" customWidth="1"/>
    <col min="2" max="2" width="47.5703125" customWidth="1"/>
    <col min="3" max="3" width="7.42578125" hidden="1" customWidth="1" outlineLevel="2"/>
    <col min="4" max="4" width="8.28515625" hidden="1" customWidth="1" outlineLevel="2"/>
    <col min="5" max="9" width="9.28515625" hidden="1" customWidth="1" outlineLevel="1"/>
    <col min="10" max="10" width="9.42578125" hidden="1" customWidth="1" outlineLevel="1"/>
    <col min="11" max="11" width="10.140625" hidden="1" customWidth="1" outlineLevel="1"/>
    <col min="12" max="13" width="9.42578125" hidden="1" customWidth="1" outlineLevel="1"/>
    <col min="14" max="15" width="9.5703125" hidden="1" customWidth="1" outlineLevel="1"/>
    <col min="16" max="17" width="9.28515625" hidden="1" customWidth="1" outlineLevel="1"/>
    <col min="18" max="18" width="9.5703125" hidden="1" customWidth="1" outlineLevel="1"/>
    <col min="19" max="19" width="9.42578125" hidden="1" customWidth="1" outlineLevel="1"/>
    <col min="20" max="21" width="9.7109375" hidden="1" customWidth="1" outlineLevel="1"/>
    <col min="22" max="22" width="9.5703125" hidden="1" customWidth="1" outlineLevel="1"/>
    <col min="23" max="23" width="10" hidden="1" customWidth="1" outlineLevel="1"/>
    <col min="24" max="24" width="9.7109375" hidden="1" customWidth="1" outlineLevel="2"/>
    <col min="25" max="25" width="9.425781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customWidth="1" collapsed="1"/>
    <col min="37" max="37" width="9.28515625" customWidth="1"/>
    <col min="38" max="38" width="9.42578125" customWidth="1"/>
    <col min="39" max="46" width="9.28515625" bestFit="1" customWidth="1"/>
    <col min="47" max="47" width="10" bestFit="1" customWidth="1"/>
    <col min="48" max="48" width="9.28515625" bestFit="1" customWidth="1"/>
    <col min="49" max="49" width="10.28515625" bestFit="1" customWidth="1"/>
    <col min="50" max="50" width="9.140625" customWidth="1"/>
  </cols>
  <sheetData>
    <row r="1" spans="1:50" ht="15.75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1"/>
      <c r="W1" s="691"/>
      <c r="X1" s="691"/>
      <c r="Y1" s="691"/>
      <c r="Z1" s="691"/>
      <c r="AA1" s="691"/>
      <c r="AB1" s="691"/>
      <c r="AC1" s="691"/>
      <c r="AD1" s="691"/>
      <c r="AE1" s="691"/>
      <c r="AF1" s="691"/>
      <c r="AG1" s="691"/>
      <c r="AH1" s="691"/>
      <c r="AI1" s="691"/>
      <c r="AJ1" s="691"/>
      <c r="AK1" s="691"/>
      <c r="AL1" s="691"/>
      <c r="AM1" s="691"/>
      <c r="AN1" s="691"/>
      <c r="AO1" s="691"/>
      <c r="AP1" s="691"/>
      <c r="AQ1" s="691"/>
      <c r="AR1" s="691"/>
      <c r="AS1" s="691"/>
      <c r="AT1" s="691"/>
      <c r="AU1" s="691"/>
      <c r="AV1" s="691"/>
      <c r="AW1" s="691"/>
      <c r="AX1" s="691"/>
    </row>
    <row r="2" spans="1:50" ht="15">
      <c r="A2" s="692" t="s">
        <v>6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</row>
    <row r="3" spans="1:50" ht="15">
      <c r="A3" s="692">
        <v>2011</v>
      </c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692"/>
      <c r="N3" s="692"/>
      <c r="O3" s="692"/>
      <c r="P3" s="692"/>
      <c r="Q3" s="692"/>
      <c r="R3" s="692"/>
      <c r="S3" s="692"/>
      <c r="T3" s="692"/>
      <c r="U3" s="692"/>
      <c r="V3" s="692"/>
      <c r="W3" s="692"/>
      <c r="X3" s="692"/>
      <c r="Y3" s="692"/>
      <c r="Z3" s="692"/>
      <c r="AA3" s="692"/>
      <c r="AB3" s="692"/>
      <c r="AC3" s="692"/>
      <c r="AD3" s="692"/>
      <c r="AE3" s="692"/>
      <c r="AF3" s="692"/>
      <c r="AG3" s="692"/>
      <c r="AH3" s="692"/>
      <c r="AI3" s="692"/>
      <c r="AJ3" s="692"/>
      <c r="AK3" s="692"/>
      <c r="AL3" s="692"/>
      <c r="AM3" s="692"/>
      <c r="AN3" s="692"/>
      <c r="AO3" s="692"/>
      <c r="AP3" s="692"/>
      <c r="AQ3" s="692"/>
      <c r="AR3" s="692"/>
      <c r="AS3" s="692"/>
      <c r="AT3" s="692"/>
      <c r="AU3" s="692"/>
      <c r="AV3" s="692"/>
      <c r="AW3" s="692"/>
      <c r="AX3" s="692"/>
    </row>
    <row r="4" spans="1:50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  <c r="AX4" s="693"/>
    </row>
    <row r="5" spans="1:50" ht="15.75">
      <c r="A5" s="691" t="s">
        <v>7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  <c r="AA5" s="691"/>
      <c r="AB5" s="691"/>
      <c r="AC5" s="691"/>
      <c r="AD5" s="691"/>
      <c r="AE5" s="691"/>
      <c r="AF5" s="691"/>
      <c r="AG5" s="691"/>
      <c r="AH5" s="691"/>
      <c r="AI5" s="691"/>
      <c r="AJ5" s="691"/>
      <c r="AK5" s="691"/>
      <c r="AL5" s="691"/>
      <c r="AM5" s="691"/>
      <c r="AN5" s="691"/>
      <c r="AO5" s="691"/>
      <c r="AP5" s="691"/>
      <c r="AQ5" s="691"/>
      <c r="AR5" s="691"/>
      <c r="AS5" s="691"/>
      <c r="AT5" s="691"/>
      <c r="AU5" s="691"/>
      <c r="AV5" s="691"/>
      <c r="AW5" s="691"/>
      <c r="AX5" s="691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95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7">
        <v>2008</v>
      </c>
      <c r="D16" s="688"/>
      <c r="E16" s="688"/>
      <c r="F16" s="688"/>
      <c r="G16" s="688"/>
      <c r="H16" s="688"/>
      <c r="I16" s="688"/>
      <c r="J16" s="688"/>
      <c r="K16" s="688"/>
      <c r="L16" s="688"/>
      <c r="M16" s="688"/>
      <c r="N16" s="689"/>
      <c r="O16" s="687">
        <v>2009</v>
      </c>
      <c r="P16" s="688"/>
      <c r="Q16" s="688"/>
      <c r="R16" s="688"/>
      <c r="S16" s="688"/>
      <c r="T16" s="688"/>
      <c r="U16" s="688"/>
      <c r="V16" s="688"/>
      <c r="W16" s="688"/>
      <c r="X16" s="688"/>
      <c r="Y16" s="688"/>
      <c r="Z16" s="689"/>
      <c r="AA16" s="707">
        <v>2010</v>
      </c>
      <c r="AB16" s="708"/>
      <c r="AC16" s="708"/>
      <c r="AD16" s="708"/>
      <c r="AE16" s="708"/>
      <c r="AF16" s="708"/>
      <c r="AG16" s="708"/>
      <c r="AH16" s="708"/>
      <c r="AI16" s="708"/>
      <c r="AJ16" s="708"/>
      <c r="AK16" s="708"/>
      <c r="AL16" s="709"/>
      <c r="AM16" s="707">
        <v>2011</v>
      </c>
      <c r="AN16" s="708"/>
      <c r="AO16" s="708"/>
      <c r="AP16" s="708"/>
      <c r="AQ16" s="708"/>
      <c r="AR16" s="708"/>
      <c r="AS16" s="708"/>
      <c r="AT16" s="708"/>
      <c r="AU16" s="708"/>
      <c r="AV16" s="708"/>
      <c r="AW16" s="708"/>
      <c r="AX16" s="709"/>
    </row>
    <row r="17" spans="1:50" ht="21" thickBot="1">
      <c r="A17" s="72">
        <v>9</v>
      </c>
      <c r="B17" s="102" t="s">
        <v>329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269" t="s">
        <v>76</v>
      </c>
      <c r="AC17" s="269" t="s">
        <v>77</v>
      </c>
      <c r="AD17" s="269" t="s">
        <v>78</v>
      </c>
      <c r="AE17" s="269" t="s">
        <v>75</v>
      </c>
      <c r="AF17" s="269" t="s">
        <v>79</v>
      </c>
      <c r="AG17" s="269" t="s">
        <v>80</v>
      </c>
      <c r="AH17" s="269" t="s">
        <v>81</v>
      </c>
      <c r="AI17" s="269" t="s">
        <v>82</v>
      </c>
      <c r="AJ17" s="269" t="s">
        <v>83</v>
      </c>
      <c r="AK17" s="269" t="s">
        <v>84</v>
      </c>
      <c r="AL17" s="269" t="s">
        <v>101</v>
      </c>
      <c r="AM17" s="269" t="s">
        <v>100</v>
      </c>
      <c r="AN17" s="269" t="s">
        <v>76</v>
      </c>
      <c r="AO17" s="269" t="s">
        <v>77</v>
      </c>
      <c r="AP17" s="269" t="s">
        <v>78</v>
      </c>
      <c r="AQ17" s="269" t="s">
        <v>75</v>
      </c>
      <c r="AR17" s="269" t="s">
        <v>79</v>
      </c>
      <c r="AS17" s="269" t="s">
        <v>80</v>
      </c>
      <c r="AT17" s="269" t="s">
        <v>81</v>
      </c>
      <c r="AU17" s="269" t="s">
        <v>82</v>
      </c>
      <c r="AV17" s="269" t="s">
        <v>83</v>
      </c>
      <c r="AW17" s="269" t="s">
        <v>84</v>
      </c>
      <c r="AX17" s="26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'DPV2 CWIP Balance'!E17+'Def Tax'!F124</f>
        <v>22323.840566838931</v>
      </c>
      <c r="F19" s="164">
        <f>E20</f>
        <v>22426.591421078352</v>
      </c>
      <c r="G19" s="164">
        <f>F20</f>
        <v>22910.828962202762</v>
      </c>
      <c r="H19" s="164">
        <f t="shared" ref="H19:N19" si="0">IF(H20=0,0,G20)</f>
        <v>23255.674852935328</v>
      </c>
      <c r="I19" s="164">
        <f t="shared" si="0"/>
        <v>23794.387712465639</v>
      </c>
      <c r="J19" s="164">
        <f t="shared" si="0"/>
        <v>24020.776926318467</v>
      </c>
      <c r="K19" s="164">
        <f t="shared" si="0"/>
        <v>24396.94320609271</v>
      </c>
      <c r="L19" s="164">
        <f t="shared" si="0"/>
        <v>25095.570086437598</v>
      </c>
      <c r="M19" s="164">
        <f t="shared" si="0"/>
        <v>25432.372841901437</v>
      </c>
      <c r="N19" s="164">
        <f t="shared" si="0"/>
        <v>25587.724015872383</v>
      </c>
      <c r="O19" s="164">
        <f t="shared" ref="O19:Z19" si="1">IF(O20=0,0,N20)</f>
        <v>26692.894075872384</v>
      </c>
      <c r="P19" s="164">
        <f t="shared" si="1"/>
        <v>27121.783171692343</v>
      </c>
      <c r="Q19" s="164">
        <f t="shared" si="1"/>
        <v>27565.572336193436</v>
      </c>
      <c r="R19" s="164">
        <f t="shared" si="1"/>
        <v>28631.331950416443</v>
      </c>
      <c r="S19" s="164">
        <f t="shared" si="1"/>
        <v>29822.928546217558</v>
      </c>
      <c r="T19" s="164">
        <f t="shared" si="1"/>
        <v>32214.864878980938</v>
      </c>
      <c r="U19" s="164">
        <f t="shared" si="1"/>
        <v>31808.965015421669</v>
      </c>
      <c r="V19" s="164">
        <f t="shared" si="1"/>
        <v>34903.722202027144</v>
      </c>
      <c r="W19" s="164">
        <f t="shared" si="1"/>
        <v>37665.069212743285</v>
      </c>
      <c r="X19" s="164">
        <f t="shared" si="1"/>
        <v>40655.069522549988</v>
      </c>
      <c r="Y19" s="164">
        <f t="shared" si="1"/>
        <v>38791.154410177885</v>
      </c>
      <c r="Z19" s="164">
        <f t="shared" si="1"/>
        <v>36656.801856455866</v>
      </c>
      <c r="AA19" s="164">
        <f t="shared" ref="AA19:AX19" si="2">IF(AA20=0,0,Z20)</f>
        <v>39695.342166455863</v>
      </c>
      <c r="AB19" s="164">
        <f t="shared" si="2"/>
        <v>39589.787159819913</v>
      </c>
      <c r="AC19" s="164">
        <f t="shared" si="2"/>
        <v>39776.495893524501</v>
      </c>
      <c r="AD19" s="164">
        <f t="shared" si="2"/>
        <v>41064.320682797552</v>
      </c>
      <c r="AE19" s="164">
        <f t="shared" si="2"/>
        <v>41945.659790264013</v>
      </c>
      <c r="AF19" s="164">
        <f t="shared" si="2"/>
        <v>43343.362530767692</v>
      </c>
      <c r="AG19" s="164">
        <f t="shared" si="2"/>
        <v>36309.249508710258</v>
      </c>
      <c r="AH19" s="164">
        <f t="shared" si="2"/>
        <v>37277.450616422</v>
      </c>
      <c r="AI19" s="164">
        <f t="shared" si="2"/>
        <v>38505.362464434817</v>
      </c>
      <c r="AJ19" s="164">
        <f t="shared" si="2"/>
        <v>40428.48538131758</v>
      </c>
      <c r="AK19" s="164">
        <f t="shared" si="2"/>
        <v>44107.073224935513</v>
      </c>
      <c r="AL19" s="164">
        <f t="shared" si="2"/>
        <v>44837.749785911568</v>
      </c>
      <c r="AM19" s="471">
        <f t="shared" si="2"/>
        <v>47696.378945911572</v>
      </c>
      <c r="AN19" s="471">
        <f t="shared" si="2"/>
        <v>49121.762606621167</v>
      </c>
      <c r="AO19" s="471">
        <f t="shared" si="2"/>
        <v>51079.214564970367</v>
      </c>
      <c r="AP19" s="471">
        <f t="shared" si="2"/>
        <v>54203.968503783246</v>
      </c>
      <c r="AQ19" s="471">
        <f t="shared" si="2"/>
        <v>56028.167176338931</v>
      </c>
      <c r="AR19" s="471">
        <f t="shared" si="2"/>
        <v>58919.916214067496</v>
      </c>
      <c r="AS19" s="471">
        <f t="shared" si="2"/>
        <v>64530.066234664177</v>
      </c>
      <c r="AT19" s="471">
        <f t="shared" si="2"/>
        <v>69070.928855374572</v>
      </c>
      <c r="AU19" s="471">
        <f t="shared" si="2"/>
        <v>75760.704821364794</v>
      </c>
      <c r="AV19" s="471">
        <f t="shared" si="2"/>
        <v>88744.919443683553</v>
      </c>
      <c r="AW19" s="471">
        <f t="shared" si="2"/>
        <v>104529.17707447564</v>
      </c>
      <c r="AX19" s="471">
        <f t="shared" si="2"/>
        <v>128110.89874172263</v>
      </c>
    </row>
    <row r="20" spans="1:50">
      <c r="A20" s="73">
        <v>12</v>
      </c>
      <c r="B20" s="5" t="s">
        <v>147</v>
      </c>
      <c r="C20" s="8"/>
      <c r="D20" s="8"/>
      <c r="E20" s="196">
        <f>'DPV2 CWIP Balance'!E18+'Def Tax'!F125</f>
        <v>22426.591421078352</v>
      </c>
      <c r="F20" s="196">
        <f>'DPV2 CWIP Balance'!E19+'Def Tax'!F126</f>
        <v>22910.828962202762</v>
      </c>
      <c r="G20" s="196">
        <f>'DPV2 CWIP Balance'!E20+'Def Tax'!F127</f>
        <v>23255.674852935328</v>
      </c>
      <c r="H20" s="196">
        <f>'DPV2 CWIP Balance'!E21+'Def Tax'!F128</f>
        <v>23794.387712465639</v>
      </c>
      <c r="I20" s="196">
        <f>'DPV2 CWIP Balance'!E22+'Def Tax'!F129</f>
        <v>24020.776926318467</v>
      </c>
      <c r="J20" s="196">
        <f>'DPV2 CWIP Balance'!E23+'Def Tax'!F130</f>
        <v>24396.94320609271</v>
      </c>
      <c r="K20" s="196">
        <f>'DPV2 CWIP Balance'!E24+'Def Tax'!F131</f>
        <v>25095.570086437598</v>
      </c>
      <c r="L20" s="196">
        <f>'DPV2 CWIP Balance'!E25+'Def Tax'!F132</f>
        <v>25432.372841901437</v>
      </c>
      <c r="M20" s="196">
        <f>'DPV2 CWIP Balance'!E26+'Def Tax'!F133</f>
        <v>25587.724015872383</v>
      </c>
      <c r="N20" s="196">
        <f>'DPV2 CWIP Balance'!E27+'Def Tax'!F134</f>
        <v>26692.894075872384</v>
      </c>
      <c r="O20" s="196">
        <f>'DPV2 CWIP Balance'!E28+'Def Tax'!F137</f>
        <v>27121.783171692343</v>
      </c>
      <c r="P20" s="196">
        <f>'DPV2 CWIP Balance'!E29+'Def Tax'!F138</f>
        <v>27565.572336193436</v>
      </c>
      <c r="Q20" s="196">
        <f>'DPV2 CWIP Balance'!E30+'Def Tax'!F139</f>
        <v>28631.331950416443</v>
      </c>
      <c r="R20" s="196">
        <f>'DPV2 CWIP Balance'!E31+'Def Tax'!F140</f>
        <v>29822.928546217558</v>
      </c>
      <c r="S20" s="196">
        <f>'DPV2 CWIP Balance'!E32+'Def Tax'!F141</f>
        <v>32214.864878980938</v>
      </c>
      <c r="T20" s="328">
        <f>'DPV2 CWIP Balance'!E33+'Def Tax'!F145</f>
        <v>31808.965015421669</v>
      </c>
      <c r="U20" s="196">
        <f>'DPV2 CWIP Balance'!E34+'Def Tax'!F147</f>
        <v>34903.722202027144</v>
      </c>
      <c r="V20" s="196">
        <f>'DPV2 CWIP Balance'!E35+'Def Tax'!F148</f>
        <v>37665.069212743285</v>
      </c>
      <c r="W20" s="196">
        <f>'DPV2 CWIP Balance'!E36+'Def Tax'!F149</f>
        <v>40655.069522549988</v>
      </c>
      <c r="X20" s="328">
        <f>'DPV2 CWIP Balance'!E37+'Def Tax'!F153</f>
        <v>38791.154410177885</v>
      </c>
      <c r="Y20" s="328">
        <f>'DPV2 CWIP Balance'!E38+'Def Tax'!F157</f>
        <v>36656.801856455866</v>
      </c>
      <c r="Z20" s="196">
        <f>'DPV2 CWIP Balance'!E39+'Def Tax'!F159</f>
        <v>39695.342166455863</v>
      </c>
      <c r="AA20" s="328">
        <f>'DPV2 CWIP Balance'!E40+'Def Tax'!F162</f>
        <v>39589.787159819913</v>
      </c>
      <c r="AB20" s="328">
        <f>'DPV2 CWIP Balance'!E41+'Def Tax'!F163</f>
        <v>39776.495893524501</v>
      </c>
      <c r="AC20" s="328">
        <f>'DPV2 CWIP Balance'!E42+'Def Tax'!F164</f>
        <v>41064.320682797552</v>
      </c>
      <c r="AD20" s="328">
        <f>'DPV2 CWIP Balance'!E43+'Def Tax'!F165</f>
        <v>41945.659790264013</v>
      </c>
      <c r="AE20" s="328">
        <f>'DPV2 CWIP Balance'!E44+'Def Tax'!F166</f>
        <v>43343.362530767692</v>
      </c>
      <c r="AF20" s="328">
        <f>'DPV2 CWIP Balance'!E45+'Def Tax'!F168</f>
        <v>36309.249508710258</v>
      </c>
      <c r="AG20" s="328">
        <f>'DPV2 CWIP Balance'!E46+'Def Tax'!F172</f>
        <v>37277.450616422</v>
      </c>
      <c r="AH20" s="328">
        <f>'DPV2 CWIP Balance'!E47+'Def Tax'!F173</f>
        <v>38505.362464434817</v>
      </c>
      <c r="AI20" s="328">
        <f>'DPV2 CWIP Balance'!E48+'Def Tax'!F174</f>
        <v>40428.48538131758</v>
      </c>
      <c r="AJ20" s="328">
        <f>'DPV2 CWIP Balance'!E49+'Def Tax'!F175</f>
        <v>44107.073224935513</v>
      </c>
      <c r="AK20" s="328">
        <f>'DPV2 CWIP Balance'!E50+'Def Tax'!F176</f>
        <v>44837.749785911568</v>
      </c>
      <c r="AL20" s="328">
        <f>'DPV2 CWIP Balance'!E51+'Def Tax'!F177</f>
        <v>47696.378945911572</v>
      </c>
      <c r="AM20" s="328">
        <f>'DPV2 CWIP Balance'!$E$52+'Def Tax'!$F$180</f>
        <v>49121.762606621167</v>
      </c>
      <c r="AN20" s="328">
        <f>'DPV2 CWIP Balance'!$E$53+'Def Tax'!$F$181</f>
        <v>51079.214564970367</v>
      </c>
      <c r="AO20" s="328">
        <f>'DPV2 CWIP Balance'!$E$54+'Def Tax'!$F$182</f>
        <v>54203.968503783246</v>
      </c>
      <c r="AP20" s="328">
        <f>'DPV2 CWIP Balance'!$E$55+'Def Tax'!$F$184</f>
        <v>56028.167176338931</v>
      </c>
      <c r="AQ20" s="328">
        <f>'DPV2 CWIP Balance'!$E$56+'Def Tax'!$F$188</f>
        <v>58919.916214067496</v>
      </c>
      <c r="AR20" s="328">
        <f>'DPV2 CWIP Balance'!$E$57+'Def Tax'!$F$189</f>
        <v>64530.066234664177</v>
      </c>
      <c r="AS20" s="328">
        <f>'DPV2 CWIP Balance'!$E$58+'Def Tax'!$F$190</f>
        <v>69070.928855374572</v>
      </c>
      <c r="AT20" s="328">
        <f>'DPV2 CWIP Balance'!$E$59+'Def Tax'!$F$191</f>
        <v>75760.704821364794</v>
      </c>
      <c r="AU20" s="328">
        <f>'DPV2 CWIP Balance'!$E$60+'Def Tax'!$F$192</f>
        <v>88744.919443683553</v>
      </c>
      <c r="AV20" s="328">
        <f>'DPV2 CWIP Balance'!$E$61+'Def Tax'!$F$193</f>
        <v>104529.17707447564</v>
      </c>
      <c r="AW20" s="328">
        <f>'DPV2 CWIP Balance'!$E$62+'Def Tax'!$F$194</f>
        <v>128110.89874172263</v>
      </c>
      <c r="AX20" s="328">
        <f>'DPV2 CWIP Balance'!$E$63+'Def Tax'!$F$195</f>
        <v>153602.75861172265</v>
      </c>
    </row>
    <row r="21" spans="1:50">
      <c r="A21" s="72">
        <v>13</v>
      </c>
      <c r="B21" s="5" t="s">
        <v>12</v>
      </c>
      <c r="C21" s="9"/>
      <c r="D21" s="9"/>
      <c r="E21" s="9">
        <f t="shared" ref="E21:N21" si="3">SUM(E19:E20)</f>
        <v>44750.431987917284</v>
      </c>
      <c r="F21" s="9">
        <f t="shared" si="3"/>
        <v>45337.420383281118</v>
      </c>
      <c r="G21" s="9">
        <f t="shared" si="3"/>
        <v>46166.503815138087</v>
      </c>
      <c r="H21" s="9">
        <f t="shared" si="3"/>
        <v>47050.062565400964</v>
      </c>
      <c r="I21" s="9">
        <f t="shared" si="3"/>
        <v>47815.164638784103</v>
      </c>
      <c r="J21" s="9">
        <f t="shared" si="3"/>
        <v>48417.720132411181</v>
      </c>
      <c r="K21" s="9">
        <f t="shared" si="3"/>
        <v>49492.513292530304</v>
      </c>
      <c r="L21" s="9">
        <f t="shared" si="3"/>
        <v>50527.942928339035</v>
      </c>
      <c r="M21" s="9">
        <f t="shared" si="3"/>
        <v>51020.096857773824</v>
      </c>
      <c r="N21" s="9">
        <f t="shared" si="3"/>
        <v>52280.618091744764</v>
      </c>
      <c r="O21" s="9">
        <f t="shared" ref="O21:Z21" si="4">SUM(O19:O20)</f>
        <v>53814.67724756473</v>
      </c>
      <c r="P21" s="9">
        <f t="shared" si="4"/>
        <v>54687.355507885775</v>
      </c>
      <c r="Q21" s="9">
        <f t="shared" si="4"/>
        <v>56196.904286609875</v>
      </c>
      <c r="R21" s="9">
        <f t="shared" si="4"/>
        <v>58454.260496634</v>
      </c>
      <c r="S21" s="9">
        <f t="shared" si="4"/>
        <v>62037.793425198499</v>
      </c>
      <c r="T21" s="9">
        <f t="shared" si="4"/>
        <v>64023.829894402603</v>
      </c>
      <c r="U21" s="9">
        <f t="shared" si="4"/>
        <v>66712.687217448809</v>
      </c>
      <c r="V21" s="9">
        <f t="shared" si="4"/>
        <v>72568.791414770429</v>
      </c>
      <c r="W21" s="9">
        <f t="shared" si="4"/>
        <v>78320.138735293265</v>
      </c>
      <c r="X21" s="9">
        <f t="shared" si="4"/>
        <v>79446.22393272788</v>
      </c>
      <c r="Y21" s="9">
        <f t="shared" si="4"/>
        <v>75447.956266633759</v>
      </c>
      <c r="Z21" s="9">
        <f t="shared" si="4"/>
        <v>76352.144022911729</v>
      </c>
      <c r="AA21" s="9">
        <f t="shared" ref="AA21:AL21" si="5">SUM(AA19:AA20)</f>
        <v>79285.129326275783</v>
      </c>
      <c r="AB21" s="9">
        <f t="shared" si="5"/>
        <v>79366.283053344407</v>
      </c>
      <c r="AC21" s="9">
        <f t="shared" si="5"/>
        <v>80840.816576322046</v>
      </c>
      <c r="AD21" s="9">
        <f t="shared" si="5"/>
        <v>83009.980473061558</v>
      </c>
      <c r="AE21" s="9">
        <f t="shared" si="5"/>
        <v>85289.022321031705</v>
      </c>
      <c r="AF21" s="9">
        <f t="shared" si="5"/>
        <v>79652.612039477943</v>
      </c>
      <c r="AG21" s="9">
        <f t="shared" si="5"/>
        <v>73586.700125132251</v>
      </c>
      <c r="AH21" s="9">
        <f t="shared" si="5"/>
        <v>75782.813080856809</v>
      </c>
      <c r="AI21" s="9">
        <f t="shared" si="5"/>
        <v>78933.847845752403</v>
      </c>
      <c r="AJ21" s="9">
        <f t="shared" si="5"/>
        <v>84535.558606253093</v>
      </c>
      <c r="AK21" s="9">
        <f t="shared" si="5"/>
        <v>88944.823010847089</v>
      </c>
      <c r="AL21" s="9">
        <f t="shared" si="5"/>
        <v>92534.128731823148</v>
      </c>
      <c r="AM21" s="472">
        <f t="shared" ref="AM21:AX21" si="6">SUM(AM19:AM20)</f>
        <v>96818.141552532732</v>
      </c>
      <c r="AN21" s="472">
        <f t="shared" si="6"/>
        <v>100200.97717159154</v>
      </c>
      <c r="AO21" s="472">
        <f t="shared" si="6"/>
        <v>105283.18306875361</v>
      </c>
      <c r="AP21" s="472">
        <f t="shared" si="6"/>
        <v>110232.13568012218</v>
      </c>
      <c r="AQ21" s="472">
        <f t="shared" si="6"/>
        <v>114948.08339040642</v>
      </c>
      <c r="AR21" s="472">
        <f t="shared" si="6"/>
        <v>123449.98244873167</v>
      </c>
      <c r="AS21" s="472">
        <f t="shared" si="6"/>
        <v>133600.99509003875</v>
      </c>
      <c r="AT21" s="472">
        <f t="shared" si="6"/>
        <v>144831.63367673935</v>
      </c>
      <c r="AU21" s="472">
        <f t="shared" si="6"/>
        <v>164505.62426504836</v>
      </c>
      <c r="AV21" s="472">
        <f t="shared" si="6"/>
        <v>193274.0965181592</v>
      </c>
      <c r="AW21" s="472">
        <f t="shared" si="6"/>
        <v>232640.07581619825</v>
      </c>
      <c r="AX21" s="472">
        <f t="shared" si="6"/>
        <v>281713.65735344531</v>
      </c>
    </row>
    <row r="22" spans="1:50">
      <c r="A22" s="73">
        <v>14</v>
      </c>
      <c r="B22" s="61" t="s">
        <v>13</v>
      </c>
      <c r="C22" s="62"/>
      <c r="D22" s="62"/>
      <c r="E22" s="62">
        <f t="shared" ref="E22:N22" si="7">E21/2</f>
        <v>22375.215993958642</v>
      </c>
      <c r="F22" s="62">
        <f t="shared" si="7"/>
        <v>22668.710191640559</v>
      </c>
      <c r="G22" s="62">
        <f t="shared" si="7"/>
        <v>23083.251907569043</v>
      </c>
      <c r="H22" s="62">
        <f t="shared" si="7"/>
        <v>23525.031282700482</v>
      </c>
      <c r="I22" s="62">
        <f t="shared" si="7"/>
        <v>23907.582319392051</v>
      </c>
      <c r="J22" s="62">
        <f t="shared" si="7"/>
        <v>24208.860066205591</v>
      </c>
      <c r="K22" s="62">
        <f t="shared" si="7"/>
        <v>24746.256646265152</v>
      </c>
      <c r="L22" s="62">
        <f t="shared" si="7"/>
        <v>25263.971464169517</v>
      </c>
      <c r="M22" s="62">
        <f t="shared" si="7"/>
        <v>25510.048428886912</v>
      </c>
      <c r="N22" s="62">
        <f t="shared" si="7"/>
        <v>26140.309045872382</v>
      </c>
      <c r="O22" s="62">
        <f t="shared" ref="O22:Z22" si="8">O21/2</f>
        <v>26907.338623782365</v>
      </c>
      <c r="P22" s="62">
        <f t="shared" si="8"/>
        <v>27343.677753942888</v>
      </c>
      <c r="Q22" s="62">
        <f t="shared" si="8"/>
        <v>28098.452143304938</v>
      </c>
      <c r="R22" s="62">
        <f t="shared" si="8"/>
        <v>29227.130248317</v>
      </c>
      <c r="S22" s="62">
        <f t="shared" si="8"/>
        <v>31018.896712599249</v>
      </c>
      <c r="T22" s="62">
        <f t="shared" si="8"/>
        <v>32011.914947201301</v>
      </c>
      <c r="U22" s="62">
        <f t="shared" si="8"/>
        <v>33356.343608724404</v>
      </c>
      <c r="V22" s="62">
        <f t="shared" si="8"/>
        <v>36284.395707385214</v>
      </c>
      <c r="W22" s="62">
        <f t="shared" si="8"/>
        <v>39160.069367646633</v>
      </c>
      <c r="X22" s="62">
        <f t="shared" si="8"/>
        <v>39723.11196636394</v>
      </c>
      <c r="Y22" s="62">
        <f t="shared" si="8"/>
        <v>37723.978133316879</v>
      </c>
      <c r="Z22" s="62">
        <f t="shared" si="8"/>
        <v>38176.072011455864</v>
      </c>
      <c r="AA22" s="62">
        <f t="shared" ref="AA22:AX22" si="9">AA21/2</f>
        <v>39642.564663137891</v>
      </c>
      <c r="AB22" s="62">
        <f t="shared" si="9"/>
        <v>39683.141526672203</v>
      </c>
      <c r="AC22" s="62">
        <f t="shared" si="9"/>
        <v>40420.408288161023</v>
      </c>
      <c r="AD22" s="62">
        <f t="shared" si="9"/>
        <v>41504.990236530779</v>
      </c>
      <c r="AE22" s="62">
        <f t="shared" si="9"/>
        <v>42644.511160515853</v>
      </c>
      <c r="AF22" s="62">
        <f t="shared" si="9"/>
        <v>39826.306019738971</v>
      </c>
      <c r="AG22" s="62">
        <f t="shared" si="9"/>
        <v>36793.350062566125</v>
      </c>
      <c r="AH22" s="62">
        <f t="shared" si="9"/>
        <v>37891.406540428405</v>
      </c>
      <c r="AI22" s="62">
        <f t="shared" si="9"/>
        <v>39466.923922876202</v>
      </c>
      <c r="AJ22" s="62">
        <f t="shared" si="9"/>
        <v>42267.779303126546</v>
      </c>
      <c r="AK22" s="62">
        <f t="shared" si="9"/>
        <v>44472.411505423544</v>
      </c>
      <c r="AL22" s="62">
        <f t="shared" si="9"/>
        <v>46267.064365911574</v>
      </c>
      <c r="AM22" s="477">
        <f t="shared" si="9"/>
        <v>48409.070776266366</v>
      </c>
      <c r="AN22" s="477">
        <f t="shared" si="9"/>
        <v>50100.488585795771</v>
      </c>
      <c r="AO22" s="477">
        <f t="shared" si="9"/>
        <v>52641.591534376807</v>
      </c>
      <c r="AP22" s="477">
        <f t="shared" si="9"/>
        <v>55116.067840061092</v>
      </c>
      <c r="AQ22" s="477">
        <f t="shared" si="9"/>
        <v>57474.04169520321</v>
      </c>
      <c r="AR22" s="477">
        <f t="shared" si="9"/>
        <v>61724.991224365833</v>
      </c>
      <c r="AS22" s="477">
        <f t="shared" si="9"/>
        <v>66800.497545019374</v>
      </c>
      <c r="AT22" s="477">
        <f t="shared" si="9"/>
        <v>72415.816838369676</v>
      </c>
      <c r="AU22" s="477">
        <f t="shared" si="9"/>
        <v>82252.812132524181</v>
      </c>
      <c r="AV22" s="477">
        <f t="shared" si="9"/>
        <v>96637.048259079602</v>
      </c>
      <c r="AW22" s="477">
        <f t="shared" si="9"/>
        <v>116320.03790809913</v>
      </c>
      <c r="AX22" s="477">
        <f t="shared" si="9"/>
        <v>140856.82867672265</v>
      </c>
    </row>
    <row r="23" spans="1:50">
      <c r="A23" s="72">
        <v>15</v>
      </c>
      <c r="B23" s="5"/>
      <c r="Z23" s="584"/>
      <c r="AA23" s="584"/>
      <c r="AB23" s="584"/>
      <c r="AC23" s="584"/>
      <c r="AD23" s="584"/>
      <c r="AE23" s="584"/>
      <c r="AF23" s="584"/>
      <c r="AG23" s="584"/>
      <c r="AH23" s="584"/>
      <c r="AI23" s="584"/>
      <c r="AJ23" s="584"/>
      <c r="AK23" s="584"/>
      <c r="AL23" s="584"/>
    </row>
    <row r="24" spans="1:50" ht="28.5">
      <c r="A24" s="73">
        <v>16</v>
      </c>
      <c r="B24" s="52" t="s">
        <v>14</v>
      </c>
    </row>
    <row r="25" spans="1:50">
      <c r="A25" s="72">
        <v>17</v>
      </c>
      <c r="B25" s="51" t="s">
        <v>47</v>
      </c>
      <c r="C25" s="89"/>
      <c r="D25" s="89"/>
      <c r="E25" s="89">
        <f>'Cost of Capital'!$D$12</f>
        <v>8.6290000000000006E-2</v>
      </c>
      <c r="F25" s="89">
        <f>'Cost of Capital'!$D$12</f>
        <v>8.6290000000000006E-2</v>
      </c>
      <c r="G25" s="89">
        <f>'Cost of Capital'!$D$12</f>
        <v>8.6290000000000006E-2</v>
      </c>
      <c r="H25" s="89">
        <f>'Cost of Capital'!$D$12</f>
        <v>8.6290000000000006E-2</v>
      </c>
      <c r="I25" s="89">
        <f>'Cost of Capital'!$D$12</f>
        <v>8.6290000000000006E-2</v>
      </c>
      <c r="J25" s="89">
        <f>'Cost of Capital'!$D$12</f>
        <v>8.6290000000000006E-2</v>
      </c>
      <c r="K25" s="89">
        <f>'Cost of Capital'!$D$12</f>
        <v>8.6290000000000006E-2</v>
      </c>
      <c r="L25" s="89">
        <f>'Cost of Capital'!$D$12</f>
        <v>8.6290000000000006E-2</v>
      </c>
      <c r="M25" s="89">
        <f>'Cost of Capital'!$D$12</f>
        <v>8.6290000000000006E-2</v>
      </c>
      <c r="N25" s="89">
        <f>'Cost of Capital'!$D$12</f>
        <v>8.6290000000000006E-2</v>
      </c>
      <c r="O25" s="89">
        <f>'Cost of Capital'!$D$38</f>
        <v>9.0090000000000003E-2</v>
      </c>
      <c r="P25" s="89">
        <f>'Cost of Capital'!$D$38</f>
        <v>9.0090000000000003E-2</v>
      </c>
      <c r="Q25" s="89">
        <f>'Cost of Capital'!$D$38</f>
        <v>9.0090000000000003E-2</v>
      </c>
      <c r="R25" s="89">
        <f>'Cost of Capital'!$D$38</f>
        <v>9.0090000000000003E-2</v>
      </c>
      <c r="S25" s="89">
        <f>'Cost of Capital'!$D$38</f>
        <v>9.0090000000000003E-2</v>
      </c>
      <c r="T25" s="89">
        <f>'Cost of Capital'!$D$38</f>
        <v>9.0090000000000003E-2</v>
      </c>
      <c r="U25" s="89">
        <f>'Cost of Capital'!$D$38</f>
        <v>9.0090000000000003E-2</v>
      </c>
      <c r="V25" s="89">
        <f>'Cost of Capital'!$D$38</f>
        <v>9.0090000000000003E-2</v>
      </c>
      <c r="W25" s="89">
        <f>'Cost of Capital'!$D$38</f>
        <v>9.0090000000000003E-2</v>
      </c>
      <c r="X25" s="89">
        <f>'Cost of Capital'!$D$38</f>
        <v>9.0090000000000003E-2</v>
      </c>
      <c r="Y25" s="89">
        <f>'Cost of Capital'!$D$38</f>
        <v>9.0090000000000003E-2</v>
      </c>
      <c r="Z25" s="89">
        <f>'Cost of Capital'!$D$38</f>
        <v>9.0090000000000003E-2</v>
      </c>
      <c r="AA25" s="318">
        <f>'Cost of Capital'!$D$38</f>
        <v>9.0090000000000003E-2</v>
      </c>
      <c r="AB25" s="89">
        <f>'Cost of Capital'!$D$38</f>
        <v>9.0090000000000003E-2</v>
      </c>
      <c r="AC25" s="89">
        <f>'Cost of Capital'!$D$38</f>
        <v>9.0090000000000003E-2</v>
      </c>
      <c r="AD25" s="89">
        <f>'Cost of Capital'!$D$38</f>
        <v>9.0090000000000003E-2</v>
      </c>
      <c r="AE25" s="89">
        <f>'Cost of Capital'!$D$38</f>
        <v>9.0090000000000003E-2</v>
      </c>
      <c r="AF25" s="89">
        <f>'Cost of Capital'!$D$66</f>
        <v>8.9079999999999993E-2</v>
      </c>
      <c r="AG25" s="89">
        <f>'Cost of Capital'!$D$66</f>
        <v>8.9079999999999993E-2</v>
      </c>
      <c r="AH25" s="89">
        <f>'Cost of Capital'!$D$66</f>
        <v>8.9079999999999993E-2</v>
      </c>
      <c r="AI25" s="89">
        <f>'Cost of Capital'!$D$66</f>
        <v>8.9079999999999993E-2</v>
      </c>
      <c r="AJ25" s="89">
        <f>'Cost of Capital'!$D$66</f>
        <v>8.9079999999999993E-2</v>
      </c>
      <c r="AK25" s="89">
        <f>'Cost of Capital'!$D$66</f>
        <v>8.9079999999999993E-2</v>
      </c>
      <c r="AL25" s="89">
        <f>'Cost of Capital'!$D$66</f>
        <v>8.9079999999999993E-2</v>
      </c>
      <c r="AM25" s="386">
        <f>'Cost of Capital'!$D$120</f>
        <v>8.7940000000000004E-2</v>
      </c>
      <c r="AN25" s="386">
        <f>'Cost of Capital'!$D$120</f>
        <v>8.7940000000000004E-2</v>
      </c>
      <c r="AO25" s="386">
        <f>'Cost of Capital'!$D$120</f>
        <v>8.7940000000000004E-2</v>
      </c>
      <c r="AP25" s="386">
        <f>'Cost of Capital'!$D$120</f>
        <v>8.7940000000000004E-2</v>
      </c>
      <c r="AQ25" s="386">
        <f>'Cost of Capital'!$D$120</f>
        <v>8.7940000000000004E-2</v>
      </c>
      <c r="AR25" s="386">
        <f>'Cost of Capital'!$D$120</f>
        <v>8.7940000000000004E-2</v>
      </c>
      <c r="AS25" s="386">
        <f>'Cost of Capital'!$D$120</f>
        <v>8.7940000000000004E-2</v>
      </c>
      <c r="AT25" s="386">
        <f>'Cost of Capital'!$D$120</f>
        <v>8.7940000000000004E-2</v>
      </c>
      <c r="AU25" s="386">
        <f>'Cost of Capital'!$D$120</f>
        <v>8.7940000000000004E-2</v>
      </c>
      <c r="AV25" s="386">
        <f>'Cost of Capital'!$D$120</f>
        <v>8.7940000000000004E-2</v>
      </c>
      <c r="AW25" s="386">
        <f>'Cost of Capital'!$D$120</f>
        <v>8.7940000000000004E-2</v>
      </c>
      <c r="AX25" s="386">
        <f>'Cost of Capital'!$D$120</f>
        <v>8.7940000000000004E-2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Capital'!$D$13</f>
        <v>7.1908333333333338E-3</v>
      </c>
      <c r="F26" s="85">
        <f>'Cost of Capital'!$D$13</f>
        <v>7.1908333333333338E-3</v>
      </c>
      <c r="G26" s="85">
        <f>'Cost of Capital'!$D$13</f>
        <v>7.1908333333333338E-3</v>
      </c>
      <c r="H26" s="85">
        <f>'Cost of Capital'!$D$13</f>
        <v>7.1908333333333338E-3</v>
      </c>
      <c r="I26" s="85">
        <f>'Cost of Capital'!$D$13</f>
        <v>7.1908333333333338E-3</v>
      </c>
      <c r="J26" s="85">
        <f>'Cost of Capital'!$D$13</f>
        <v>7.1908333333333338E-3</v>
      </c>
      <c r="K26" s="85">
        <f>'Cost of Capital'!$D$13</f>
        <v>7.1908333333333338E-3</v>
      </c>
      <c r="L26" s="85">
        <f>'Cost of Capital'!$D$13</f>
        <v>7.1908333333333338E-3</v>
      </c>
      <c r="M26" s="85">
        <f>'Cost of Capital'!$D$13</f>
        <v>7.1908333333333338E-3</v>
      </c>
      <c r="N26" s="85">
        <f>'Cost of Capital'!$D$13</f>
        <v>7.1908333333333338E-3</v>
      </c>
      <c r="O26" s="85">
        <f>'Cost of Capital'!$D$39</f>
        <v>7.5075000000000003E-3</v>
      </c>
      <c r="P26" s="85">
        <f>'Cost of Capital'!$D$39</f>
        <v>7.5075000000000003E-3</v>
      </c>
      <c r="Q26" s="85">
        <f>'Cost of Capital'!$D$39</f>
        <v>7.5075000000000003E-3</v>
      </c>
      <c r="R26" s="85">
        <f>'Cost of Capital'!$D$39</f>
        <v>7.5075000000000003E-3</v>
      </c>
      <c r="S26" s="85">
        <f>'Cost of Capital'!$D$39</f>
        <v>7.5075000000000003E-3</v>
      </c>
      <c r="T26" s="85">
        <f>'Cost of Capital'!$D$39</f>
        <v>7.5075000000000003E-3</v>
      </c>
      <c r="U26" s="85">
        <f>'Cost of Capital'!$D$39</f>
        <v>7.5075000000000003E-3</v>
      </c>
      <c r="V26" s="85">
        <f>'Cost of Capital'!$D$39</f>
        <v>7.5075000000000003E-3</v>
      </c>
      <c r="W26" s="85">
        <f>'Cost of Capital'!$D$39</f>
        <v>7.5075000000000003E-3</v>
      </c>
      <c r="X26" s="85">
        <f>'Cost of Capital'!$D$39</f>
        <v>7.5075000000000003E-3</v>
      </c>
      <c r="Y26" s="85">
        <f>'Cost of Capital'!$D$39</f>
        <v>7.5075000000000003E-3</v>
      </c>
      <c r="Z26" s="85">
        <f>'Cost of Capital'!$D$39</f>
        <v>7.5075000000000003E-3</v>
      </c>
      <c r="AA26" s="85">
        <f>'Cost of Capital'!$D$39</f>
        <v>7.5075000000000003E-3</v>
      </c>
      <c r="AB26" s="85">
        <f>'Cost of Capital'!$D$39</f>
        <v>7.5075000000000003E-3</v>
      </c>
      <c r="AC26" s="85">
        <f>'Cost of Capital'!$D$39</f>
        <v>7.5075000000000003E-3</v>
      </c>
      <c r="AD26" s="85">
        <f>'Cost of Capital'!$D$39</f>
        <v>7.5075000000000003E-3</v>
      </c>
      <c r="AE26" s="85">
        <f>'Cost of Capital'!$D$39</f>
        <v>7.5075000000000003E-3</v>
      </c>
      <c r="AF26" s="85">
        <f>'Cost of Capital'!$D$67</f>
        <v>7.423333333333333E-3</v>
      </c>
      <c r="AG26" s="85">
        <f>'Cost of Capital'!$D$67</f>
        <v>7.423333333333333E-3</v>
      </c>
      <c r="AH26" s="85">
        <f>'Cost of Capital'!$D$67</f>
        <v>7.423333333333333E-3</v>
      </c>
      <c r="AI26" s="85">
        <f>'Cost of Capital'!$D$67</f>
        <v>7.423333333333333E-3</v>
      </c>
      <c r="AJ26" s="85">
        <f>'Cost of Capital'!$D$67</f>
        <v>7.423333333333333E-3</v>
      </c>
      <c r="AK26" s="85">
        <f>'Cost of Capital'!$D$67</f>
        <v>7.423333333333333E-3</v>
      </c>
      <c r="AL26" s="85">
        <f>'Cost of Capital'!$D$67</f>
        <v>7.423333333333333E-3</v>
      </c>
      <c r="AM26" s="478">
        <f>'Cost of Capital'!$D$121</f>
        <v>7.3283333333333334E-3</v>
      </c>
      <c r="AN26" s="478">
        <f>'Cost of Capital'!$D$121</f>
        <v>7.3283333333333334E-3</v>
      </c>
      <c r="AO26" s="478">
        <f>'Cost of Capital'!$D$121</f>
        <v>7.3283333333333334E-3</v>
      </c>
      <c r="AP26" s="478">
        <f>'Cost of Capital'!$D$121</f>
        <v>7.3283333333333334E-3</v>
      </c>
      <c r="AQ26" s="478">
        <f>'Cost of Capital'!$D$121</f>
        <v>7.3283333333333334E-3</v>
      </c>
      <c r="AR26" s="478">
        <f>'Cost of Capital'!$D$121</f>
        <v>7.3283333333333334E-3</v>
      </c>
      <c r="AS26" s="478">
        <f>'Cost of Capital'!$D$121</f>
        <v>7.3283333333333334E-3</v>
      </c>
      <c r="AT26" s="478">
        <f>'Cost of Capital'!$D$121</f>
        <v>7.3283333333333334E-3</v>
      </c>
      <c r="AU26" s="478">
        <f>'Cost of Capital'!$D$121</f>
        <v>7.3283333333333334E-3</v>
      </c>
      <c r="AV26" s="478">
        <f>'Cost of Capital'!$D$121</f>
        <v>7.3283333333333334E-3</v>
      </c>
      <c r="AW26" s="478">
        <f>'Cost of Capital'!$D$121</f>
        <v>7.3283333333333334E-3</v>
      </c>
      <c r="AX26" s="478">
        <f>'Cost of Capital'!$D$121</f>
        <v>7.3283333333333334E-3</v>
      </c>
    </row>
    <row r="27" spans="1:50">
      <c r="A27" s="72">
        <v>19</v>
      </c>
      <c r="B27" s="5"/>
    </row>
    <row r="28" spans="1:50" ht="15.75">
      <c r="A28" s="73">
        <v>20</v>
      </c>
      <c r="B28" s="53" t="s">
        <v>65</v>
      </c>
    </row>
    <row r="29" spans="1:50">
      <c r="A29" s="72">
        <v>21</v>
      </c>
      <c r="B29" s="86" t="s">
        <v>91</v>
      </c>
    </row>
    <row r="30" spans="1:50">
      <c r="A30" s="73">
        <v>22</v>
      </c>
      <c r="B30" s="11" t="s">
        <v>15</v>
      </c>
    </row>
    <row r="31" spans="1:50" ht="25.5">
      <c r="A31" s="72">
        <v>23</v>
      </c>
      <c r="B31" s="13" t="s">
        <v>92</v>
      </c>
    </row>
    <row r="32" spans="1:50" ht="25.5">
      <c r="A32" s="73">
        <v>24</v>
      </c>
      <c r="B32" s="12" t="s">
        <v>19</v>
      </c>
    </row>
    <row r="33" spans="1:50">
      <c r="A33" s="72">
        <v>25</v>
      </c>
      <c r="B33" s="5" t="s">
        <v>20</v>
      </c>
      <c r="C33" s="87"/>
      <c r="D33" s="87"/>
      <c r="E33" s="87">
        <f>'Cost of Capital'!$D$9</f>
        <v>2.6699999999999998E-2</v>
      </c>
      <c r="F33" s="87">
        <f>'Cost of Capital'!$D$9</f>
        <v>2.6699999999999998E-2</v>
      </c>
      <c r="G33" s="87">
        <f>'Cost of Capital'!$D$9</f>
        <v>2.6699999999999998E-2</v>
      </c>
      <c r="H33" s="87">
        <f>'Cost of Capital'!$D$9</f>
        <v>2.6699999999999998E-2</v>
      </c>
      <c r="I33" s="87">
        <f>'Cost of Capital'!$D$9</f>
        <v>2.6699999999999998E-2</v>
      </c>
      <c r="J33" s="87">
        <f>'Cost of Capital'!$D$9</f>
        <v>2.6699999999999998E-2</v>
      </c>
      <c r="K33" s="87">
        <f>'Cost of Capital'!$D$9</f>
        <v>2.6699999999999998E-2</v>
      </c>
      <c r="L33" s="87">
        <f>'Cost of Capital'!$D$9</f>
        <v>2.6699999999999998E-2</v>
      </c>
      <c r="M33" s="87">
        <f>'Cost of Capital'!$D$9</f>
        <v>2.6699999999999998E-2</v>
      </c>
      <c r="N33" s="87">
        <f>'Cost of Capital'!$D$9</f>
        <v>2.6699999999999998E-2</v>
      </c>
      <c r="O33" s="87">
        <f>'Cost of Capital'!$D$35</f>
        <v>2.76E-2</v>
      </c>
      <c r="P33" s="87">
        <f>'Cost of Capital'!$D$35</f>
        <v>2.76E-2</v>
      </c>
      <c r="Q33" s="87">
        <f>'Cost of Capital'!$D$35</f>
        <v>2.76E-2</v>
      </c>
      <c r="R33" s="87">
        <f>'Cost of Capital'!$D$35</f>
        <v>2.76E-2</v>
      </c>
      <c r="S33" s="87">
        <f>'Cost of Capital'!$D$35</f>
        <v>2.76E-2</v>
      </c>
      <c r="T33" s="87">
        <f>'Cost of Capital'!$D$35</f>
        <v>2.76E-2</v>
      </c>
      <c r="U33" s="87">
        <f>'Cost of Capital'!$D$35</f>
        <v>2.76E-2</v>
      </c>
      <c r="V33" s="87">
        <f>'Cost of Capital'!$D$35</f>
        <v>2.76E-2</v>
      </c>
      <c r="W33" s="87">
        <f>'Cost of Capital'!$D$35</f>
        <v>2.76E-2</v>
      </c>
      <c r="X33" s="87">
        <f>'Cost of Capital'!$D$35</f>
        <v>2.76E-2</v>
      </c>
      <c r="Y33" s="87">
        <f>'Cost of Capital'!$D$35</f>
        <v>2.76E-2</v>
      </c>
      <c r="Z33" s="87">
        <f>'Cost of Capital'!$D$35</f>
        <v>2.76E-2</v>
      </c>
      <c r="AA33" s="319">
        <f>'Cost of Capital'!$D$35</f>
        <v>2.76E-2</v>
      </c>
      <c r="AB33" s="319">
        <f>'Cost of Capital'!$D$35</f>
        <v>2.76E-2</v>
      </c>
      <c r="AC33" s="319">
        <f>'Cost of Capital'!$D$35</f>
        <v>2.76E-2</v>
      </c>
      <c r="AD33" s="319">
        <f>'Cost of Capital'!$D$35</f>
        <v>2.76E-2</v>
      </c>
      <c r="AE33" s="319">
        <f>'Cost of Capital'!$D$35</f>
        <v>2.76E-2</v>
      </c>
      <c r="AF33" s="319">
        <f>'Cost of Capital'!$D$63</f>
        <v>2.6700000000000002E-2</v>
      </c>
      <c r="AG33" s="319">
        <f>'Cost of Capital'!$D$63</f>
        <v>2.6700000000000002E-2</v>
      </c>
      <c r="AH33" s="319">
        <f>'Cost of Capital'!$D$63</f>
        <v>2.6700000000000002E-2</v>
      </c>
      <c r="AI33" s="319">
        <f>'Cost of Capital'!$D$63</f>
        <v>2.6700000000000002E-2</v>
      </c>
      <c r="AJ33" s="319">
        <f>'Cost of Capital'!$D$63</f>
        <v>2.6700000000000002E-2</v>
      </c>
      <c r="AK33" s="319">
        <f>'Cost of Capital'!$D$63</f>
        <v>2.6700000000000002E-2</v>
      </c>
      <c r="AL33" s="319">
        <f>'Cost of Capital'!$D$63</f>
        <v>2.6700000000000002E-2</v>
      </c>
      <c r="AM33" s="473">
        <f>'Cost of Capital'!$D$117</f>
        <v>2.58E-2</v>
      </c>
      <c r="AN33" s="473">
        <f>'Cost of Capital'!$D$117</f>
        <v>2.58E-2</v>
      </c>
      <c r="AO33" s="473">
        <f>'Cost of Capital'!$D$117</f>
        <v>2.58E-2</v>
      </c>
      <c r="AP33" s="473">
        <f>'Cost of Capital'!$D$117</f>
        <v>2.58E-2</v>
      </c>
      <c r="AQ33" s="473">
        <f>'Cost of Capital'!$D$117</f>
        <v>2.58E-2</v>
      </c>
      <c r="AR33" s="473">
        <f>'Cost of Capital'!$D$117</f>
        <v>2.58E-2</v>
      </c>
      <c r="AS33" s="473">
        <f>'Cost of Capital'!$D$117</f>
        <v>2.58E-2</v>
      </c>
      <c r="AT33" s="473">
        <f>'Cost of Capital'!$D$117</f>
        <v>2.58E-2</v>
      </c>
      <c r="AU33" s="473">
        <f>'Cost of Capital'!$D$117</f>
        <v>2.58E-2</v>
      </c>
      <c r="AV33" s="473">
        <f>'Cost of Capital'!$D$117</f>
        <v>2.58E-2</v>
      </c>
      <c r="AW33" s="473">
        <f>'Cost of Capital'!$D$117</f>
        <v>2.58E-2</v>
      </c>
      <c r="AX33" s="473">
        <f>'Cost of Capital'!$D$117</f>
        <v>2.58E-2</v>
      </c>
    </row>
    <row r="34" spans="1:50">
      <c r="A34" s="73">
        <v>26</v>
      </c>
      <c r="B34" s="5" t="s">
        <v>21</v>
      </c>
      <c r="C34" s="99"/>
      <c r="D34" s="99"/>
      <c r="E34" s="99">
        <f t="shared" ref="E34:N34" si="10">E33/12</f>
        <v>2.225E-3</v>
      </c>
      <c r="F34" s="99">
        <f t="shared" si="10"/>
        <v>2.225E-3</v>
      </c>
      <c r="G34" s="99">
        <f t="shared" si="10"/>
        <v>2.225E-3</v>
      </c>
      <c r="H34" s="99">
        <f t="shared" si="10"/>
        <v>2.225E-3</v>
      </c>
      <c r="I34" s="99">
        <f t="shared" si="10"/>
        <v>2.225E-3</v>
      </c>
      <c r="J34" s="99">
        <f t="shared" si="10"/>
        <v>2.225E-3</v>
      </c>
      <c r="K34" s="99">
        <f t="shared" si="10"/>
        <v>2.225E-3</v>
      </c>
      <c r="L34" s="99">
        <f t="shared" si="10"/>
        <v>2.225E-3</v>
      </c>
      <c r="M34" s="99">
        <f t="shared" si="10"/>
        <v>2.225E-3</v>
      </c>
      <c r="N34" s="99">
        <f t="shared" si="10"/>
        <v>2.225E-3</v>
      </c>
      <c r="O34" s="99">
        <f t="shared" ref="O34:Z34" si="11">O33/12</f>
        <v>2.3E-3</v>
      </c>
      <c r="P34" s="99">
        <f t="shared" si="11"/>
        <v>2.3E-3</v>
      </c>
      <c r="Q34" s="99">
        <f t="shared" si="11"/>
        <v>2.3E-3</v>
      </c>
      <c r="R34" s="99">
        <f t="shared" si="11"/>
        <v>2.3E-3</v>
      </c>
      <c r="S34" s="99">
        <f t="shared" si="11"/>
        <v>2.3E-3</v>
      </c>
      <c r="T34" s="99">
        <f t="shared" si="11"/>
        <v>2.3E-3</v>
      </c>
      <c r="U34" s="99">
        <f t="shared" si="11"/>
        <v>2.3E-3</v>
      </c>
      <c r="V34" s="99">
        <f t="shared" si="11"/>
        <v>2.3E-3</v>
      </c>
      <c r="W34" s="99">
        <f t="shared" si="11"/>
        <v>2.3E-3</v>
      </c>
      <c r="X34" s="99">
        <f t="shared" si="11"/>
        <v>2.3E-3</v>
      </c>
      <c r="Y34" s="99">
        <f t="shared" si="11"/>
        <v>2.3E-3</v>
      </c>
      <c r="Z34" s="99">
        <f t="shared" si="11"/>
        <v>2.3E-3</v>
      </c>
      <c r="AA34" s="99">
        <f t="shared" ref="AA34:AX34" si="12">AA33/12</f>
        <v>2.3E-3</v>
      </c>
      <c r="AB34" s="99">
        <f t="shared" si="12"/>
        <v>2.3E-3</v>
      </c>
      <c r="AC34" s="99">
        <f t="shared" si="12"/>
        <v>2.3E-3</v>
      </c>
      <c r="AD34" s="99">
        <f t="shared" si="12"/>
        <v>2.3E-3</v>
      </c>
      <c r="AE34" s="99">
        <f t="shared" si="12"/>
        <v>2.3E-3</v>
      </c>
      <c r="AF34" s="479">
        <f t="shared" si="12"/>
        <v>2.225E-3</v>
      </c>
      <c r="AG34" s="479">
        <f t="shared" si="12"/>
        <v>2.225E-3</v>
      </c>
      <c r="AH34" s="479">
        <f t="shared" si="12"/>
        <v>2.225E-3</v>
      </c>
      <c r="AI34" s="479">
        <f t="shared" si="12"/>
        <v>2.225E-3</v>
      </c>
      <c r="AJ34" s="479">
        <f t="shared" si="12"/>
        <v>2.225E-3</v>
      </c>
      <c r="AK34" s="479">
        <f t="shared" si="12"/>
        <v>2.225E-3</v>
      </c>
      <c r="AL34" s="479">
        <f t="shared" si="12"/>
        <v>2.225E-3</v>
      </c>
      <c r="AM34" s="479">
        <f>AM33/12</f>
        <v>2.15E-3</v>
      </c>
      <c r="AN34" s="479">
        <f t="shared" si="12"/>
        <v>2.15E-3</v>
      </c>
      <c r="AO34" s="479">
        <f t="shared" si="12"/>
        <v>2.15E-3</v>
      </c>
      <c r="AP34" s="479">
        <f t="shared" si="12"/>
        <v>2.15E-3</v>
      </c>
      <c r="AQ34" s="479">
        <f t="shared" si="12"/>
        <v>2.15E-3</v>
      </c>
      <c r="AR34" s="479">
        <f t="shared" si="12"/>
        <v>2.15E-3</v>
      </c>
      <c r="AS34" s="479">
        <f t="shared" si="12"/>
        <v>2.15E-3</v>
      </c>
      <c r="AT34" s="479">
        <f t="shared" si="12"/>
        <v>2.15E-3</v>
      </c>
      <c r="AU34" s="479">
        <f t="shared" si="12"/>
        <v>2.15E-3</v>
      </c>
      <c r="AV34" s="479">
        <f t="shared" si="12"/>
        <v>2.15E-3</v>
      </c>
      <c r="AW34" s="479">
        <f t="shared" si="12"/>
        <v>2.15E-3</v>
      </c>
      <c r="AX34" s="479">
        <f t="shared" si="12"/>
        <v>2.15E-3</v>
      </c>
    </row>
    <row r="35" spans="1:50" ht="25.5">
      <c r="A35" s="72">
        <v>27</v>
      </c>
      <c r="B35" s="12" t="s">
        <v>22</v>
      </c>
    </row>
    <row r="36" spans="1:50">
      <c r="A36" s="73">
        <v>28</v>
      </c>
      <c r="B36" s="5" t="s">
        <v>18</v>
      </c>
      <c r="C36" s="158"/>
      <c r="D36" s="158"/>
      <c r="E36" s="158">
        <f>'Def Tax'!E44</f>
        <v>108.9427388005</v>
      </c>
      <c r="F36" s="158">
        <f>'Def Tax'!$E45</f>
        <v>97.150266669502287</v>
      </c>
      <c r="G36" s="158">
        <f>'Def Tax'!$E46</f>
        <v>99.694475216737501</v>
      </c>
      <c r="H36" s="158">
        <f>'Def Tax'!$E47</f>
        <v>101.62376611148089</v>
      </c>
      <c r="I36" s="158">
        <f>'Def Tax'!$E48</f>
        <v>104.46411711449184</v>
      </c>
      <c r="J36" s="158">
        <f>'Def Tax'!$E49</f>
        <v>105.89955559293327</v>
      </c>
      <c r="K36" s="158">
        <f>'Def Tax'!$E50</f>
        <v>108.04335579356754</v>
      </c>
      <c r="L36" s="158">
        <f>'Def Tax'!$E51</f>
        <v>111.69034619095473</v>
      </c>
      <c r="M36" s="158">
        <f>'Def Tax'!$E52</f>
        <v>113.7113100359966</v>
      </c>
      <c r="N36" s="158">
        <f>'Def Tax'!$E53</f>
        <v>114.92688501949492</v>
      </c>
      <c r="O36" s="158">
        <f>'Def Tax'!$E56</f>
        <v>134.98127553960106</v>
      </c>
      <c r="P36" s="158">
        <f>'Def Tax'!$E57</f>
        <v>137.61748991803768</v>
      </c>
      <c r="Q36" s="158">
        <f>'Def Tax'!$E58</f>
        <v>140.36262112695027</v>
      </c>
      <c r="R36" s="158">
        <f>'Def Tax'!$E59</f>
        <v>146.33426963606863</v>
      </c>
      <c r="S36" s="158">
        <f>'Def Tax'!$E60</f>
        <v>152.99864422286709</v>
      </c>
      <c r="T36" s="158">
        <f>'Def Tax'!$E62</f>
        <v>165.87631592321117</v>
      </c>
      <c r="U36" s="158">
        <f>'Def Tax'!$E66</f>
        <v>164.19848963299071</v>
      </c>
      <c r="V36" s="158">
        <f>'Def Tax'!$E67</f>
        <v>180.7849615331067</v>
      </c>
      <c r="W36" s="158">
        <f>'Def Tax'!$E68</f>
        <v>195.76209586697664</v>
      </c>
      <c r="X36" s="158">
        <f>'Def Tax'!$E70</f>
        <v>212.0135018370938</v>
      </c>
      <c r="Y36" s="158">
        <f>'Def Tax'!$E74</f>
        <v>202.25935774883106</v>
      </c>
      <c r="Z36" s="158">
        <f>'Def Tax'!$E78</f>
        <v>190.83735682037562</v>
      </c>
      <c r="AA36" s="158">
        <f>'Def Tax'!$E81</f>
        <v>210.44524030376101</v>
      </c>
      <c r="AB36" s="158">
        <f>'Def Tax'!$E82</f>
        <v>210.58241759700979</v>
      </c>
      <c r="AC36" s="158">
        <f>'Def Tax'!$E83</f>
        <v>212.27946716782753</v>
      </c>
      <c r="AD36" s="158">
        <f>'Def Tax'!$E84</f>
        <v>219.75485314265998</v>
      </c>
      <c r="AE36" s="158">
        <f>'Def Tax'!$E85</f>
        <v>225.17900857569467</v>
      </c>
      <c r="AF36" s="158">
        <f>'Def Tax'!$E87</f>
        <v>233.3529368495264</v>
      </c>
      <c r="AG36" s="158">
        <f>'Def Tax'!$E91</f>
        <v>192.05032050142501</v>
      </c>
      <c r="AH36" s="158">
        <f>'Def Tax'!$E92</f>
        <v>197.92358555611997</v>
      </c>
      <c r="AI36" s="158">
        <f>'Def Tax'!$E93</f>
        <v>205.20989079339142</v>
      </c>
      <c r="AJ36" s="158">
        <f>'Def Tax'!$E94</f>
        <v>216.18615350585699</v>
      </c>
      <c r="AK36" s="158">
        <f>'Def Tax'!$E95</f>
        <v>236.39501894078333</v>
      </c>
      <c r="AL36" s="158">
        <f>'Def Tax'!$E96</f>
        <v>241.3900705498499</v>
      </c>
      <c r="AM36" s="480">
        <f>'Def Tax'!$E100</f>
        <v>257.53600404229707</v>
      </c>
      <c r="AN36" s="480">
        <f>'Def Tax'!$E101</f>
        <v>265.80028968835069</v>
      </c>
      <c r="AO36" s="480">
        <f>'Def Tax'!$E102</f>
        <v>276.90973265547751</v>
      </c>
      <c r="AP36" s="480">
        <f>'Def Tax'!$E104</f>
        <v>294.18605506514143</v>
      </c>
      <c r="AQ36" s="480">
        <f>'Def Tax'!$E108</f>
        <v>304.71560776612409</v>
      </c>
      <c r="AR36" s="480">
        <f>'Def Tax'!$E109</f>
        <v>321.01070494198927</v>
      </c>
      <c r="AS36" s="480">
        <f>'Def Tax'!$E110</f>
        <v>351.56159475939546</v>
      </c>
      <c r="AT36" s="480">
        <f>'Def Tax'!$E111</f>
        <v>376.73215014876729</v>
      </c>
      <c r="AU36" s="480">
        <f>'Def Tax'!$E112</f>
        <v>413.27042040995889</v>
      </c>
      <c r="AV36" s="480">
        <f>'Def Tax'!$E113</f>
        <v>482.82976129751074</v>
      </c>
      <c r="AW36" s="480">
        <f>'Def Tax'!$E114</f>
        <v>567.38342406468519</v>
      </c>
      <c r="AX36" s="480">
        <f>'Def Tax'!$E115</f>
        <v>693.05968669002209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15"/>
      <c r="D38" s="15"/>
      <c r="E38" s="15">
        <f>'Income Tax Rates'!$C$16</f>
        <v>8.5972999999999994E-2</v>
      </c>
      <c r="F38" s="15">
        <f>'Income Tax Rates'!$C$16</f>
        <v>8.5972999999999994E-2</v>
      </c>
      <c r="G38" s="15">
        <f>'Income Tax Rates'!$C$16</f>
        <v>8.5972999999999994E-2</v>
      </c>
      <c r="H38" s="15">
        <f>'Income Tax Rates'!$C$16</f>
        <v>8.5972999999999994E-2</v>
      </c>
      <c r="I38" s="15">
        <f>'Income Tax Rates'!$C$16</f>
        <v>8.5972999999999994E-2</v>
      </c>
      <c r="J38" s="15">
        <f>'Income Tax Rates'!$C$16</f>
        <v>8.5972999999999994E-2</v>
      </c>
      <c r="K38" s="15">
        <f>'Income Tax Rates'!$C$16</f>
        <v>8.5972999999999994E-2</v>
      </c>
      <c r="L38" s="15">
        <f>'Income Tax Rates'!$C$16</f>
        <v>8.5972999999999994E-2</v>
      </c>
      <c r="M38" s="15">
        <f>'Income Tax Rates'!$C$16</f>
        <v>8.5972999999999994E-2</v>
      </c>
      <c r="N38" s="15">
        <f>'Income Tax Rates'!$C$16</f>
        <v>8.5972999999999994E-2</v>
      </c>
      <c r="O38" s="15">
        <f>'Income Tax Rates'!$C$33</f>
        <v>8.7230769299999997E-2</v>
      </c>
      <c r="P38" s="15">
        <f>'Income Tax Rates'!$C$33</f>
        <v>8.7230769299999997E-2</v>
      </c>
      <c r="Q38" s="15">
        <f>'Income Tax Rates'!$C$33</f>
        <v>8.7230769299999997E-2</v>
      </c>
      <c r="R38" s="15">
        <f>'Income Tax Rates'!$C$33</f>
        <v>8.7230769299999997E-2</v>
      </c>
      <c r="S38" s="15">
        <f>'Income Tax Rates'!$C$33</f>
        <v>8.7230769299999997E-2</v>
      </c>
      <c r="T38" s="15">
        <f>'Income Tax Rates'!$C$33</f>
        <v>8.7230769299999997E-2</v>
      </c>
      <c r="U38" s="15">
        <f>'Income Tax Rates'!$C$33</f>
        <v>8.7230769299999997E-2</v>
      </c>
      <c r="V38" s="15">
        <f>'Income Tax Rates'!$C$33</f>
        <v>8.7230769299999997E-2</v>
      </c>
      <c r="W38" s="15">
        <f>'Income Tax Rates'!$C$33</f>
        <v>8.7230769299999997E-2</v>
      </c>
      <c r="X38" s="15">
        <f>'Income Tax Rates'!$C$33</f>
        <v>8.7230769299999997E-2</v>
      </c>
      <c r="Y38" s="15">
        <f>'Income Tax Rates'!$C$33</f>
        <v>8.7230769299999997E-2</v>
      </c>
      <c r="Z38" s="15">
        <f>'Income Tax Rates'!$C$33</f>
        <v>8.7230769299999997E-2</v>
      </c>
      <c r="AA38" s="331">
        <f>'Income Tax Rates'!$C$52</f>
        <v>8.795E-2</v>
      </c>
      <c r="AB38" s="331">
        <f>'Income Tax Rates'!$C$52</f>
        <v>8.795E-2</v>
      </c>
      <c r="AC38" s="331">
        <f>'Income Tax Rates'!$C$52</f>
        <v>8.795E-2</v>
      </c>
      <c r="AD38" s="331">
        <f>'Income Tax Rates'!$C$52</f>
        <v>8.795E-2</v>
      </c>
      <c r="AE38" s="331">
        <f>'Income Tax Rates'!$C$52</f>
        <v>8.795E-2</v>
      </c>
      <c r="AF38" s="331">
        <f>'Income Tax Rates'!$C$52</f>
        <v>8.795E-2</v>
      </c>
      <c r="AG38" s="331">
        <f>'Income Tax Rates'!$C$52</f>
        <v>8.795E-2</v>
      </c>
      <c r="AH38" s="331">
        <f>'Income Tax Rates'!$C$52</f>
        <v>8.795E-2</v>
      </c>
      <c r="AI38" s="331">
        <f>'Income Tax Rates'!$C$52</f>
        <v>8.795E-2</v>
      </c>
      <c r="AJ38" s="331">
        <f>'Income Tax Rates'!$C$52</f>
        <v>8.795E-2</v>
      </c>
      <c r="AK38" s="331">
        <f>'Income Tax Rates'!$C$52</f>
        <v>8.795E-2</v>
      </c>
      <c r="AL38" s="331">
        <f>'Income Tax Rates'!$C$52</f>
        <v>8.795E-2</v>
      </c>
      <c r="AM38" s="331">
        <f>'Income Tax Rates'!$C$72</f>
        <v>8.8330000000000006E-2</v>
      </c>
      <c r="AN38" s="331">
        <f>'Income Tax Rates'!$C$72</f>
        <v>8.8330000000000006E-2</v>
      </c>
      <c r="AO38" s="331">
        <f>'Income Tax Rates'!$C$72</f>
        <v>8.8330000000000006E-2</v>
      </c>
      <c r="AP38" s="331">
        <f>'Income Tax Rates'!$C$72</f>
        <v>8.8330000000000006E-2</v>
      </c>
      <c r="AQ38" s="331">
        <f>'Income Tax Rates'!$C$72</f>
        <v>8.8330000000000006E-2</v>
      </c>
      <c r="AR38" s="331">
        <f>'Income Tax Rates'!$C$72</f>
        <v>8.8330000000000006E-2</v>
      </c>
      <c r="AS38" s="331">
        <f>'Income Tax Rates'!$C$72</f>
        <v>8.8330000000000006E-2</v>
      </c>
      <c r="AT38" s="331">
        <f>'Income Tax Rates'!$C$72</f>
        <v>8.8330000000000006E-2</v>
      </c>
      <c r="AU38" s="331">
        <f>'Income Tax Rates'!$C$72</f>
        <v>8.8330000000000006E-2</v>
      </c>
      <c r="AV38" s="331">
        <f>'Income Tax Rates'!$C$72</f>
        <v>8.8330000000000006E-2</v>
      </c>
      <c r="AW38" s="331">
        <f>'Income Tax Rates'!$C$72</f>
        <v>8.8330000000000006E-2</v>
      </c>
      <c r="AX38" s="331">
        <f>'Income Tax Rates'!$C$72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M39" si="13">((E22*(E26-E34))+E36)*E38</f>
        <v>18.91873110427959</v>
      </c>
      <c r="F39" s="88">
        <f t="shared" si="13"/>
        <v>18.030197668012072</v>
      </c>
      <c r="G39" s="88">
        <f t="shared" si="13"/>
        <v>18.425910204833883</v>
      </c>
      <c r="H39" s="88">
        <f t="shared" si="13"/>
        <v>18.780384934496077</v>
      </c>
      <c r="I39" s="88">
        <f t="shared" si="13"/>
        <v>19.187900023105882</v>
      </c>
      <c r="J39" s="88">
        <f t="shared" si="13"/>
        <v>19.439932757529597</v>
      </c>
      <c r="K39" s="88">
        <f t="shared" si="13"/>
        <v>19.853671118529967</v>
      </c>
      <c r="L39" s="88">
        <f t="shared" si="13"/>
        <v>20.388240563048306</v>
      </c>
      <c r="M39" s="88">
        <f t="shared" si="13"/>
        <v>20.667045932994338</v>
      </c>
      <c r="N39" s="88">
        <f t="shared" ref="N39:V39" si="14">((N22*(N26-N34))+N36)*N38</f>
        <v>21.040628206806939</v>
      </c>
      <c r="O39" s="88">
        <f t="shared" si="14"/>
        <v>23.997292924708756</v>
      </c>
      <c r="P39" s="88">
        <f t="shared" si="14"/>
        <v>24.425460829062395</v>
      </c>
      <c r="Q39" s="88">
        <f t="shared" si="14"/>
        <v>25.007780196161367</v>
      </c>
      <c r="R39" s="88">
        <f t="shared" si="14"/>
        <v>26.041398494386197</v>
      </c>
      <c r="S39" s="88">
        <f t="shared" si="14"/>
        <v>27.436654514092595</v>
      </c>
      <c r="T39" s="88">
        <f t="shared" si="14"/>
        <v>29.01106645796343</v>
      </c>
      <c r="U39" s="88">
        <f t="shared" si="14"/>
        <v>29.47542078786471</v>
      </c>
      <c r="V39" s="88">
        <f t="shared" si="14"/>
        <v>32.252351546469676</v>
      </c>
      <c r="W39" s="88">
        <f t="shared" ref="W39:AX39" si="15">((W22*(W26-W34))+W36)*W38</f>
        <v>34.865105423844717</v>
      </c>
      <c r="X39" s="88">
        <f t="shared" si="15"/>
        <v>36.538492551598281</v>
      </c>
      <c r="Y39" s="88">
        <f t="shared" si="15"/>
        <v>34.779516056659808</v>
      </c>
      <c r="Z39" s="88">
        <f t="shared" si="15"/>
        <v>33.988531685737826</v>
      </c>
      <c r="AA39" s="88">
        <f t="shared" si="15"/>
        <v>36.664938634471184</v>
      </c>
      <c r="AB39" s="88">
        <f t="shared" si="15"/>
        <v>36.695587565694815</v>
      </c>
      <c r="AC39" s="88">
        <f t="shared" si="15"/>
        <v>37.18251097573507</v>
      </c>
      <c r="AD39" s="88">
        <f t="shared" si="15"/>
        <v>38.336709297856707</v>
      </c>
      <c r="AE39" s="88">
        <f t="shared" si="15"/>
        <v>39.335663924056917</v>
      </c>
      <c r="AF39" s="88">
        <f t="shared" si="15"/>
        <v>38.731715718292541</v>
      </c>
      <c r="AG39" s="88">
        <f t="shared" si="15"/>
        <v>33.712503113817654</v>
      </c>
      <c r="AH39" s="88">
        <f t="shared" si="15"/>
        <v>34.731080968184898</v>
      </c>
      <c r="AI39" s="88">
        <f t="shared" si="15"/>
        <v>36.092227688901943</v>
      </c>
      <c r="AJ39" s="88">
        <f t="shared" si="15"/>
        <v>38.338122635349166</v>
      </c>
      <c r="AK39" s="88">
        <f t="shared" si="15"/>
        <v>41.123435679412459</v>
      </c>
      <c r="AL39" s="88">
        <f t="shared" si="15"/>
        <v>42.383253941446988</v>
      </c>
      <c r="AM39" s="481">
        <f t="shared" si="15"/>
        <v>44.890569903258204</v>
      </c>
      <c r="AN39" s="481">
        <f t="shared" si="15"/>
        <v>46.394212453381748</v>
      </c>
      <c r="AO39" s="481">
        <f t="shared" si="15"/>
        <v>48.5378155874238</v>
      </c>
      <c r="AP39" s="481">
        <f t="shared" si="15"/>
        <v>51.195664010695999</v>
      </c>
      <c r="AQ39" s="481">
        <f t="shared" si="15"/>
        <v>53.204281790358728</v>
      </c>
      <c r="AR39" s="481">
        <f t="shared" si="15"/>
        <v>56.588021319781689</v>
      </c>
      <c r="AS39" s="481">
        <f t="shared" si="15"/>
        <v>61.608129089942246</v>
      </c>
      <c r="AT39" s="481">
        <f t="shared" si="15"/>
        <v>66.399903552377666</v>
      </c>
      <c r="AU39" s="481">
        <f t="shared" si="15"/>
        <v>74.126792089534717</v>
      </c>
      <c r="AV39" s="481">
        <f t="shared" si="15"/>
        <v>86.850349680000832</v>
      </c>
      <c r="AW39" s="481">
        <f t="shared" si="15"/>
        <v>103.32201715221429</v>
      </c>
      <c r="AX39" s="481">
        <f t="shared" si="15"/>
        <v>125.6461830994719</v>
      </c>
    </row>
    <row r="40" spans="1:50">
      <c r="A40" s="73">
        <v>32</v>
      </c>
      <c r="B40" s="5"/>
    </row>
    <row r="41" spans="1:50">
      <c r="A41" s="72">
        <v>33</v>
      </c>
      <c r="B41" s="11" t="s">
        <v>50</v>
      </c>
    </row>
    <row r="42" spans="1:50" ht="32.25" customHeight="1">
      <c r="A42" s="73">
        <v>34</v>
      </c>
      <c r="B42" s="120" t="s">
        <v>109</v>
      </c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2">
        <f>'Income Tax Rates'!$C$53</f>
        <v>0.35</v>
      </c>
      <c r="AB43" s="332">
        <f>'Income Tax Rates'!$C$53</f>
        <v>0.35</v>
      </c>
      <c r="AC43" s="332">
        <f>'Income Tax Rates'!$C$53</f>
        <v>0.35</v>
      </c>
      <c r="AD43" s="332">
        <f>'Income Tax Rates'!$C$53</f>
        <v>0.35</v>
      </c>
      <c r="AE43" s="332">
        <f>'Income Tax Rates'!$C$53</f>
        <v>0.35</v>
      </c>
      <c r="AF43" s="332">
        <f>'Income Tax Rates'!$C$53</f>
        <v>0.35</v>
      </c>
      <c r="AG43" s="332">
        <f>'Income Tax Rates'!$C$53</f>
        <v>0.35</v>
      </c>
      <c r="AH43" s="332">
        <f>'Income Tax Rates'!$C$53</f>
        <v>0.35</v>
      </c>
      <c r="AI43" s="332">
        <f>'Income Tax Rates'!$C$53</f>
        <v>0.35</v>
      </c>
      <c r="AJ43" s="332">
        <f>'Income Tax Rates'!$C$53</f>
        <v>0.35</v>
      </c>
      <c r="AK43" s="332">
        <f>'Income Tax Rates'!$C$53</f>
        <v>0.35</v>
      </c>
      <c r="AL43" s="332">
        <f>'Income Tax Rates'!$C$53</f>
        <v>0.35</v>
      </c>
      <c r="AM43" s="332">
        <f>'Income Tax Rates'!$C73</f>
        <v>0.35</v>
      </c>
      <c r="AN43" s="332">
        <f>'Income Tax Rates'!$C73</f>
        <v>0.35</v>
      </c>
      <c r="AO43" s="332">
        <f>'Income Tax Rates'!$C73</f>
        <v>0.35</v>
      </c>
      <c r="AP43" s="332">
        <f>'Income Tax Rates'!$C73</f>
        <v>0.35</v>
      </c>
      <c r="AQ43" s="332">
        <f>'Income Tax Rates'!$C73</f>
        <v>0.35</v>
      </c>
      <c r="AR43" s="332">
        <f>'Income Tax Rates'!$C73</f>
        <v>0.35</v>
      </c>
      <c r="AS43" s="332">
        <f>'Income Tax Rates'!$C73</f>
        <v>0.35</v>
      </c>
      <c r="AT43" s="332">
        <f>'Income Tax Rates'!$C73</f>
        <v>0.35</v>
      </c>
      <c r="AU43" s="332">
        <f>'Income Tax Rates'!$C73</f>
        <v>0.35</v>
      </c>
      <c r="AV43" s="332">
        <f>'Income Tax Rates'!$C73</f>
        <v>0.35</v>
      </c>
      <c r="AW43" s="332">
        <f>'Income Tax Rates'!$C73</f>
        <v>0.35</v>
      </c>
      <c r="AX43" s="332">
        <f>'Income Tax Rates'!$C73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16">((E22*(E26-E34))-E39+E36)*E43</f>
        <v>70.39746039184368</v>
      </c>
      <c r="F44" s="88">
        <f t="shared" si="16"/>
        <v>67.091186993184195</v>
      </c>
      <c r="G44" s="88">
        <f t="shared" si="16"/>
        <v>68.563651371684074</v>
      </c>
      <c r="H44" s="88">
        <f t="shared" si="16"/>
        <v>69.882667990914911</v>
      </c>
      <c r="I44" s="88">
        <f t="shared" si="16"/>
        <v>71.399050202351773</v>
      </c>
      <c r="J44" s="88">
        <f t="shared" si="16"/>
        <v>72.336875489959368</v>
      </c>
      <c r="K44" s="88">
        <f t="shared" si="16"/>
        <v>73.876414781498923</v>
      </c>
      <c r="L44" s="88">
        <f t="shared" si="16"/>
        <v>75.865572039971553</v>
      </c>
      <c r="M44" s="88">
        <f t="shared" si="16"/>
        <v>76.903019524140788</v>
      </c>
      <c r="N44" s="88">
        <f t="shared" si="16"/>
        <v>78.29313618571058</v>
      </c>
      <c r="O44" s="88">
        <f t="shared" ref="O44:Z44" si="17">((O22*(O26-O34))-O39+O36)*O43</f>
        <v>87.886381974383639</v>
      </c>
      <c r="P44" s="88">
        <f t="shared" si="17"/>
        <v>89.454480847421507</v>
      </c>
      <c r="Q44" s="88">
        <f t="shared" si="17"/>
        <v>91.587135663467279</v>
      </c>
      <c r="R44" s="88">
        <f t="shared" si="17"/>
        <v>95.372603168427617</v>
      </c>
      <c r="S44" s="88">
        <f t="shared" si="17"/>
        <v>100.48251301887228</v>
      </c>
      <c r="T44" s="88">
        <f t="shared" si="17"/>
        <v>106.24855379347949</v>
      </c>
      <c r="U44" s="88">
        <f t="shared" si="17"/>
        <v>107.94917986564541</v>
      </c>
      <c r="V44" s="88">
        <f t="shared" si="17"/>
        <v>118.11926022149594</v>
      </c>
      <c r="W44" s="88">
        <f t="shared" si="17"/>
        <v>127.6880680863031</v>
      </c>
      <c r="X44" s="88">
        <f t="shared" si="17"/>
        <v>133.8165901976175</v>
      </c>
      <c r="Y44" s="88">
        <f t="shared" si="17"/>
        <v>127.37461023749661</v>
      </c>
      <c r="Z44" s="88">
        <f t="shared" si="17"/>
        <v>124.47775204700298</v>
      </c>
      <c r="AA44" s="88">
        <f t="shared" ref="AA44:AX44" si="18">((AA22*(AA26-AA34))-AA39+AA36)*AA43</f>
        <v>133.07663500340314</v>
      </c>
      <c r="AB44" s="88">
        <f t="shared" si="18"/>
        <v>133.18787633601116</v>
      </c>
      <c r="AC44" s="88">
        <f t="shared" si="18"/>
        <v>134.95518132344185</v>
      </c>
      <c r="AD44" s="88">
        <f t="shared" si="18"/>
        <v>139.14438317553805</v>
      </c>
      <c r="AE44" s="88">
        <f t="shared" si="18"/>
        <v>142.7701227820084</v>
      </c>
      <c r="AF44" s="88">
        <f t="shared" si="18"/>
        <v>140.57807234001191</v>
      </c>
      <c r="AG44" s="88">
        <f t="shared" si="18"/>
        <v>122.36067041199642</v>
      </c>
      <c r="AH44" s="88">
        <f t="shared" si="18"/>
        <v>126.05763318887504</v>
      </c>
      <c r="AI44" s="88">
        <f t="shared" si="18"/>
        <v>130.99796125391765</v>
      </c>
      <c r="AJ44" s="88">
        <f t="shared" si="18"/>
        <v>139.14951293177455</v>
      </c>
      <c r="AK44" s="88">
        <f t="shared" si="18"/>
        <v>149.2589008413058</v>
      </c>
      <c r="AL44" s="88">
        <f t="shared" si="18"/>
        <v>153.83145383801994</v>
      </c>
      <c r="AM44" s="481">
        <f>((AM22*(AM26-AM34))-AM39+AM36)*AM43</f>
        <v>162.16330864141503</v>
      </c>
      <c r="AN44" s="481">
        <f t="shared" si="18"/>
        <v>167.59508755327846</v>
      </c>
      <c r="AO44" s="481">
        <f t="shared" si="18"/>
        <v>175.33866883058221</v>
      </c>
      <c r="AP44" s="481">
        <f t="shared" si="18"/>
        <v>184.93991682351327</v>
      </c>
      <c r="AQ44" s="481">
        <f t="shared" si="18"/>
        <v>192.19587516059912</v>
      </c>
      <c r="AR44" s="481">
        <f t="shared" si="18"/>
        <v>204.41934211266701</v>
      </c>
      <c r="AS44" s="481">
        <f t="shared" si="18"/>
        <v>222.55404807652749</v>
      </c>
      <c r="AT44" s="481">
        <f t="shared" si="18"/>
        <v>239.8639196768782</v>
      </c>
      <c r="AU44" s="481">
        <f t="shared" si="18"/>
        <v>267.77663750133752</v>
      </c>
      <c r="AV44" s="481">
        <f t="shared" si="18"/>
        <v>313.73939094835526</v>
      </c>
      <c r="AW44" s="481">
        <f t="shared" si="18"/>
        <v>373.24186779130207</v>
      </c>
      <c r="AX44" s="481">
        <f t="shared" si="18"/>
        <v>453.88599016419596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Tax'!$F44</f>
        <v>-44.218005652563335</v>
      </c>
      <c r="F47" s="158">
        <f>-'Def Tax'!$F45</f>
        <v>-39.431641686617589</v>
      </c>
      <c r="G47" s="158">
        <f>-'Def Tax'!$F46</f>
        <v>-40.464292684395062</v>
      </c>
      <c r="H47" s="158">
        <f>-'Def Tax'!$F47</f>
        <v>-41.247359060626195</v>
      </c>
      <c r="I47" s="158">
        <f>-'Def Tax'!$F48</f>
        <v>-42.400209246781287</v>
      </c>
      <c r="J47" s="158">
        <f>-'Def Tax'!$F49</f>
        <v>-42.982829322726531</v>
      </c>
      <c r="K47" s="158">
        <f>-'Def Tax'!$F50</f>
        <v>-43.852961379560568</v>
      </c>
      <c r="L47" s="158">
        <f>-'Def Tax'!$F51</f>
        <v>-45.333212783023271</v>
      </c>
      <c r="M47" s="158">
        <f>-'Def Tax'!$F52</f>
        <v>-46.153487651340406</v>
      </c>
      <c r="N47" s="158">
        <f>-'Def Tax'!$F53</f>
        <v>-46.646868872367648</v>
      </c>
      <c r="O47" s="158">
        <f>-'Def Tax'!$F56</f>
        <v>-54.896853621775485</v>
      </c>
      <c r="P47" s="158">
        <f>-'Def Tax'!$F57</f>
        <v>-55.969001401311004</v>
      </c>
      <c r="Q47" s="158">
        <f>-'Def Tax'!$F58</f>
        <v>-57.085445630673981</v>
      </c>
      <c r="R47" s="158">
        <f>-'Def Tax'!$F59</f>
        <v>-59.514113701673104</v>
      </c>
      <c r="S47" s="158">
        <f>-'Def Tax'!$F60</f>
        <v>-62.224513308652824</v>
      </c>
      <c r="T47" s="158">
        <f>-'Def Tax'!$F62</f>
        <v>-67.461859418303902</v>
      </c>
      <c r="U47" s="158">
        <f>-'Def Tax'!$F66</f>
        <v>-66.779487853145767</v>
      </c>
      <c r="V47" s="158">
        <f>-'Def Tax'!$F67</f>
        <v>-73.525202148423872</v>
      </c>
      <c r="W47" s="158">
        <f>-'Def Tax'!$F68</f>
        <v>-79.616399226783884</v>
      </c>
      <c r="X47" s="158">
        <f>-'Def Tax'!$F70</f>
        <v>-86.225842285631174</v>
      </c>
      <c r="Y47" s="158">
        <f>-'Def Tax'!$F74</f>
        <v>-82.258834135215764</v>
      </c>
      <c r="Z47" s="158">
        <f>-'Def Tax'!$F78</f>
        <v>-77.613508992668542</v>
      </c>
      <c r="AA47" s="158">
        <f>-'Def Tax'!$F81</f>
        <v>-85.693301851691487</v>
      </c>
      <c r="AB47" s="158">
        <f>-'Def Tax'!$F82</f>
        <v>-85.749160445502383</v>
      </c>
      <c r="AC47" s="158">
        <f>-'Def Tax'!$F83</f>
        <v>-86.440199030739379</v>
      </c>
      <c r="AD47" s="158">
        <f>-'Def Tax'!$F84</f>
        <v>-89.484176199691149</v>
      </c>
      <c r="AE47" s="158">
        <f>-'Def Tax'!$F85</f>
        <v>-91.692892292022876</v>
      </c>
      <c r="AF47" s="158">
        <f>-'Def Tax'!$F89</f>
        <v>-95.021315885127152</v>
      </c>
      <c r="AG47" s="158">
        <f>-'Def Tax'!$F91</f>
        <v>-78.202890508180261</v>
      </c>
      <c r="AH47" s="158">
        <f>-'Def Tax'!$F92</f>
        <v>-80.594484038452052</v>
      </c>
      <c r="AI47" s="158">
        <f>-'Def Tax'!$F93</f>
        <v>-83.561467531068985</v>
      </c>
      <c r="AJ47" s="158">
        <f>-'Def Tax'!$F94</f>
        <v>-88.031001707584963</v>
      </c>
      <c r="AK47" s="158">
        <f>-'Def Tax'!$F95</f>
        <v>-96.260051712686973</v>
      </c>
      <c r="AL47" s="158">
        <f>-'Def Tax'!$F96</f>
        <v>-98.294036727898884</v>
      </c>
      <c r="AM47" s="480">
        <f>-'Def Tax'!$F100</f>
        <v>-104.92016804683182</v>
      </c>
      <c r="AN47" s="480">
        <f>-'Def Tax'!$F101</f>
        <v>-108.28703801903407</v>
      </c>
      <c r="AO47" s="480">
        <f>-'Def Tax'!$F102</f>
        <v>-112.81302508384154</v>
      </c>
      <c r="AP47" s="480">
        <f>-'Def Tax'!$F104</f>
        <v>-119.85139883353861</v>
      </c>
      <c r="AQ47" s="480">
        <f>-'Def Tax'!$F108</f>
        <v>-124.14113860391895</v>
      </c>
      <c r="AR47" s="480">
        <f>-'Def Tax'!$F109</f>
        <v>-130.77976119336643</v>
      </c>
      <c r="AS47" s="480">
        <f>-'Def Tax'!$F110</f>
        <v>-143.2261937049777</v>
      </c>
      <c r="AT47" s="480">
        <f>-'Def Tax'!$F111</f>
        <v>-153.48067797060779</v>
      </c>
      <c r="AU47" s="480">
        <f>-'Def Tax'!$F112</f>
        <v>-168.36636927501723</v>
      </c>
      <c r="AV47" s="480">
        <f>-'Def Tax'!$F113</f>
        <v>-196.70484475260588</v>
      </c>
      <c r="AW47" s="480">
        <f>-'Def Tax'!$F114</f>
        <v>-231.15200696395274</v>
      </c>
      <c r="AX47" s="480">
        <f>-'Def Tax'!$F115</f>
        <v>-282.35251635751501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55"/>
      <c r="D52" s="55"/>
      <c r="E52" s="55">
        <f>'Income Tax Rates'!$C$19</f>
        <v>0.40588299999999994</v>
      </c>
      <c r="F52" s="55">
        <f>'Income Tax Rates'!$C$19</f>
        <v>0.40588299999999994</v>
      </c>
      <c r="G52" s="55">
        <f>'Income Tax Rates'!$C$19</f>
        <v>0.40588299999999994</v>
      </c>
      <c r="H52" s="55">
        <f>'Income Tax Rates'!$C$19</f>
        <v>0.40588299999999994</v>
      </c>
      <c r="I52" s="55">
        <f>'Income Tax Rates'!$C$19</f>
        <v>0.40588299999999994</v>
      </c>
      <c r="J52" s="55">
        <f>'Income Tax Rates'!$C$19</f>
        <v>0.40588299999999994</v>
      </c>
      <c r="K52" s="55">
        <f>'Income Tax Rates'!$C$19</f>
        <v>0.40588299999999994</v>
      </c>
      <c r="L52" s="55">
        <f>'Income Tax Rates'!$C$19</f>
        <v>0.40588299999999994</v>
      </c>
      <c r="M52" s="55">
        <f>'Income Tax Rates'!$C$19</f>
        <v>0.40588299999999994</v>
      </c>
      <c r="N52" s="55">
        <f>'Income Tax Rates'!$C$19</f>
        <v>0.40588299999999994</v>
      </c>
      <c r="O52" s="55">
        <f>'Income Tax Rates'!$C$36</f>
        <v>0.40669976930000001</v>
      </c>
      <c r="P52" s="55">
        <f>'Income Tax Rates'!$C$36</f>
        <v>0.40669976930000001</v>
      </c>
      <c r="Q52" s="55">
        <f>'Income Tax Rates'!$C$36</f>
        <v>0.40669976930000001</v>
      </c>
      <c r="R52" s="55">
        <f>'Income Tax Rates'!$C$36</f>
        <v>0.40669976930000001</v>
      </c>
      <c r="S52" s="55">
        <f>'Income Tax Rates'!$C$36</f>
        <v>0.40669976930000001</v>
      </c>
      <c r="T52" s="55">
        <f>'Income Tax Rates'!$C$36</f>
        <v>0.40669976930000001</v>
      </c>
      <c r="U52" s="55">
        <f>'Income Tax Rates'!$C$36</f>
        <v>0.40669976930000001</v>
      </c>
      <c r="V52" s="55">
        <f>'Income Tax Rates'!$C$36</f>
        <v>0.40669976930000001</v>
      </c>
      <c r="W52" s="55">
        <f>'Income Tax Rates'!$C$36</f>
        <v>0.40669976930000001</v>
      </c>
      <c r="X52" s="55">
        <f>'Income Tax Rates'!$C$36</f>
        <v>0.40669976930000001</v>
      </c>
      <c r="Y52" s="55">
        <f>'Income Tax Rates'!$C$36</f>
        <v>0.40669976930000001</v>
      </c>
      <c r="Z52" s="55">
        <f>'Income Tax Rates'!$C$36</f>
        <v>0.40669976930000001</v>
      </c>
      <c r="AA52" s="55">
        <f>'Income Tax Rates'!$C$56</f>
        <v>0.40720000000000001</v>
      </c>
      <c r="AB52" s="55">
        <f>'Income Tax Rates'!$C$56</f>
        <v>0.40720000000000001</v>
      </c>
      <c r="AC52" s="55">
        <f>'Income Tax Rates'!$C$56</f>
        <v>0.40720000000000001</v>
      </c>
      <c r="AD52" s="55">
        <f>'Income Tax Rates'!$C$56</f>
        <v>0.40720000000000001</v>
      </c>
      <c r="AE52" s="55">
        <f>'Income Tax Rates'!$C$56</f>
        <v>0.40720000000000001</v>
      </c>
      <c r="AF52" s="55">
        <f>'Income Tax Rates'!$C$56</f>
        <v>0.40720000000000001</v>
      </c>
      <c r="AG52" s="55">
        <f>'Income Tax Rates'!$C$56</f>
        <v>0.40720000000000001</v>
      </c>
      <c r="AH52" s="55">
        <f>'Income Tax Rates'!$C$56</f>
        <v>0.40720000000000001</v>
      </c>
      <c r="AI52" s="55">
        <f>'Income Tax Rates'!$C$56</f>
        <v>0.40720000000000001</v>
      </c>
      <c r="AJ52" s="55">
        <f>'Income Tax Rates'!$C$56</f>
        <v>0.40720000000000001</v>
      </c>
      <c r="AK52" s="55">
        <f>'Income Tax Rates'!$C$56</f>
        <v>0.40720000000000001</v>
      </c>
      <c r="AL52" s="55">
        <f>'Income Tax Rates'!$C$56</f>
        <v>0.40720000000000001</v>
      </c>
      <c r="AM52" s="55">
        <f>'Income Tax Rates'!$C$76</f>
        <v>0.40739999999999998</v>
      </c>
      <c r="AN52" s="55">
        <f>'Income Tax Rates'!$C$76</f>
        <v>0.40739999999999998</v>
      </c>
      <c r="AO52" s="55">
        <f>'Income Tax Rates'!$C$76</f>
        <v>0.40739999999999998</v>
      </c>
      <c r="AP52" s="55">
        <f>'Income Tax Rates'!$C$76</f>
        <v>0.40739999999999998</v>
      </c>
      <c r="AQ52" s="55">
        <f>'Income Tax Rates'!$C$76</f>
        <v>0.40739999999999998</v>
      </c>
      <c r="AR52" s="55">
        <f>'Income Tax Rates'!$C$76</f>
        <v>0.40739999999999998</v>
      </c>
      <c r="AS52" s="55">
        <f>'Income Tax Rates'!$C$76</f>
        <v>0.40739999999999998</v>
      </c>
      <c r="AT52" s="55">
        <f>'Income Tax Rates'!$C$76</f>
        <v>0.40739999999999998</v>
      </c>
      <c r="AU52" s="55">
        <f>'Income Tax Rates'!$C$76</f>
        <v>0.40739999999999998</v>
      </c>
      <c r="AV52" s="55">
        <f>'Income Tax Rates'!$C$76</f>
        <v>0.40739999999999998</v>
      </c>
      <c r="AW52" s="55">
        <f>'Income Tax Rates'!$C$76</f>
        <v>0.40739999999999998</v>
      </c>
      <c r="AX52" s="55">
        <f>'Income Tax Rates'!$C$76</f>
        <v>0.40739999999999998</v>
      </c>
    </row>
    <row r="53" spans="1:50">
      <c r="A53" s="72">
        <v>45</v>
      </c>
      <c r="B53" s="5" t="s">
        <v>59</v>
      </c>
      <c r="C53" s="58"/>
      <c r="D53" s="58"/>
      <c r="E53" s="58">
        <f t="shared" ref="E53:N53" si="19">1/(1-E52)</f>
        <v>1.683170149987292</v>
      </c>
      <c r="F53" s="58">
        <f t="shared" si="19"/>
        <v>1.683170149987292</v>
      </c>
      <c r="G53" s="58">
        <f t="shared" si="19"/>
        <v>1.683170149987292</v>
      </c>
      <c r="H53" s="58">
        <f t="shared" si="19"/>
        <v>1.683170149987292</v>
      </c>
      <c r="I53" s="58">
        <f t="shared" si="19"/>
        <v>1.683170149987292</v>
      </c>
      <c r="J53" s="58">
        <f t="shared" si="19"/>
        <v>1.683170149987292</v>
      </c>
      <c r="K53" s="58">
        <f t="shared" si="19"/>
        <v>1.683170149987292</v>
      </c>
      <c r="L53" s="58">
        <f t="shared" si="19"/>
        <v>1.683170149987292</v>
      </c>
      <c r="M53" s="58">
        <f t="shared" si="19"/>
        <v>1.683170149987292</v>
      </c>
      <c r="N53" s="58">
        <f t="shared" si="19"/>
        <v>1.683170149987292</v>
      </c>
      <c r="O53" s="58">
        <f t="shared" ref="O53:Z53" si="20">1/(1-O52)</f>
        <v>1.6854872933727989</v>
      </c>
      <c r="P53" s="58">
        <f t="shared" si="20"/>
        <v>1.6854872933727989</v>
      </c>
      <c r="Q53" s="58">
        <f t="shared" si="20"/>
        <v>1.6854872933727989</v>
      </c>
      <c r="R53" s="58">
        <f t="shared" si="20"/>
        <v>1.6854872933727989</v>
      </c>
      <c r="S53" s="58">
        <f t="shared" si="20"/>
        <v>1.6854872933727989</v>
      </c>
      <c r="T53" s="58">
        <f t="shared" si="20"/>
        <v>1.6854872933727989</v>
      </c>
      <c r="U53" s="58">
        <f t="shared" si="20"/>
        <v>1.6854872933727989</v>
      </c>
      <c r="V53" s="58">
        <f t="shared" si="20"/>
        <v>1.6854872933727989</v>
      </c>
      <c r="W53" s="58">
        <f t="shared" si="20"/>
        <v>1.6854872933727989</v>
      </c>
      <c r="X53" s="58">
        <f t="shared" si="20"/>
        <v>1.6854872933727989</v>
      </c>
      <c r="Y53" s="58">
        <f t="shared" si="20"/>
        <v>1.6854872933727989</v>
      </c>
      <c r="Z53" s="58">
        <f t="shared" si="20"/>
        <v>1.6854872933727989</v>
      </c>
      <c r="AA53" s="58">
        <f t="shared" ref="AA53:AX53" si="21">1/(1-AA52)</f>
        <v>1.6869095816464237</v>
      </c>
      <c r="AB53" s="58">
        <f t="shared" si="21"/>
        <v>1.6869095816464237</v>
      </c>
      <c r="AC53" s="58">
        <f t="shared" si="21"/>
        <v>1.6869095816464237</v>
      </c>
      <c r="AD53" s="58">
        <f t="shared" si="21"/>
        <v>1.6869095816464237</v>
      </c>
      <c r="AE53" s="58">
        <f t="shared" si="21"/>
        <v>1.6869095816464237</v>
      </c>
      <c r="AF53" s="58">
        <f t="shared" si="21"/>
        <v>1.6869095816464237</v>
      </c>
      <c r="AG53" s="58">
        <f t="shared" si="21"/>
        <v>1.6869095816464237</v>
      </c>
      <c r="AH53" s="58">
        <f t="shared" si="21"/>
        <v>1.6869095816464237</v>
      </c>
      <c r="AI53" s="58">
        <f t="shared" si="21"/>
        <v>1.6869095816464237</v>
      </c>
      <c r="AJ53" s="58">
        <f t="shared" si="21"/>
        <v>1.6869095816464237</v>
      </c>
      <c r="AK53" s="58">
        <f t="shared" si="21"/>
        <v>1.6869095816464237</v>
      </c>
      <c r="AL53" s="58">
        <f t="shared" si="21"/>
        <v>1.6869095816464237</v>
      </c>
      <c r="AM53" s="482">
        <f t="shared" si="21"/>
        <v>1.6874789065136686</v>
      </c>
      <c r="AN53" s="482">
        <f t="shared" si="21"/>
        <v>1.6874789065136686</v>
      </c>
      <c r="AO53" s="482">
        <f t="shared" si="21"/>
        <v>1.6874789065136686</v>
      </c>
      <c r="AP53" s="482">
        <f t="shared" si="21"/>
        <v>1.6874789065136686</v>
      </c>
      <c r="AQ53" s="482">
        <f t="shared" si="21"/>
        <v>1.6874789065136686</v>
      </c>
      <c r="AR53" s="482">
        <f t="shared" si="21"/>
        <v>1.6874789065136686</v>
      </c>
      <c r="AS53" s="482">
        <f t="shared" si="21"/>
        <v>1.6874789065136686</v>
      </c>
      <c r="AT53" s="482">
        <f t="shared" si="21"/>
        <v>1.6874789065136686</v>
      </c>
      <c r="AU53" s="482">
        <f t="shared" si="21"/>
        <v>1.6874789065136686</v>
      </c>
      <c r="AV53" s="482">
        <f t="shared" si="21"/>
        <v>1.6874789065136686</v>
      </c>
      <c r="AW53" s="482">
        <f t="shared" si="21"/>
        <v>1.6874789065136686</v>
      </c>
      <c r="AX53" s="482">
        <f t="shared" si="21"/>
        <v>1.6874789065136686</v>
      </c>
    </row>
    <row r="54" spans="1:50">
      <c r="A54" s="73">
        <v>46</v>
      </c>
      <c r="B54" s="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93</v>
      </c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59"/>
      <c r="D56" s="59"/>
      <c r="E56" s="59">
        <f t="shared" ref="E56:Z56" si="22">E39</f>
        <v>18.91873110427959</v>
      </c>
      <c r="F56" s="59">
        <f t="shared" si="22"/>
        <v>18.030197668012072</v>
      </c>
      <c r="G56" s="59">
        <f t="shared" si="22"/>
        <v>18.425910204833883</v>
      </c>
      <c r="H56" s="59">
        <f t="shared" si="22"/>
        <v>18.780384934496077</v>
      </c>
      <c r="I56" s="59">
        <f t="shared" si="22"/>
        <v>19.187900023105882</v>
      </c>
      <c r="J56" s="59">
        <f t="shared" si="22"/>
        <v>19.439932757529597</v>
      </c>
      <c r="K56" s="59">
        <f t="shared" si="22"/>
        <v>19.853671118529967</v>
      </c>
      <c r="L56" s="59">
        <f t="shared" si="22"/>
        <v>20.388240563048306</v>
      </c>
      <c r="M56" s="59">
        <f t="shared" si="22"/>
        <v>20.667045932994338</v>
      </c>
      <c r="N56" s="59">
        <f t="shared" si="22"/>
        <v>21.040628206806939</v>
      </c>
      <c r="O56" s="59">
        <f t="shared" si="22"/>
        <v>23.997292924708756</v>
      </c>
      <c r="P56" s="59">
        <f t="shared" si="22"/>
        <v>24.425460829062395</v>
      </c>
      <c r="Q56" s="59">
        <f t="shared" si="22"/>
        <v>25.007780196161367</v>
      </c>
      <c r="R56" s="59">
        <f t="shared" si="22"/>
        <v>26.041398494386197</v>
      </c>
      <c r="S56" s="59">
        <f t="shared" si="22"/>
        <v>27.436654514092595</v>
      </c>
      <c r="T56" s="59">
        <f t="shared" si="22"/>
        <v>29.01106645796343</v>
      </c>
      <c r="U56" s="59">
        <f t="shared" si="22"/>
        <v>29.47542078786471</v>
      </c>
      <c r="V56" s="59">
        <f t="shared" si="22"/>
        <v>32.252351546469676</v>
      </c>
      <c r="W56" s="59">
        <f t="shared" si="22"/>
        <v>34.865105423844717</v>
      </c>
      <c r="X56" s="59">
        <f t="shared" si="22"/>
        <v>36.538492551598281</v>
      </c>
      <c r="Y56" s="59">
        <f t="shared" si="22"/>
        <v>34.779516056659808</v>
      </c>
      <c r="Z56" s="59">
        <f t="shared" si="22"/>
        <v>33.988531685737826</v>
      </c>
      <c r="AA56" s="59">
        <f t="shared" ref="AA56:AX56" si="23">AA39</f>
        <v>36.664938634471184</v>
      </c>
      <c r="AB56" s="59">
        <f t="shared" si="23"/>
        <v>36.695587565694815</v>
      </c>
      <c r="AC56" s="59">
        <f t="shared" si="23"/>
        <v>37.18251097573507</v>
      </c>
      <c r="AD56" s="59">
        <f t="shared" si="23"/>
        <v>38.336709297856707</v>
      </c>
      <c r="AE56" s="59">
        <f t="shared" si="23"/>
        <v>39.335663924056917</v>
      </c>
      <c r="AF56" s="59">
        <f t="shared" si="23"/>
        <v>38.731715718292541</v>
      </c>
      <c r="AG56" s="59">
        <f t="shared" si="23"/>
        <v>33.712503113817654</v>
      </c>
      <c r="AH56" s="59">
        <f t="shared" si="23"/>
        <v>34.731080968184898</v>
      </c>
      <c r="AI56" s="59">
        <f t="shared" si="23"/>
        <v>36.092227688901943</v>
      </c>
      <c r="AJ56" s="59">
        <f t="shared" si="23"/>
        <v>38.338122635349166</v>
      </c>
      <c r="AK56" s="59">
        <f t="shared" si="23"/>
        <v>41.123435679412459</v>
      </c>
      <c r="AL56" s="59">
        <f t="shared" si="23"/>
        <v>42.383253941446988</v>
      </c>
      <c r="AM56" s="59">
        <f t="shared" si="23"/>
        <v>44.890569903258204</v>
      </c>
      <c r="AN56" s="59">
        <f t="shared" si="23"/>
        <v>46.394212453381748</v>
      </c>
      <c r="AO56" s="59">
        <f t="shared" si="23"/>
        <v>48.5378155874238</v>
      </c>
      <c r="AP56" s="59">
        <f t="shared" si="23"/>
        <v>51.195664010695999</v>
      </c>
      <c r="AQ56" s="59">
        <f t="shared" si="23"/>
        <v>53.204281790358728</v>
      </c>
      <c r="AR56" s="59">
        <f t="shared" si="23"/>
        <v>56.588021319781689</v>
      </c>
      <c r="AS56" s="59">
        <f t="shared" si="23"/>
        <v>61.608129089942246</v>
      </c>
      <c r="AT56" s="59">
        <f t="shared" si="23"/>
        <v>66.399903552377666</v>
      </c>
      <c r="AU56" s="59">
        <f t="shared" si="23"/>
        <v>74.126792089534717</v>
      </c>
      <c r="AV56" s="59">
        <f t="shared" si="23"/>
        <v>86.850349680000832</v>
      </c>
      <c r="AW56" s="59">
        <f t="shared" si="23"/>
        <v>103.32201715221429</v>
      </c>
      <c r="AX56" s="59">
        <f t="shared" si="23"/>
        <v>125.6461830994719</v>
      </c>
    </row>
    <row r="57" spans="1:50">
      <c r="A57" s="72">
        <v>49</v>
      </c>
      <c r="B57" s="5" t="s">
        <v>52</v>
      </c>
      <c r="C57" s="59"/>
      <c r="D57" s="59"/>
      <c r="E57" s="59">
        <f t="shared" ref="E57:Z57" si="24">E44</f>
        <v>70.39746039184368</v>
      </c>
      <c r="F57" s="59">
        <f t="shared" si="24"/>
        <v>67.091186993184195</v>
      </c>
      <c r="G57" s="59">
        <f t="shared" si="24"/>
        <v>68.563651371684074</v>
      </c>
      <c r="H57" s="59">
        <f t="shared" si="24"/>
        <v>69.882667990914911</v>
      </c>
      <c r="I57" s="59">
        <f t="shared" si="24"/>
        <v>71.399050202351773</v>
      </c>
      <c r="J57" s="59">
        <f t="shared" si="24"/>
        <v>72.336875489959368</v>
      </c>
      <c r="K57" s="59">
        <f t="shared" si="24"/>
        <v>73.876414781498923</v>
      </c>
      <c r="L57" s="59">
        <f t="shared" si="24"/>
        <v>75.865572039971553</v>
      </c>
      <c r="M57" s="59">
        <f t="shared" si="24"/>
        <v>76.903019524140788</v>
      </c>
      <c r="N57" s="59">
        <f t="shared" si="24"/>
        <v>78.29313618571058</v>
      </c>
      <c r="O57" s="59">
        <f t="shared" si="24"/>
        <v>87.886381974383639</v>
      </c>
      <c r="P57" s="59">
        <f t="shared" si="24"/>
        <v>89.454480847421507</v>
      </c>
      <c r="Q57" s="59">
        <f t="shared" si="24"/>
        <v>91.587135663467279</v>
      </c>
      <c r="R57" s="59">
        <f t="shared" si="24"/>
        <v>95.372603168427617</v>
      </c>
      <c r="S57" s="59">
        <f t="shared" si="24"/>
        <v>100.48251301887228</v>
      </c>
      <c r="T57" s="59">
        <f t="shared" si="24"/>
        <v>106.24855379347949</v>
      </c>
      <c r="U57" s="59">
        <f t="shared" si="24"/>
        <v>107.94917986564541</v>
      </c>
      <c r="V57" s="59">
        <f t="shared" si="24"/>
        <v>118.11926022149594</v>
      </c>
      <c r="W57" s="59">
        <f t="shared" si="24"/>
        <v>127.6880680863031</v>
      </c>
      <c r="X57" s="59">
        <f t="shared" si="24"/>
        <v>133.8165901976175</v>
      </c>
      <c r="Y57" s="59">
        <f t="shared" si="24"/>
        <v>127.37461023749661</v>
      </c>
      <c r="Z57" s="59">
        <f t="shared" si="24"/>
        <v>124.47775204700298</v>
      </c>
      <c r="AA57" s="59">
        <f t="shared" ref="AA57:AX57" si="25">AA44</f>
        <v>133.07663500340314</v>
      </c>
      <c r="AB57" s="59">
        <f t="shared" si="25"/>
        <v>133.18787633601116</v>
      </c>
      <c r="AC57" s="59">
        <f t="shared" si="25"/>
        <v>134.95518132344185</v>
      </c>
      <c r="AD57" s="59">
        <f t="shared" si="25"/>
        <v>139.14438317553805</v>
      </c>
      <c r="AE57" s="59">
        <f t="shared" si="25"/>
        <v>142.7701227820084</v>
      </c>
      <c r="AF57" s="59">
        <f t="shared" si="25"/>
        <v>140.57807234001191</v>
      </c>
      <c r="AG57" s="59">
        <f t="shared" si="25"/>
        <v>122.36067041199642</v>
      </c>
      <c r="AH57" s="59">
        <f t="shared" si="25"/>
        <v>126.05763318887504</v>
      </c>
      <c r="AI57" s="59">
        <f t="shared" si="25"/>
        <v>130.99796125391765</v>
      </c>
      <c r="AJ57" s="59">
        <f t="shared" si="25"/>
        <v>139.14951293177455</v>
      </c>
      <c r="AK57" s="59">
        <f t="shared" si="25"/>
        <v>149.2589008413058</v>
      </c>
      <c r="AL57" s="59">
        <f t="shared" si="25"/>
        <v>153.83145383801994</v>
      </c>
      <c r="AM57" s="59">
        <f t="shared" si="25"/>
        <v>162.16330864141503</v>
      </c>
      <c r="AN57" s="59">
        <f t="shared" si="25"/>
        <v>167.59508755327846</v>
      </c>
      <c r="AO57" s="59">
        <f t="shared" si="25"/>
        <v>175.33866883058221</v>
      </c>
      <c r="AP57" s="59">
        <f t="shared" si="25"/>
        <v>184.93991682351327</v>
      </c>
      <c r="AQ57" s="59">
        <f t="shared" si="25"/>
        <v>192.19587516059912</v>
      </c>
      <c r="AR57" s="59">
        <f t="shared" si="25"/>
        <v>204.41934211266701</v>
      </c>
      <c r="AS57" s="59">
        <f t="shared" si="25"/>
        <v>222.55404807652749</v>
      </c>
      <c r="AT57" s="59">
        <f t="shared" si="25"/>
        <v>239.8639196768782</v>
      </c>
      <c r="AU57" s="59">
        <f t="shared" si="25"/>
        <v>267.77663750133752</v>
      </c>
      <c r="AV57" s="59">
        <f t="shared" si="25"/>
        <v>313.73939094835526</v>
      </c>
      <c r="AW57" s="59">
        <f t="shared" si="25"/>
        <v>373.24186779130207</v>
      </c>
      <c r="AX57" s="59">
        <f t="shared" si="25"/>
        <v>453.88599016419596</v>
      </c>
    </row>
    <row r="58" spans="1:50">
      <c r="A58" s="73">
        <v>50</v>
      </c>
      <c r="B58" s="5" t="s">
        <v>58</v>
      </c>
      <c r="C58" s="60"/>
      <c r="D58" s="60"/>
      <c r="E58" s="60">
        <f t="shared" ref="E58:Z58" si="26">E47</f>
        <v>-44.218005652563335</v>
      </c>
      <c r="F58" s="60">
        <f t="shared" si="26"/>
        <v>-39.431641686617589</v>
      </c>
      <c r="G58" s="60">
        <f t="shared" si="26"/>
        <v>-40.464292684395062</v>
      </c>
      <c r="H58" s="60">
        <f t="shared" si="26"/>
        <v>-41.247359060626195</v>
      </c>
      <c r="I58" s="60">
        <f t="shared" si="26"/>
        <v>-42.400209246781287</v>
      </c>
      <c r="J58" s="60">
        <f t="shared" si="26"/>
        <v>-42.982829322726531</v>
      </c>
      <c r="K58" s="60">
        <f t="shared" si="26"/>
        <v>-43.852961379560568</v>
      </c>
      <c r="L58" s="60">
        <f t="shared" si="26"/>
        <v>-45.333212783023271</v>
      </c>
      <c r="M58" s="60">
        <f t="shared" si="26"/>
        <v>-46.153487651340406</v>
      </c>
      <c r="N58" s="60">
        <f t="shared" si="26"/>
        <v>-46.646868872367648</v>
      </c>
      <c r="O58" s="60">
        <f t="shared" si="26"/>
        <v>-54.896853621775485</v>
      </c>
      <c r="P58" s="60">
        <f t="shared" si="26"/>
        <v>-55.969001401311004</v>
      </c>
      <c r="Q58" s="60">
        <f t="shared" si="26"/>
        <v>-57.085445630673981</v>
      </c>
      <c r="R58" s="60">
        <f t="shared" si="26"/>
        <v>-59.514113701673104</v>
      </c>
      <c r="S58" s="60">
        <f t="shared" si="26"/>
        <v>-62.224513308652824</v>
      </c>
      <c r="T58" s="60">
        <f t="shared" si="26"/>
        <v>-67.461859418303902</v>
      </c>
      <c r="U58" s="60">
        <f t="shared" si="26"/>
        <v>-66.779487853145767</v>
      </c>
      <c r="V58" s="60">
        <f t="shared" si="26"/>
        <v>-73.525202148423872</v>
      </c>
      <c r="W58" s="60">
        <f t="shared" si="26"/>
        <v>-79.616399226783884</v>
      </c>
      <c r="X58" s="60">
        <f t="shared" si="26"/>
        <v>-86.225842285631174</v>
      </c>
      <c r="Y58" s="60">
        <f t="shared" si="26"/>
        <v>-82.258834135215764</v>
      </c>
      <c r="Z58" s="60">
        <f t="shared" si="26"/>
        <v>-77.613508992668542</v>
      </c>
      <c r="AA58" s="60">
        <f t="shared" ref="AA58:AX58" si="27">AA47</f>
        <v>-85.693301851691487</v>
      </c>
      <c r="AB58" s="60">
        <f t="shared" si="27"/>
        <v>-85.749160445502383</v>
      </c>
      <c r="AC58" s="60">
        <f t="shared" si="27"/>
        <v>-86.440199030739379</v>
      </c>
      <c r="AD58" s="60">
        <f t="shared" si="27"/>
        <v>-89.484176199691149</v>
      </c>
      <c r="AE58" s="60">
        <f t="shared" si="27"/>
        <v>-91.692892292022876</v>
      </c>
      <c r="AF58" s="60">
        <f t="shared" si="27"/>
        <v>-95.021315885127152</v>
      </c>
      <c r="AG58" s="60">
        <f t="shared" si="27"/>
        <v>-78.202890508180261</v>
      </c>
      <c r="AH58" s="60">
        <f t="shared" si="27"/>
        <v>-80.594484038452052</v>
      </c>
      <c r="AI58" s="60">
        <f t="shared" si="27"/>
        <v>-83.561467531068985</v>
      </c>
      <c r="AJ58" s="60">
        <f t="shared" si="27"/>
        <v>-88.031001707584963</v>
      </c>
      <c r="AK58" s="60">
        <f t="shared" si="27"/>
        <v>-96.260051712686973</v>
      </c>
      <c r="AL58" s="60">
        <f t="shared" si="27"/>
        <v>-98.294036727898884</v>
      </c>
      <c r="AM58" s="474">
        <f t="shared" si="27"/>
        <v>-104.92016804683182</v>
      </c>
      <c r="AN58" s="474">
        <f t="shared" si="27"/>
        <v>-108.28703801903407</v>
      </c>
      <c r="AO58" s="474">
        <f t="shared" si="27"/>
        <v>-112.81302508384154</v>
      </c>
      <c r="AP58" s="474">
        <f t="shared" si="27"/>
        <v>-119.85139883353861</v>
      </c>
      <c r="AQ58" s="474">
        <f t="shared" si="27"/>
        <v>-124.14113860391895</v>
      </c>
      <c r="AR58" s="474">
        <f t="shared" si="27"/>
        <v>-130.77976119336643</v>
      </c>
      <c r="AS58" s="474">
        <f t="shared" si="27"/>
        <v>-143.2261937049777</v>
      </c>
      <c r="AT58" s="474">
        <f t="shared" si="27"/>
        <v>-153.48067797060779</v>
      </c>
      <c r="AU58" s="474">
        <f t="shared" si="27"/>
        <v>-168.36636927501723</v>
      </c>
      <c r="AV58" s="474">
        <f t="shared" si="27"/>
        <v>-196.70484475260588</v>
      </c>
      <c r="AW58" s="474">
        <f t="shared" si="27"/>
        <v>-231.15200696395274</v>
      </c>
      <c r="AX58" s="474">
        <f t="shared" si="27"/>
        <v>-282.35251635751501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28">E53</f>
        <v>1.683170149987292</v>
      </c>
      <c r="F59" s="57">
        <f t="shared" si="28"/>
        <v>1.683170149987292</v>
      </c>
      <c r="G59" s="57">
        <f t="shared" si="28"/>
        <v>1.683170149987292</v>
      </c>
      <c r="H59" s="57">
        <f t="shared" si="28"/>
        <v>1.683170149987292</v>
      </c>
      <c r="I59" s="57">
        <f t="shared" si="28"/>
        <v>1.683170149987292</v>
      </c>
      <c r="J59" s="57">
        <f t="shared" si="28"/>
        <v>1.683170149987292</v>
      </c>
      <c r="K59" s="57">
        <f t="shared" si="28"/>
        <v>1.683170149987292</v>
      </c>
      <c r="L59" s="57">
        <f t="shared" si="28"/>
        <v>1.683170149987292</v>
      </c>
      <c r="M59" s="57">
        <f t="shared" si="28"/>
        <v>1.683170149987292</v>
      </c>
      <c r="N59" s="57">
        <f t="shared" si="28"/>
        <v>1.683170149987292</v>
      </c>
      <c r="O59" s="57">
        <f t="shared" si="28"/>
        <v>1.6854872933727989</v>
      </c>
      <c r="P59" s="57">
        <f t="shared" si="28"/>
        <v>1.6854872933727989</v>
      </c>
      <c r="Q59" s="57">
        <f t="shared" si="28"/>
        <v>1.6854872933727989</v>
      </c>
      <c r="R59" s="57">
        <f t="shared" si="28"/>
        <v>1.6854872933727989</v>
      </c>
      <c r="S59" s="57">
        <f t="shared" si="28"/>
        <v>1.6854872933727989</v>
      </c>
      <c r="T59" s="57">
        <f t="shared" si="28"/>
        <v>1.6854872933727989</v>
      </c>
      <c r="U59" s="57">
        <f t="shared" si="28"/>
        <v>1.6854872933727989</v>
      </c>
      <c r="V59" s="57">
        <f t="shared" si="28"/>
        <v>1.6854872933727989</v>
      </c>
      <c r="W59" s="57">
        <f t="shared" si="28"/>
        <v>1.6854872933727989</v>
      </c>
      <c r="X59" s="57">
        <f t="shared" si="28"/>
        <v>1.6854872933727989</v>
      </c>
      <c r="Y59" s="57">
        <f t="shared" si="28"/>
        <v>1.6854872933727989</v>
      </c>
      <c r="Z59" s="57">
        <f t="shared" si="28"/>
        <v>1.6854872933727989</v>
      </c>
      <c r="AA59" s="57">
        <f t="shared" ref="AA59:AX59" si="29">AA53</f>
        <v>1.6869095816464237</v>
      </c>
      <c r="AB59" s="57">
        <f t="shared" si="29"/>
        <v>1.6869095816464237</v>
      </c>
      <c r="AC59" s="57">
        <f t="shared" si="29"/>
        <v>1.6869095816464237</v>
      </c>
      <c r="AD59" s="57">
        <f t="shared" si="29"/>
        <v>1.6869095816464237</v>
      </c>
      <c r="AE59" s="57">
        <f t="shared" si="29"/>
        <v>1.6869095816464237</v>
      </c>
      <c r="AF59" s="57">
        <f t="shared" si="29"/>
        <v>1.6869095816464237</v>
      </c>
      <c r="AG59" s="57">
        <f t="shared" si="29"/>
        <v>1.6869095816464237</v>
      </c>
      <c r="AH59" s="57">
        <f t="shared" si="29"/>
        <v>1.6869095816464237</v>
      </c>
      <c r="AI59" s="57">
        <f t="shared" si="29"/>
        <v>1.6869095816464237</v>
      </c>
      <c r="AJ59" s="57">
        <f t="shared" si="29"/>
        <v>1.6869095816464237</v>
      </c>
      <c r="AK59" s="57">
        <f t="shared" si="29"/>
        <v>1.6869095816464237</v>
      </c>
      <c r="AL59" s="57">
        <f t="shared" si="29"/>
        <v>1.6869095816464237</v>
      </c>
      <c r="AM59" s="475">
        <f t="shared" si="29"/>
        <v>1.6874789065136686</v>
      </c>
      <c r="AN59" s="475">
        <f t="shared" si="29"/>
        <v>1.6874789065136686</v>
      </c>
      <c r="AO59" s="475">
        <f t="shared" si="29"/>
        <v>1.6874789065136686</v>
      </c>
      <c r="AP59" s="475">
        <f t="shared" si="29"/>
        <v>1.6874789065136686</v>
      </c>
      <c r="AQ59" s="475">
        <f t="shared" si="29"/>
        <v>1.6874789065136686</v>
      </c>
      <c r="AR59" s="475">
        <f t="shared" si="29"/>
        <v>1.6874789065136686</v>
      </c>
      <c r="AS59" s="475">
        <f t="shared" si="29"/>
        <v>1.6874789065136686</v>
      </c>
      <c r="AT59" s="475">
        <f t="shared" si="29"/>
        <v>1.6874789065136686</v>
      </c>
      <c r="AU59" s="475">
        <f t="shared" si="29"/>
        <v>1.6874789065136686</v>
      </c>
      <c r="AV59" s="475">
        <f t="shared" si="29"/>
        <v>1.6874789065136686</v>
      </c>
      <c r="AW59" s="475">
        <f t="shared" si="29"/>
        <v>1.6874789065136686</v>
      </c>
      <c r="AX59" s="475">
        <f t="shared" si="29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30">(E56+E57+E58)*E59</f>
        <v>75.907920230459538</v>
      </c>
      <c r="F60" s="66">
        <f t="shared" si="30"/>
        <v>76.903611535402405</v>
      </c>
      <c r="G60" s="66">
        <f t="shared" si="30"/>
        <v>78.309943819353578</v>
      </c>
      <c r="H60" s="66">
        <f t="shared" si="30"/>
        <v>79.808680554141347</v>
      </c>
      <c r="I60" s="66">
        <f t="shared" si="30"/>
        <v>81.106484040477497</v>
      </c>
      <c r="J60" s="66">
        <f t="shared" si="30"/>
        <v>82.128568825269141</v>
      </c>
      <c r="K60" s="66">
        <f t="shared" si="30"/>
        <v>83.951687160051492</v>
      </c>
      <c r="L60" s="66">
        <f t="shared" si="30"/>
        <v>85.708033636466538</v>
      </c>
      <c r="M60" s="66">
        <f t="shared" si="30"/>
        <v>86.54284897721277</v>
      </c>
      <c r="N60" s="66">
        <f t="shared" si="30"/>
        <v>88.681009835015445</v>
      </c>
      <c r="O60" s="66">
        <f t="shared" ref="O60:Z60" si="31">(O56+O57+O58)*O59</f>
        <v>96.050563152624306</v>
      </c>
      <c r="P60" s="66">
        <f t="shared" si="31"/>
        <v>97.608153981074963</v>
      </c>
      <c r="Q60" s="66">
        <f t="shared" si="31"/>
        <v>100.30245590624995</v>
      </c>
      <c r="R60" s="66">
        <f t="shared" si="31"/>
        <v>104.33147461970256</v>
      </c>
      <c r="S60" s="66">
        <f t="shared" si="31"/>
        <v>110.72750493759762</v>
      </c>
      <c r="T60" s="66">
        <f t="shared" si="31"/>
        <v>114.27226440338384</v>
      </c>
      <c r="U60" s="66">
        <f t="shared" si="31"/>
        <v>119.07143996390217</v>
      </c>
      <c r="V60" s="66">
        <f t="shared" si="31"/>
        <v>129.52364695505884</v>
      </c>
      <c r="W60" s="66">
        <f t="shared" si="31"/>
        <v>139.78887920793784</v>
      </c>
      <c r="X60" s="66">
        <f t="shared" si="31"/>
        <v>141.79876580247659</v>
      </c>
      <c r="Y60" s="66">
        <f t="shared" si="31"/>
        <v>134.66249973420187</v>
      </c>
      <c r="Z60" s="66">
        <f t="shared" si="31"/>
        <v>136.27632445832501</v>
      </c>
      <c r="AA60" s="66">
        <f t="shared" ref="AA60:AX60" si="32">(AA56+AA57+AA58)*AA59</f>
        <v>141.78183499693461</v>
      </c>
      <c r="AB60" s="66">
        <f t="shared" si="32"/>
        <v>141.92696264541763</v>
      </c>
      <c r="AC60" s="66">
        <f t="shared" si="32"/>
        <v>144.56392251760721</v>
      </c>
      <c r="AD60" s="66">
        <f t="shared" si="32"/>
        <v>148.44284121744874</v>
      </c>
      <c r="AE60" s="66">
        <f t="shared" si="32"/>
        <v>152.51837789143462</v>
      </c>
      <c r="AF60" s="66">
        <f t="shared" si="32"/>
        <v>142.18703133127076</v>
      </c>
      <c r="AG60" s="66">
        <f t="shared" si="32"/>
        <v>131.36012654796525</v>
      </c>
      <c r="AH60" s="66">
        <f t="shared" si="32"/>
        <v>135.28041517983783</v>
      </c>
      <c r="AI60" s="66">
        <f t="shared" si="32"/>
        <v>140.9054004921569</v>
      </c>
      <c r="AJ60" s="66">
        <f t="shared" si="32"/>
        <v>150.90525279949185</v>
      </c>
      <c r="AK60" s="66">
        <f t="shared" si="32"/>
        <v>158.7757840891216</v>
      </c>
      <c r="AL60" s="66">
        <f t="shared" si="32"/>
        <v>165.1833182381377</v>
      </c>
      <c r="AM60" s="483">
        <f t="shared" si="32"/>
        <v>172.34848210908103</v>
      </c>
      <c r="AN60" s="483">
        <f t="shared" si="32"/>
        <v>178.37033747490068</v>
      </c>
      <c r="AO60" s="483">
        <f t="shared" si="32"/>
        <v>187.41724491084116</v>
      </c>
      <c r="AP60" s="483">
        <f t="shared" si="32"/>
        <v>196.22710428732813</v>
      </c>
      <c r="AQ60" s="483">
        <f t="shared" si="32"/>
        <v>204.62203568518206</v>
      </c>
      <c r="AR60" s="483">
        <f t="shared" si="32"/>
        <v>219.75633182430354</v>
      </c>
      <c r="AS60" s="483">
        <f t="shared" si="32"/>
        <v>237.82649926002708</v>
      </c>
      <c r="AT60" s="483">
        <f t="shared" si="32"/>
        <v>257.81833489478248</v>
      </c>
      <c r="AU60" s="483">
        <f t="shared" si="32"/>
        <v>292.84012878139555</v>
      </c>
      <c r="AV60" s="483">
        <f t="shared" si="32"/>
        <v>344.05146114706412</v>
      </c>
      <c r="AW60" s="483">
        <f t="shared" si="32"/>
        <v>414.12736749841991</v>
      </c>
      <c r="AX60" s="483">
        <f t="shared" si="32"/>
        <v>501.4844024741019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64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33">E22</f>
        <v>22375.215993958642</v>
      </c>
      <c r="F65" s="65">
        <f t="shared" si="33"/>
        <v>22668.710191640559</v>
      </c>
      <c r="G65" s="65">
        <f t="shared" si="33"/>
        <v>23083.251907569043</v>
      </c>
      <c r="H65" s="65">
        <f t="shared" si="33"/>
        <v>23525.031282700482</v>
      </c>
      <c r="I65" s="65">
        <f t="shared" si="33"/>
        <v>23907.582319392051</v>
      </c>
      <c r="J65" s="65">
        <f t="shared" si="33"/>
        <v>24208.860066205591</v>
      </c>
      <c r="K65" s="65">
        <f t="shared" si="33"/>
        <v>24746.256646265152</v>
      </c>
      <c r="L65" s="65">
        <f t="shared" si="33"/>
        <v>25263.971464169517</v>
      </c>
      <c r="M65" s="65">
        <f t="shared" si="33"/>
        <v>25510.048428886912</v>
      </c>
      <c r="N65" s="65">
        <f t="shared" si="33"/>
        <v>26140.309045872382</v>
      </c>
      <c r="O65" s="65">
        <f t="shared" si="33"/>
        <v>26907.338623782365</v>
      </c>
      <c r="P65" s="65">
        <f t="shared" si="33"/>
        <v>27343.677753942888</v>
      </c>
      <c r="Q65" s="65">
        <f t="shared" si="33"/>
        <v>28098.452143304938</v>
      </c>
      <c r="R65" s="65">
        <f t="shared" si="33"/>
        <v>29227.130248317</v>
      </c>
      <c r="S65" s="65">
        <f t="shared" si="33"/>
        <v>31018.896712599249</v>
      </c>
      <c r="T65" s="65">
        <f t="shared" si="33"/>
        <v>32011.914947201301</v>
      </c>
      <c r="U65" s="65">
        <f t="shared" si="33"/>
        <v>33356.343608724404</v>
      </c>
      <c r="V65" s="65">
        <f t="shared" si="33"/>
        <v>36284.395707385214</v>
      </c>
      <c r="W65" s="65">
        <f t="shared" si="33"/>
        <v>39160.069367646633</v>
      </c>
      <c r="X65" s="65">
        <f t="shared" si="33"/>
        <v>39723.11196636394</v>
      </c>
      <c r="Y65" s="65">
        <f t="shared" si="33"/>
        <v>37723.978133316879</v>
      </c>
      <c r="Z65" s="65">
        <f t="shared" si="33"/>
        <v>38176.072011455864</v>
      </c>
      <c r="AA65" s="65">
        <f t="shared" ref="AA65:AK65" si="34">AA22</f>
        <v>39642.564663137891</v>
      </c>
      <c r="AB65" s="65">
        <f t="shared" si="34"/>
        <v>39683.141526672203</v>
      </c>
      <c r="AC65" s="65">
        <f t="shared" si="34"/>
        <v>40420.408288161023</v>
      </c>
      <c r="AD65" s="65">
        <f t="shared" si="34"/>
        <v>41504.990236530779</v>
      </c>
      <c r="AE65" s="65">
        <f t="shared" si="34"/>
        <v>42644.511160515853</v>
      </c>
      <c r="AF65" s="65">
        <f t="shared" si="34"/>
        <v>39826.306019738971</v>
      </c>
      <c r="AG65" s="65">
        <f t="shared" si="34"/>
        <v>36793.350062566125</v>
      </c>
      <c r="AH65" s="65">
        <f t="shared" si="34"/>
        <v>37891.406540428405</v>
      </c>
      <c r="AI65" s="327">
        <f t="shared" si="34"/>
        <v>39466.923922876202</v>
      </c>
      <c r="AJ65" s="65">
        <f t="shared" si="34"/>
        <v>42267.779303126546</v>
      </c>
      <c r="AK65" s="65">
        <f t="shared" si="34"/>
        <v>44472.411505423544</v>
      </c>
      <c r="AL65" s="65">
        <f>AL22</f>
        <v>46267.064365911574</v>
      </c>
      <c r="AM65" s="320">
        <f t="shared" ref="AM65:AW65" si="35">AM22</f>
        <v>48409.070776266366</v>
      </c>
      <c r="AN65" s="320">
        <f t="shared" si="35"/>
        <v>50100.488585795771</v>
      </c>
      <c r="AO65" s="320">
        <f t="shared" si="35"/>
        <v>52641.591534376807</v>
      </c>
      <c r="AP65" s="320">
        <f t="shared" si="35"/>
        <v>55116.067840061092</v>
      </c>
      <c r="AQ65" s="320">
        <f t="shared" si="35"/>
        <v>57474.04169520321</v>
      </c>
      <c r="AR65" s="320">
        <f t="shared" si="35"/>
        <v>61724.991224365833</v>
      </c>
      <c r="AS65" s="320">
        <f t="shared" si="35"/>
        <v>66800.497545019374</v>
      </c>
      <c r="AT65" s="320">
        <f t="shared" si="35"/>
        <v>72415.816838369676</v>
      </c>
      <c r="AU65" s="476">
        <f t="shared" si="35"/>
        <v>82252.812132524181</v>
      </c>
      <c r="AV65" s="320">
        <f t="shared" si="35"/>
        <v>96637.048259079602</v>
      </c>
      <c r="AW65" s="320">
        <f t="shared" si="35"/>
        <v>116320.03790809913</v>
      </c>
      <c r="AX65" s="320">
        <f>AX22</f>
        <v>140856.82867672265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36">E26</f>
        <v>7.1908333333333338E-3</v>
      </c>
      <c r="F66" s="122">
        <f t="shared" si="36"/>
        <v>7.1908333333333338E-3</v>
      </c>
      <c r="G66" s="122">
        <f t="shared" si="36"/>
        <v>7.1908333333333338E-3</v>
      </c>
      <c r="H66" s="122">
        <f t="shared" si="36"/>
        <v>7.1908333333333338E-3</v>
      </c>
      <c r="I66" s="122">
        <f t="shared" si="36"/>
        <v>7.1908333333333338E-3</v>
      </c>
      <c r="J66" s="122">
        <f t="shared" si="36"/>
        <v>7.1908333333333338E-3</v>
      </c>
      <c r="K66" s="122">
        <f t="shared" si="36"/>
        <v>7.1908333333333338E-3</v>
      </c>
      <c r="L66" s="122">
        <f t="shared" si="36"/>
        <v>7.1908333333333338E-3</v>
      </c>
      <c r="M66" s="122">
        <f t="shared" si="36"/>
        <v>7.1908333333333338E-3</v>
      </c>
      <c r="N66" s="122">
        <f t="shared" si="36"/>
        <v>7.1908333333333338E-3</v>
      </c>
      <c r="O66" s="122">
        <f t="shared" si="36"/>
        <v>7.5075000000000003E-3</v>
      </c>
      <c r="P66" s="122">
        <f t="shared" si="36"/>
        <v>7.5075000000000003E-3</v>
      </c>
      <c r="Q66" s="122">
        <f t="shared" si="36"/>
        <v>7.5075000000000003E-3</v>
      </c>
      <c r="R66" s="122">
        <f t="shared" si="36"/>
        <v>7.5075000000000003E-3</v>
      </c>
      <c r="S66" s="122">
        <f t="shared" si="36"/>
        <v>7.5075000000000003E-3</v>
      </c>
      <c r="T66" s="122">
        <f t="shared" si="36"/>
        <v>7.5075000000000003E-3</v>
      </c>
      <c r="U66" s="122">
        <f t="shared" si="36"/>
        <v>7.5075000000000003E-3</v>
      </c>
      <c r="V66" s="122">
        <f t="shared" si="36"/>
        <v>7.5075000000000003E-3</v>
      </c>
      <c r="W66" s="122">
        <f t="shared" si="36"/>
        <v>7.5075000000000003E-3</v>
      </c>
      <c r="X66" s="122">
        <f t="shared" si="36"/>
        <v>7.5075000000000003E-3</v>
      </c>
      <c r="Y66" s="122">
        <f t="shared" si="36"/>
        <v>7.5075000000000003E-3</v>
      </c>
      <c r="Z66" s="122">
        <f t="shared" si="36"/>
        <v>7.5075000000000003E-3</v>
      </c>
      <c r="AA66" s="317">
        <f t="shared" ref="AA66:AL66" si="37">AA26</f>
        <v>7.5075000000000003E-3</v>
      </c>
      <c r="AB66" s="122">
        <f t="shared" si="37"/>
        <v>7.5075000000000003E-3</v>
      </c>
      <c r="AC66" s="122">
        <f t="shared" si="37"/>
        <v>7.5075000000000003E-3</v>
      </c>
      <c r="AD66" s="122">
        <f t="shared" si="37"/>
        <v>7.5075000000000003E-3</v>
      </c>
      <c r="AE66" s="122">
        <f t="shared" si="37"/>
        <v>7.5075000000000003E-3</v>
      </c>
      <c r="AF66" s="122">
        <f t="shared" si="37"/>
        <v>7.423333333333333E-3</v>
      </c>
      <c r="AG66" s="122">
        <f t="shared" si="37"/>
        <v>7.423333333333333E-3</v>
      </c>
      <c r="AH66" s="122">
        <f t="shared" si="37"/>
        <v>7.423333333333333E-3</v>
      </c>
      <c r="AI66" s="122">
        <f t="shared" si="37"/>
        <v>7.423333333333333E-3</v>
      </c>
      <c r="AJ66" s="122">
        <f t="shared" si="37"/>
        <v>7.423333333333333E-3</v>
      </c>
      <c r="AK66" s="122">
        <f t="shared" si="37"/>
        <v>7.423333333333333E-3</v>
      </c>
      <c r="AL66" s="122">
        <f t="shared" si="37"/>
        <v>7.423333333333333E-3</v>
      </c>
      <c r="AM66" s="317">
        <f>AM26</f>
        <v>7.3283333333333334E-3</v>
      </c>
      <c r="AN66" s="317">
        <f t="shared" ref="AN66:AX66" si="38">AN26</f>
        <v>7.3283333333333334E-3</v>
      </c>
      <c r="AO66" s="317">
        <f t="shared" si="38"/>
        <v>7.3283333333333334E-3</v>
      </c>
      <c r="AP66" s="317">
        <f t="shared" si="38"/>
        <v>7.3283333333333334E-3</v>
      </c>
      <c r="AQ66" s="317">
        <f t="shared" si="38"/>
        <v>7.3283333333333334E-3</v>
      </c>
      <c r="AR66" s="317">
        <f t="shared" si="38"/>
        <v>7.3283333333333334E-3</v>
      </c>
      <c r="AS66" s="317">
        <f t="shared" si="38"/>
        <v>7.3283333333333334E-3</v>
      </c>
      <c r="AT66" s="317">
        <f t="shared" si="38"/>
        <v>7.3283333333333334E-3</v>
      </c>
      <c r="AU66" s="317">
        <f t="shared" si="38"/>
        <v>7.3283333333333334E-3</v>
      </c>
      <c r="AV66" s="317">
        <f t="shared" si="38"/>
        <v>7.3283333333333334E-3</v>
      </c>
      <c r="AW66" s="317">
        <f t="shared" si="38"/>
        <v>7.3283333333333334E-3</v>
      </c>
      <c r="AX66" s="317">
        <f t="shared" si="38"/>
        <v>7.3283333333333334E-3</v>
      </c>
    </row>
    <row r="67" spans="1:50">
      <c r="A67" s="72">
        <v>59</v>
      </c>
      <c r="B67" s="5" t="s">
        <v>152</v>
      </c>
      <c r="C67" s="60"/>
      <c r="D67" s="60"/>
      <c r="E67" s="60">
        <f t="shared" ref="E67:N67" si="39">E65*E66</f>
        <v>160.89644900989094</v>
      </c>
      <c r="F67" s="60">
        <f t="shared" si="39"/>
        <v>163.00691686972201</v>
      </c>
      <c r="G67" s="60">
        <f t="shared" si="39"/>
        <v>165.98781725867775</v>
      </c>
      <c r="H67" s="60">
        <f t="shared" si="39"/>
        <v>169.16457911535207</v>
      </c>
      <c r="I67" s="60">
        <f t="shared" si="39"/>
        <v>171.91543986169503</v>
      </c>
      <c r="J67" s="60">
        <f t="shared" si="39"/>
        <v>174.08187792607339</v>
      </c>
      <c r="K67" s="60">
        <f t="shared" si="39"/>
        <v>177.94620716718501</v>
      </c>
      <c r="L67" s="60">
        <f t="shared" si="39"/>
        <v>181.66900813693232</v>
      </c>
      <c r="M67" s="60">
        <f t="shared" si="39"/>
        <v>183.43850657738764</v>
      </c>
      <c r="N67" s="60">
        <f t="shared" si="39"/>
        <v>187.970605630694</v>
      </c>
      <c r="O67" s="60">
        <f t="shared" ref="O67:Z67" si="40">O65*O66</f>
        <v>202.00684471804612</v>
      </c>
      <c r="P67" s="60">
        <f t="shared" si="40"/>
        <v>205.28266073772625</v>
      </c>
      <c r="Q67" s="60">
        <f t="shared" si="40"/>
        <v>210.94912946586183</v>
      </c>
      <c r="R67" s="60">
        <f t="shared" si="40"/>
        <v>219.42268033923989</v>
      </c>
      <c r="S67" s="60">
        <f t="shared" si="40"/>
        <v>232.87436706983888</v>
      </c>
      <c r="T67" s="60">
        <f t="shared" si="40"/>
        <v>240.32945146611377</v>
      </c>
      <c r="U67" s="60">
        <f t="shared" si="40"/>
        <v>250.42274964249847</v>
      </c>
      <c r="V67" s="60">
        <f t="shared" si="40"/>
        <v>272.40510077319453</v>
      </c>
      <c r="W67" s="60">
        <f t="shared" si="40"/>
        <v>293.9942207776071</v>
      </c>
      <c r="X67" s="60">
        <f t="shared" si="40"/>
        <v>298.22126308747727</v>
      </c>
      <c r="Y67" s="60">
        <f t="shared" si="40"/>
        <v>283.2127658358765</v>
      </c>
      <c r="Z67" s="60">
        <f t="shared" si="40"/>
        <v>286.6068606260049</v>
      </c>
      <c r="AA67" s="60">
        <f t="shared" ref="AA67:AX67" si="41">AA65*AA66</f>
        <v>297.61655420850775</v>
      </c>
      <c r="AB67" s="60">
        <f t="shared" si="41"/>
        <v>297.92118501149156</v>
      </c>
      <c r="AC67" s="60">
        <f t="shared" si="41"/>
        <v>303.45621522336887</v>
      </c>
      <c r="AD67" s="60">
        <f t="shared" si="41"/>
        <v>311.59871420075484</v>
      </c>
      <c r="AE67" s="60">
        <f t="shared" si="41"/>
        <v>320.1536675375728</v>
      </c>
      <c r="AF67" s="60">
        <f t="shared" si="41"/>
        <v>295.64394501986226</v>
      </c>
      <c r="AG67" s="60">
        <f t="shared" si="41"/>
        <v>273.12930196444921</v>
      </c>
      <c r="AH67" s="60">
        <f t="shared" si="41"/>
        <v>281.28054121844684</v>
      </c>
      <c r="AI67" s="60">
        <f t="shared" si="41"/>
        <v>292.97613192081764</v>
      </c>
      <c r="AJ67" s="60">
        <f t="shared" si="41"/>
        <v>313.76781502687606</v>
      </c>
      <c r="AK67" s="60">
        <f t="shared" si="41"/>
        <v>330.13353474192741</v>
      </c>
      <c r="AL67" s="60">
        <f t="shared" si="41"/>
        <v>343.45584114295025</v>
      </c>
      <c r="AM67" s="474">
        <f t="shared" si="41"/>
        <v>354.75780700540537</v>
      </c>
      <c r="AN67" s="474">
        <f t="shared" si="41"/>
        <v>367.15308051957334</v>
      </c>
      <c r="AO67" s="474">
        <f t="shared" si="41"/>
        <v>385.77512996109135</v>
      </c>
      <c r="AP67" s="474">
        <f t="shared" si="41"/>
        <v>403.90891715458105</v>
      </c>
      <c r="AQ67" s="474">
        <f t="shared" si="41"/>
        <v>421.18893555634753</v>
      </c>
      <c r="AR67" s="474">
        <f t="shared" si="41"/>
        <v>452.34131068922761</v>
      </c>
      <c r="AS67" s="474">
        <f t="shared" si="41"/>
        <v>489.53631284241698</v>
      </c>
      <c r="AT67" s="474">
        <f t="shared" si="41"/>
        <v>530.68724439718574</v>
      </c>
      <c r="AU67" s="474">
        <f t="shared" si="41"/>
        <v>602.77602491118137</v>
      </c>
      <c r="AV67" s="474">
        <f t="shared" si="41"/>
        <v>708.18850199195504</v>
      </c>
      <c r="AW67" s="474">
        <f t="shared" si="41"/>
        <v>852.4320111365198</v>
      </c>
      <c r="AX67" s="474">
        <f t="shared" si="41"/>
        <v>1032.2457928192491</v>
      </c>
    </row>
    <row r="68" spans="1:50">
      <c r="A68" s="73">
        <v>60</v>
      </c>
      <c r="B68" s="5" t="s">
        <v>151</v>
      </c>
      <c r="C68" s="65"/>
      <c r="D68" s="65"/>
      <c r="E68" s="65">
        <f t="shared" ref="E68:Z68" si="42">E60</f>
        <v>75.907920230459538</v>
      </c>
      <c r="F68" s="65">
        <f t="shared" si="42"/>
        <v>76.903611535402405</v>
      </c>
      <c r="G68" s="65">
        <f t="shared" si="42"/>
        <v>78.309943819353578</v>
      </c>
      <c r="H68" s="65">
        <f t="shared" si="42"/>
        <v>79.808680554141347</v>
      </c>
      <c r="I68" s="65">
        <f t="shared" si="42"/>
        <v>81.106484040477497</v>
      </c>
      <c r="J68" s="65">
        <f t="shared" si="42"/>
        <v>82.128568825269141</v>
      </c>
      <c r="K68" s="65">
        <f t="shared" si="42"/>
        <v>83.951687160051492</v>
      </c>
      <c r="L68" s="65">
        <f t="shared" si="42"/>
        <v>85.708033636466538</v>
      </c>
      <c r="M68" s="65">
        <f t="shared" si="42"/>
        <v>86.54284897721277</v>
      </c>
      <c r="N68" s="65">
        <f t="shared" si="42"/>
        <v>88.681009835015445</v>
      </c>
      <c r="O68" s="65">
        <f t="shared" si="42"/>
        <v>96.050563152624306</v>
      </c>
      <c r="P68" s="65">
        <f t="shared" si="42"/>
        <v>97.608153981074963</v>
      </c>
      <c r="Q68" s="65">
        <f t="shared" si="42"/>
        <v>100.30245590624995</v>
      </c>
      <c r="R68" s="65">
        <f t="shared" si="42"/>
        <v>104.33147461970256</v>
      </c>
      <c r="S68" s="65">
        <f t="shared" si="42"/>
        <v>110.72750493759762</v>
      </c>
      <c r="T68" s="65">
        <f t="shared" si="42"/>
        <v>114.27226440338384</v>
      </c>
      <c r="U68" s="65">
        <f t="shared" si="42"/>
        <v>119.07143996390217</v>
      </c>
      <c r="V68" s="65">
        <f t="shared" si="42"/>
        <v>129.52364695505884</v>
      </c>
      <c r="W68" s="65">
        <f t="shared" si="42"/>
        <v>139.78887920793784</v>
      </c>
      <c r="X68" s="65">
        <f t="shared" si="42"/>
        <v>141.79876580247659</v>
      </c>
      <c r="Y68" s="65">
        <f t="shared" si="42"/>
        <v>134.66249973420187</v>
      </c>
      <c r="Z68" s="65">
        <f t="shared" si="42"/>
        <v>136.27632445832501</v>
      </c>
      <c r="AA68" s="65">
        <f t="shared" ref="AA68:AX68" si="43">AA60</f>
        <v>141.78183499693461</v>
      </c>
      <c r="AB68" s="65">
        <f t="shared" si="43"/>
        <v>141.92696264541763</v>
      </c>
      <c r="AC68" s="65">
        <f t="shared" si="43"/>
        <v>144.56392251760721</v>
      </c>
      <c r="AD68" s="65">
        <f t="shared" si="43"/>
        <v>148.44284121744874</v>
      </c>
      <c r="AE68" s="65">
        <f t="shared" si="43"/>
        <v>152.51837789143462</v>
      </c>
      <c r="AF68" s="65">
        <f t="shared" si="43"/>
        <v>142.18703133127076</v>
      </c>
      <c r="AG68" s="65">
        <f t="shared" si="43"/>
        <v>131.36012654796525</v>
      </c>
      <c r="AH68" s="65">
        <f t="shared" si="43"/>
        <v>135.28041517983783</v>
      </c>
      <c r="AI68" s="65">
        <f t="shared" si="43"/>
        <v>140.9054004921569</v>
      </c>
      <c r="AJ68" s="65">
        <f t="shared" si="43"/>
        <v>150.90525279949185</v>
      </c>
      <c r="AK68" s="65">
        <f t="shared" si="43"/>
        <v>158.7757840891216</v>
      </c>
      <c r="AL68" s="65">
        <f t="shared" si="43"/>
        <v>165.1833182381377</v>
      </c>
      <c r="AM68" s="320">
        <f t="shared" si="43"/>
        <v>172.34848210908103</v>
      </c>
      <c r="AN68" s="320">
        <f t="shared" si="43"/>
        <v>178.37033747490068</v>
      </c>
      <c r="AO68" s="320">
        <f t="shared" si="43"/>
        <v>187.41724491084116</v>
      </c>
      <c r="AP68" s="320">
        <f t="shared" si="43"/>
        <v>196.22710428732813</v>
      </c>
      <c r="AQ68" s="320">
        <f t="shared" si="43"/>
        <v>204.62203568518206</v>
      </c>
      <c r="AR68" s="320">
        <f t="shared" si="43"/>
        <v>219.75633182430354</v>
      </c>
      <c r="AS68" s="320">
        <f t="shared" si="43"/>
        <v>237.82649926002708</v>
      </c>
      <c r="AT68" s="320">
        <f t="shared" si="43"/>
        <v>257.81833489478248</v>
      </c>
      <c r="AU68" s="320">
        <f t="shared" si="43"/>
        <v>292.84012878139555</v>
      </c>
      <c r="AV68" s="320">
        <f t="shared" si="43"/>
        <v>344.05146114706412</v>
      </c>
      <c r="AW68" s="320">
        <f t="shared" si="43"/>
        <v>414.12736749841991</v>
      </c>
      <c r="AX68" s="320">
        <f t="shared" si="43"/>
        <v>501.4844024741019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44">E67+E68</f>
        <v>236.80436924035047</v>
      </c>
      <c r="F69" s="66">
        <f t="shared" si="44"/>
        <v>239.91052840512441</v>
      </c>
      <c r="G69" s="66">
        <f t="shared" si="44"/>
        <v>244.29776107803133</v>
      </c>
      <c r="H69" s="66">
        <f t="shared" si="44"/>
        <v>248.97325966949342</v>
      </c>
      <c r="I69" s="66">
        <f t="shared" si="44"/>
        <v>253.02192390217255</v>
      </c>
      <c r="J69" s="66">
        <f t="shared" si="44"/>
        <v>256.21044675134254</v>
      </c>
      <c r="K69" s="66">
        <f t="shared" si="44"/>
        <v>261.89789432723649</v>
      </c>
      <c r="L69" s="66">
        <f t="shared" si="44"/>
        <v>267.37704177339884</v>
      </c>
      <c r="M69" s="66">
        <f t="shared" si="44"/>
        <v>269.98135555460044</v>
      </c>
      <c r="N69" s="66">
        <f t="shared" si="44"/>
        <v>276.65161546570943</v>
      </c>
      <c r="O69" s="66">
        <f t="shared" ref="O69:Z69" si="45">O67+O68</f>
        <v>298.05740787067043</v>
      </c>
      <c r="P69" s="66">
        <f t="shared" si="45"/>
        <v>302.89081471880121</v>
      </c>
      <c r="Q69" s="66">
        <f t="shared" si="45"/>
        <v>311.25158537211178</v>
      </c>
      <c r="R69" s="66">
        <f t="shared" si="45"/>
        <v>323.75415495894242</v>
      </c>
      <c r="S69" s="66">
        <f t="shared" si="45"/>
        <v>343.6018720074365</v>
      </c>
      <c r="T69" s="66">
        <f t="shared" si="45"/>
        <v>354.60171586949764</v>
      </c>
      <c r="U69" s="66">
        <f t="shared" si="45"/>
        <v>369.49418960640065</v>
      </c>
      <c r="V69" s="66">
        <f t="shared" si="45"/>
        <v>401.92874772825337</v>
      </c>
      <c r="W69" s="66">
        <f t="shared" si="45"/>
        <v>433.78309998554494</v>
      </c>
      <c r="X69" s="66">
        <f t="shared" si="45"/>
        <v>440.02002888995389</v>
      </c>
      <c r="Y69" s="66">
        <f t="shared" si="45"/>
        <v>417.87526557007834</v>
      </c>
      <c r="Z69" s="66">
        <f t="shared" si="45"/>
        <v>422.88318508432991</v>
      </c>
      <c r="AA69" s="66">
        <f t="shared" ref="AA69:AX69" si="46">AA67+AA68</f>
        <v>439.39838920544236</v>
      </c>
      <c r="AB69" s="66">
        <f t="shared" si="46"/>
        <v>439.84814765690919</v>
      </c>
      <c r="AC69" s="66">
        <f t="shared" si="46"/>
        <v>448.02013774097611</v>
      </c>
      <c r="AD69" s="66">
        <f t="shared" si="46"/>
        <v>460.04155541820359</v>
      </c>
      <c r="AE69" s="66">
        <f t="shared" si="46"/>
        <v>472.67204542900743</v>
      </c>
      <c r="AF69" s="66">
        <f t="shared" si="46"/>
        <v>437.83097635113302</v>
      </c>
      <c r="AG69" s="66">
        <f t="shared" si="46"/>
        <v>404.48942851241446</v>
      </c>
      <c r="AH69" s="66">
        <f t="shared" si="46"/>
        <v>416.5609563982847</v>
      </c>
      <c r="AI69" s="66">
        <f t="shared" si="46"/>
        <v>433.88153241297454</v>
      </c>
      <c r="AJ69" s="66">
        <f t="shared" si="46"/>
        <v>464.67306782636791</v>
      </c>
      <c r="AK69" s="66">
        <f t="shared" si="46"/>
        <v>488.90931883104901</v>
      </c>
      <c r="AL69" s="66">
        <f t="shared" si="46"/>
        <v>508.63915938108795</v>
      </c>
      <c r="AM69" s="483">
        <f>AM67+AM68</f>
        <v>527.10628911448634</v>
      </c>
      <c r="AN69" s="483">
        <f t="shared" si="46"/>
        <v>545.52341799447402</v>
      </c>
      <c r="AO69" s="483">
        <f t="shared" si="46"/>
        <v>573.19237487193254</v>
      </c>
      <c r="AP69" s="483">
        <f t="shared" si="46"/>
        <v>600.13602144190918</v>
      </c>
      <c r="AQ69" s="483">
        <f t="shared" si="46"/>
        <v>625.81097124152961</v>
      </c>
      <c r="AR69" s="483">
        <f t="shared" si="46"/>
        <v>672.09764251353113</v>
      </c>
      <c r="AS69" s="483">
        <f t="shared" si="46"/>
        <v>727.36281210244408</v>
      </c>
      <c r="AT69" s="483">
        <f t="shared" si="46"/>
        <v>788.50557929196816</v>
      </c>
      <c r="AU69" s="483">
        <f t="shared" si="46"/>
        <v>895.61615369257697</v>
      </c>
      <c r="AV69" s="483">
        <f t="shared" si="46"/>
        <v>1052.2399631390192</v>
      </c>
      <c r="AW69" s="483">
        <f t="shared" si="46"/>
        <v>1266.5593786349398</v>
      </c>
      <c r="AX69" s="483">
        <f t="shared" si="46"/>
        <v>1533.730195293351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  <row r="73" spans="1:50" ht="15">
      <c r="B73" s="98"/>
      <c r="AM73" s="355"/>
      <c r="AN73" s="355"/>
      <c r="AO73" s="355"/>
      <c r="AP73" s="355"/>
      <c r="AQ73" s="355"/>
      <c r="AR73" s="355"/>
      <c r="AS73" s="355"/>
      <c r="AT73" s="355"/>
      <c r="AU73" s="355"/>
      <c r="AV73" s="355"/>
      <c r="AW73" s="355"/>
      <c r="AX73" s="355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42" right="0.35" top="0.36" bottom="0.27" header="0.25" footer="0.16"/>
  <pageSetup scale="51" fitToHeight="0" orientation="portrait" cellComments="asDisplayed" r:id="rId1"/>
  <headerFooter alignWithMargins="0">
    <oddHeader>&amp;RAttachment 4
WP-Schedule 3
CWIP Balancing Acct 12-31-11 Balance
&amp;P of &amp;N</oddHeader>
    <oddFooter>&amp;R&amp;A</oddFooter>
  </headerFooter>
  <rowBreaks count="1" manualBreakCount="1">
    <brk id="72" max="1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2"/>
  <sheetViews>
    <sheetView view="pageBreakPreview" zoomScale="60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0" sqref="B10"/>
    </sheetView>
  </sheetViews>
  <sheetFormatPr defaultRowHeight="12.75" outlineLevelCol="2"/>
  <cols>
    <col min="1" max="1" width="3.85546875" style="74" bestFit="1" customWidth="1"/>
    <col min="2" max="2" width="48.7109375" customWidth="1"/>
    <col min="3" max="3" width="7.42578125" hidden="1" customWidth="1"/>
    <col min="4" max="4" width="8.28515625" hidden="1" customWidth="1"/>
    <col min="5" max="5" width="9.28515625" hidden="1" customWidth="1" outlineLevel="1" collapsed="1"/>
    <col min="6" max="8" width="9.28515625" hidden="1" customWidth="1" outlineLevel="1"/>
    <col min="9" max="23" width="10.28515625" hidden="1" customWidth="1" outlineLevel="1"/>
    <col min="24" max="25" width="10.28515625" hidden="1" customWidth="1" outlineLevel="2"/>
    <col min="26" max="26" width="10.28515625" hidden="1" customWidth="1" outlineLevel="1"/>
    <col min="27" max="27" width="10.28515625" hidden="1" customWidth="1" outlineLevel="1" collapsed="1"/>
    <col min="28" max="35" width="10.28515625" hidden="1" customWidth="1" outlineLevel="1"/>
    <col min="36" max="36" width="10.28515625" customWidth="1" collapsed="1"/>
    <col min="37" max="38" width="10.28515625" customWidth="1"/>
    <col min="39" max="40" width="10.28515625" bestFit="1" customWidth="1"/>
    <col min="41" max="48" width="10.28515625" customWidth="1"/>
    <col min="49" max="49" width="11.85546875" bestFit="1" customWidth="1"/>
    <col min="50" max="50" width="10.28515625" customWidth="1"/>
  </cols>
  <sheetData>
    <row r="1" spans="1:50" ht="15.75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1"/>
      <c r="W1" s="691"/>
      <c r="X1" s="691"/>
      <c r="Y1" s="691"/>
      <c r="Z1" s="691"/>
      <c r="AA1" s="691"/>
      <c r="AB1" s="691"/>
      <c r="AC1" s="691"/>
      <c r="AD1" s="691"/>
      <c r="AE1" s="691"/>
      <c r="AF1" s="691"/>
      <c r="AG1" s="691"/>
      <c r="AH1" s="691"/>
      <c r="AI1" s="691"/>
      <c r="AJ1" s="691"/>
      <c r="AK1" s="691"/>
      <c r="AL1" s="691"/>
      <c r="AM1" s="691"/>
      <c r="AN1" s="691"/>
      <c r="AO1" s="691"/>
      <c r="AP1" s="691"/>
      <c r="AQ1" s="691"/>
      <c r="AR1" s="691"/>
      <c r="AS1" s="691"/>
      <c r="AT1" s="691"/>
      <c r="AU1" s="691"/>
      <c r="AV1" s="691"/>
      <c r="AW1" s="691"/>
      <c r="AX1" s="691"/>
    </row>
    <row r="2" spans="1:50" ht="15">
      <c r="A2" s="692" t="s">
        <v>6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</row>
    <row r="3" spans="1:50" ht="15">
      <c r="A3" s="706" t="s">
        <v>275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706"/>
      <c r="AU3" s="706"/>
      <c r="AV3" s="706"/>
      <c r="AW3" s="706"/>
      <c r="AX3" s="706"/>
    </row>
    <row r="4" spans="1:50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  <c r="AX4" s="693"/>
    </row>
    <row r="5" spans="1:50" ht="15.75">
      <c r="A5" s="691" t="s">
        <v>7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  <c r="AA5" s="691"/>
      <c r="AB5" s="691"/>
      <c r="AC5" s="691"/>
      <c r="AD5" s="691"/>
      <c r="AE5" s="691"/>
      <c r="AF5" s="691"/>
      <c r="AG5" s="691"/>
      <c r="AH5" s="691"/>
      <c r="AI5" s="691"/>
      <c r="AJ5" s="691"/>
      <c r="AK5" s="691"/>
      <c r="AL5" s="691"/>
      <c r="AM5" s="691"/>
      <c r="AN5" s="691"/>
      <c r="AO5" s="691"/>
      <c r="AP5" s="691"/>
      <c r="AQ5" s="691"/>
      <c r="AR5" s="691"/>
      <c r="AS5" s="691"/>
      <c r="AT5" s="691"/>
      <c r="AU5" s="691"/>
      <c r="AV5" s="691"/>
      <c r="AW5" s="691"/>
      <c r="AX5" s="691"/>
    </row>
    <row r="6" spans="1:50">
      <c r="A6" s="72"/>
      <c r="C6" t="s">
        <v>238</v>
      </c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7">
        <v>2008</v>
      </c>
      <c r="D16" s="688"/>
      <c r="E16" s="688"/>
      <c r="F16" s="688"/>
      <c r="G16" s="688"/>
      <c r="H16" s="688"/>
      <c r="I16" s="688"/>
      <c r="J16" s="688"/>
      <c r="K16" s="688"/>
      <c r="L16" s="688"/>
      <c r="M16" s="688"/>
      <c r="N16" s="689"/>
      <c r="O16" s="687">
        <v>2009</v>
      </c>
      <c r="P16" s="688"/>
      <c r="Q16" s="688"/>
      <c r="R16" s="688"/>
      <c r="S16" s="688"/>
      <c r="T16" s="688"/>
      <c r="U16" s="688"/>
      <c r="V16" s="688"/>
      <c r="W16" s="688"/>
      <c r="X16" s="688"/>
      <c r="Y16" s="688"/>
      <c r="Z16" s="689"/>
      <c r="AA16" s="707">
        <v>2010</v>
      </c>
      <c r="AB16" s="708"/>
      <c r="AC16" s="708"/>
      <c r="AD16" s="708"/>
      <c r="AE16" s="708"/>
      <c r="AF16" s="708"/>
      <c r="AG16" s="708"/>
      <c r="AH16" s="708"/>
      <c r="AI16" s="708"/>
      <c r="AJ16" s="708"/>
      <c r="AK16" s="708"/>
      <c r="AL16" s="709"/>
      <c r="AM16" s="707">
        <v>2011</v>
      </c>
      <c r="AN16" s="708"/>
      <c r="AO16" s="708"/>
      <c r="AP16" s="708"/>
      <c r="AQ16" s="708"/>
      <c r="AR16" s="708"/>
      <c r="AS16" s="708"/>
      <c r="AT16" s="708"/>
      <c r="AU16" s="708"/>
      <c r="AV16" s="708"/>
      <c r="AW16" s="708"/>
      <c r="AX16" s="709"/>
    </row>
    <row r="17" spans="1:50" ht="21" thickBot="1">
      <c r="A17" s="72">
        <v>9</v>
      </c>
      <c r="B17" s="102" t="s">
        <v>330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42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'Tehachapi CWIP Balance'!E17+'Def Tax'!F314</f>
        <v>53022.905468960082</v>
      </c>
      <c r="F19" s="164">
        <f>E20</f>
        <v>61609.31016541869</v>
      </c>
      <c r="G19" s="164">
        <f>F20</f>
        <v>69949.775634971083</v>
      </c>
      <c r="H19" s="164">
        <f>IF(H20=0,0,G20)</f>
        <v>81606.638912673516</v>
      </c>
      <c r="I19" s="164">
        <f t="shared" ref="I19:N19" si="0">IF(I20=0,0,H20)</f>
        <v>101714.25983598316</v>
      </c>
      <c r="J19" s="164">
        <f t="shared" si="0"/>
        <v>114663.08616430769</v>
      </c>
      <c r="K19" s="164">
        <f t="shared" si="0"/>
        <v>135884.96555097876</v>
      </c>
      <c r="L19" s="164">
        <f t="shared" si="0"/>
        <v>144517.141660478</v>
      </c>
      <c r="M19" s="164">
        <f t="shared" si="0"/>
        <v>170084.50563645241</v>
      </c>
      <c r="N19" s="164">
        <f t="shared" si="0"/>
        <v>177178.23487928408</v>
      </c>
      <c r="O19" s="164">
        <f t="shared" ref="O19:Z19" si="1">IF(O20=0,0,N20)</f>
        <v>212565.84791928408</v>
      </c>
      <c r="P19" s="164">
        <f t="shared" si="1"/>
        <v>217545.98968107594</v>
      </c>
      <c r="Q19" s="164">
        <f t="shared" si="1"/>
        <v>220657.83951332743</v>
      </c>
      <c r="R19" s="164">
        <f t="shared" si="1"/>
        <v>240535.25517494266</v>
      </c>
      <c r="S19" s="164">
        <f t="shared" si="1"/>
        <v>261629.72975030565</v>
      </c>
      <c r="T19" s="164">
        <f t="shared" si="1"/>
        <v>289303.85181434039</v>
      </c>
      <c r="U19" s="164">
        <f t="shared" si="1"/>
        <v>315720.86293470429</v>
      </c>
      <c r="V19" s="164">
        <f t="shared" si="1"/>
        <v>341607.22455216048</v>
      </c>
      <c r="W19" s="164">
        <f t="shared" si="1"/>
        <v>350000.05152197951</v>
      </c>
      <c r="X19" s="164">
        <f t="shared" si="1"/>
        <v>371653.27911447984</v>
      </c>
      <c r="Y19" s="164">
        <f t="shared" si="1"/>
        <v>247891.45642149457</v>
      </c>
      <c r="Z19" s="164">
        <f t="shared" si="1"/>
        <v>169562.20838090341</v>
      </c>
      <c r="AA19" s="164">
        <f t="shared" ref="AA19:AL19" si="2">IF(AA20=0,0,Z20)</f>
        <v>111709.15246090339</v>
      </c>
      <c r="AB19" s="164">
        <f t="shared" si="2"/>
        <v>124097.08125500736</v>
      </c>
      <c r="AC19" s="164">
        <f t="shared" si="2"/>
        <v>146013.63204572711</v>
      </c>
      <c r="AD19" s="164">
        <f t="shared" si="2"/>
        <v>161397.25330493384</v>
      </c>
      <c r="AE19" s="164">
        <f t="shared" si="2"/>
        <v>189214.53585196909</v>
      </c>
      <c r="AF19" s="164">
        <f t="shared" si="2"/>
        <v>221856.92500935565</v>
      </c>
      <c r="AG19" s="164">
        <f t="shared" si="2"/>
        <v>246728.4661981549</v>
      </c>
      <c r="AH19" s="164">
        <f t="shared" si="2"/>
        <v>303036.90488785517</v>
      </c>
      <c r="AI19" s="164">
        <f t="shared" si="2"/>
        <v>338792.20541848725</v>
      </c>
      <c r="AJ19" s="164">
        <f t="shared" si="2"/>
        <v>372230.36093105609</v>
      </c>
      <c r="AK19" s="164">
        <f t="shared" si="2"/>
        <v>410483.29081399273</v>
      </c>
      <c r="AL19" s="164">
        <f t="shared" si="2"/>
        <v>468760.55971215805</v>
      </c>
      <c r="AM19" s="485">
        <f t="shared" ref="AM19" si="3">IF(AM20=0,0,AL20)</f>
        <v>564619.30499215808</v>
      </c>
      <c r="AN19" s="485">
        <f t="shared" ref="AN19" si="4">IF(AN20=0,0,AM20)</f>
        <v>592172.60932199424</v>
      </c>
      <c r="AO19" s="485">
        <f t="shared" ref="AO19" si="5">IF(AO20=0,0,AN20)</f>
        <v>638280.75065133325</v>
      </c>
      <c r="AP19" s="485">
        <f t="shared" ref="AP19" si="6">IF(AP20=0,0,AO20)</f>
        <v>691692.32754359429</v>
      </c>
      <c r="AQ19" s="485">
        <f t="shared" ref="AQ19" si="7">IF(AQ20=0,0,AP20)</f>
        <v>736946.53452334728</v>
      </c>
      <c r="AR19" s="485">
        <f t="shared" ref="AR19" si="8">IF(AR20=0,0,AQ20)</f>
        <v>787430.25569096336</v>
      </c>
      <c r="AS19" s="485">
        <f t="shared" ref="AS19" si="9">IF(AS20=0,0,AR20)</f>
        <v>803639.72898806701</v>
      </c>
      <c r="AT19" s="485">
        <f t="shared" ref="AT19" si="10">IF(AT20=0,0,AS20)</f>
        <v>839899.76357992319</v>
      </c>
      <c r="AU19" s="485">
        <f t="shared" ref="AU19" si="11">IF(AU20=0,0,AT20)</f>
        <v>874439.9890091524</v>
      </c>
      <c r="AV19" s="485">
        <f t="shared" ref="AV19" si="12">IF(AV20=0,0,AU20)</f>
        <v>926376.97915851744</v>
      </c>
      <c r="AW19" s="485">
        <f t="shared" ref="AW19" si="13">IF(AW20=0,0,AV20)</f>
        <v>965876.01961120463</v>
      </c>
      <c r="AX19" s="485">
        <f t="shared" ref="AX19" si="14">IF(AX20=0,0,AW20)</f>
        <v>1018306.7899090585</v>
      </c>
    </row>
    <row r="20" spans="1:50">
      <c r="A20" s="73">
        <v>12</v>
      </c>
      <c r="B20" s="5" t="s">
        <v>147</v>
      </c>
      <c r="C20" s="8"/>
      <c r="D20" s="8"/>
      <c r="E20" s="196">
        <f>'Tehachapi CWIP Balance'!E18+'Def Tax'!F315</f>
        <v>61609.31016541869</v>
      </c>
      <c r="F20" s="196">
        <f>'Tehachapi CWIP Balance'!E19+'Def Tax'!F316</f>
        <v>69949.775634971083</v>
      </c>
      <c r="G20" s="196">
        <f>'Tehachapi CWIP Balance'!E20+'Def Tax'!F317</f>
        <v>81606.638912673516</v>
      </c>
      <c r="H20" s="196">
        <f>'Tehachapi CWIP Balance'!E21+'Def Tax'!F318</f>
        <v>101714.25983598316</v>
      </c>
      <c r="I20" s="196">
        <f>'Tehachapi CWIP Balance'!E22+'Def Tax'!F319</f>
        <v>114663.08616430769</v>
      </c>
      <c r="J20" s="196">
        <f>'Tehachapi CWIP Balance'!E23+'Def Tax'!F320</f>
        <v>135884.96555097876</v>
      </c>
      <c r="K20" s="196">
        <f>'Tehachapi CWIP Balance'!E24+'Def Tax'!F321</f>
        <v>144517.141660478</v>
      </c>
      <c r="L20" s="196">
        <f>'Tehachapi CWIP Balance'!E25+'Def Tax'!F322</f>
        <v>170084.50563645241</v>
      </c>
      <c r="M20" s="196">
        <f>'Tehachapi CWIP Balance'!E26+'Def Tax'!F323</f>
        <v>177178.23487928408</v>
      </c>
      <c r="N20" s="196">
        <f>'Tehachapi CWIP Balance'!E27+'Def Tax'!F324</f>
        <v>212565.84791928408</v>
      </c>
      <c r="O20" s="196">
        <f>'Tehachapi CWIP Balance'!E28+'Def Tax'!F327</f>
        <v>217545.98968107594</v>
      </c>
      <c r="P20" s="196">
        <f>'Tehachapi CWIP Balance'!E29+'Def Tax'!F328</f>
        <v>220657.83951332743</v>
      </c>
      <c r="Q20" s="196">
        <f>'Tehachapi CWIP Balance'!E30+'Def Tax'!F329</f>
        <v>240535.25517494266</v>
      </c>
      <c r="R20" s="196">
        <f>'Tehachapi CWIP Balance'!E31+'Def Tax'!F330</f>
        <v>261629.72975030565</v>
      </c>
      <c r="S20" s="301">
        <f>'Tehachapi CWIP Balance'!E32+'Def Tax'!F334</f>
        <v>289303.85181434039</v>
      </c>
      <c r="T20" s="196">
        <f>'Tehachapi CWIP Balance'!E33+'Def Tax'!F336</f>
        <v>315720.86293470429</v>
      </c>
      <c r="U20" s="196">
        <f>'Tehachapi CWIP Balance'!E34+'Def Tax'!F337</f>
        <v>341607.22455216048</v>
      </c>
      <c r="V20" s="196">
        <f>'Tehachapi CWIP Balance'!E35+'Def Tax'!F338</f>
        <v>350000.05152197951</v>
      </c>
      <c r="W20" s="196">
        <f>'Tehachapi CWIP Balance'!E36+'Def Tax'!F339</f>
        <v>371653.27911447984</v>
      </c>
      <c r="X20" s="301">
        <f>'Tehachapi CWIP Balance'!E37+'Def Tax'!F343</f>
        <v>247891.45642149457</v>
      </c>
      <c r="Y20" s="301">
        <f>'Tehachapi CWIP Balance'!E38+'Def Tax'!F347</f>
        <v>169562.20838090341</v>
      </c>
      <c r="Z20" s="196">
        <f>'Tehachapi CWIP Balance'!E39+'Def Tax'!F349</f>
        <v>111709.15246090339</v>
      </c>
      <c r="AA20" s="196">
        <f>'Tehachapi CWIP Balance'!E40+'Def Tax'!F355</f>
        <v>124097.08125500736</v>
      </c>
      <c r="AB20" s="196">
        <f>'Tehachapi CWIP Balance'!E41+'Def Tax'!F356</f>
        <v>146013.63204572711</v>
      </c>
      <c r="AC20" s="196">
        <f>'Tehachapi CWIP Balance'!E42+'Def Tax'!F357</f>
        <v>161397.25330493384</v>
      </c>
      <c r="AD20" s="196">
        <f>'Tehachapi CWIP Balance'!E43+'Def Tax'!F358</f>
        <v>189214.53585196909</v>
      </c>
      <c r="AE20" s="328">
        <f>'Tehachapi CWIP Balance'!E44+'Def Tax'!F359</f>
        <v>221856.92500935565</v>
      </c>
      <c r="AF20" s="196">
        <f>'Tehachapi CWIP Balance'!E45+'Def Tax'!F360</f>
        <v>246728.4661981549</v>
      </c>
      <c r="AG20" s="196">
        <f>'Tehachapi CWIP Balance'!E46+'Def Tax'!F361</f>
        <v>303036.90488785517</v>
      </c>
      <c r="AH20" s="196">
        <f>'Tehachapi CWIP Balance'!E47+'Def Tax'!F362</f>
        <v>338792.20541848725</v>
      </c>
      <c r="AI20" s="196">
        <f>'Tehachapi CWIP Balance'!E48+'Def Tax'!F363</f>
        <v>372230.36093105609</v>
      </c>
      <c r="AJ20" s="328">
        <f>'Tehachapi CWIP Balance'!E49+'Def Tax'!F364</f>
        <v>410483.29081399273</v>
      </c>
      <c r="AK20" s="328">
        <f>'Tehachapi CWIP Balance'!E50+'Def Tax'!F365</f>
        <v>468760.55971215805</v>
      </c>
      <c r="AL20" s="196">
        <f>'Tehachapi CWIP Balance'!$E51+'Def Tax'!$F366</f>
        <v>564619.30499215808</v>
      </c>
      <c r="AM20" s="328">
        <f>'Tehachapi CWIP Balance'!$E52+'Def Tax'!$F369</f>
        <v>592172.60932199424</v>
      </c>
      <c r="AN20" s="328">
        <f>'Tehachapi CWIP Balance'!$E53+'Def Tax'!$F370</f>
        <v>638280.75065133325</v>
      </c>
      <c r="AO20" s="328">
        <f>'Tehachapi CWIP Balance'!$E54+'Def Tax'!$F371</f>
        <v>691692.32754359429</v>
      </c>
      <c r="AP20" s="328">
        <f>'Tehachapi CWIP Balance'!$E55+'Def Tax'!$F372</f>
        <v>736946.53452334728</v>
      </c>
      <c r="AQ20" s="328">
        <f>'Tehachapi CWIP Balance'!$E56+'Def Tax'!$F373</f>
        <v>787430.25569096336</v>
      </c>
      <c r="AR20" s="328">
        <f>'Tehachapi CWIP Balance'!$E57+'Def Tax'!$F374</f>
        <v>803639.72898806701</v>
      </c>
      <c r="AS20" s="328">
        <f>'Tehachapi CWIP Balance'!$E58+'Def Tax'!$F375</f>
        <v>839899.76357992319</v>
      </c>
      <c r="AT20" s="328">
        <f>'Tehachapi CWIP Balance'!$E59+'Def Tax'!$F376</f>
        <v>874439.9890091524</v>
      </c>
      <c r="AU20" s="328">
        <f>'Tehachapi CWIP Balance'!$E60+'Def Tax'!$F377</f>
        <v>926376.97915851744</v>
      </c>
      <c r="AV20" s="328">
        <f>'Tehachapi CWIP Balance'!$E61+'Def Tax'!$F378</f>
        <v>965876.01961120463</v>
      </c>
      <c r="AW20" s="328">
        <f>'Tehachapi CWIP Balance'!$E62+'Def Tax'!$F380</f>
        <v>1018306.7899090585</v>
      </c>
      <c r="AX20" s="328">
        <f>'Tehachapi CWIP Balance'!$E63+'Def Tax'!$F384</f>
        <v>1073937.015411732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114632.21563437878</v>
      </c>
      <c r="F21" s="9">
        <f t="shared" si="15"/>
        <v>131559.08580038976</v>
      </c>
      <c r="G21" s="9">
        <f t="shared" si="15"/>
        <v>151556.41454764461</v>
      </c>
      <c r="H21" s="9">
        <f t="shared" si="15"/>
        <v>183320.89874865668</v>
      </c>
      <c r="I21" s="9">
        <f t="shared" si="15"/>
        <v>216377.34600029085</v>
      </c>
      <c r="J21" s="9">
        <f t="shared" si="15"/>
        <v>250548.05171528645</v>
      </c>
      <c r="K21" s="9">
        <f t="shared" si="15"/>
        <v>280402.10721145675</v>
      </c>
      <c r="L21" s="9">
        <f t="shared" si="15"/>
        <v>314601.64729693043</v>
      </c>
      <c r="M21" s="9">
        <f t="shared" si="15"/>
        <v>347262.74051573651</v>
      </c>
      <c r="N21" s="9">
        <f t="shared" si="15"/>
        <v>389744.08279856818</v>
      </c>
      <c r="O21" s="9">
        <f t="shared" ref="O21:Z21" si="16">SUM(O19:O20)</f>
        <v>430111.83760036004</v>
      </c>
      <c r="P21" s="9">
        <f t="shared" si="16"/>
        <v>438203.82919440337</v>
      </c>
      <c r="Q21" s="9">
        <f t="shared" si="16"/>
        <v>461193.09468827012</v>
      </c>
      <c r="R21" s="9">
        <f t="shared" si="16"/>
        <v>502164.98492524831</v>
      </c>
      <c r="S21" s="9">
        <f t="shared" si="16"/>
        <v>550933.58156464598</v>
      </c>
      <c r="T21" s="9">
        <f t="shared" si="16"/>
        <v>605024.71474904474</v>
      </c>
      <c r="U21" s="9">
        <f t="shared" si="16"/>
        <v>657328.08748686477</v>
      </c>
      <c r="V21" s="9">
        <f t="shared" si="16"/>
        <v>691607.27607413998</v>
      </c>
      <c r="W21" s="9">
        <f t="shared" si="16"/>
        <v>721653.3306364594</v>
      </c>
      <c r="X21" s="9">
        <f t="shared" si="16"/>
        <v>619544.73553597438</v>
      </c>
      <c r="Y21" s="9">
        <f t="shared" si="16"/>
        <v>417453.66480239795</v>
      </c>
      <c r="Z21" s="9">
        <f t="shared" si="16"/>
        <v>281271.3608418068</v>
      </c>
      <c r="AA21" s="9">
        <f t="shared" ref="AA21:AL21" si="17">SUM(AA19:AA20)</f>
        <v>235806.23371591076</v>
      </c>
      <c r="AB21" s="9">
        <f t="shared" si="17"/>
        <v>270110.71330073447</v>
      </c>
      <c r="AC21" s="9">
        <f t="shared" si="17"/>
        <v>307410.88535066094</v>
      </c>
      <c r="AD21" s="9">
        <f t="shared" si="17"/>
        <v>350611.78915690293</v>
      </c>
      <c r="AE21" s="9">
        <f t="shared" si="17"/>
        <v>411071.46086132474</v>
      </c>
      <c r="AF21" s="9">
        <f t="shared" si="17"/>
        <v>468585.39120751055</v>
      </c>
      <c r="AG21" s="9">
        <f t="shared" si="17"/>
        <v>549765.37108601001</v>
      </c>
      <c r="AH21" s="9">
        <f t="shared" si="17"/>
        <v>641829.11030634237</v>
      </c>
      <c r="AI21" s="9">
        <f t="shared" si="17"/>
        <v>711022.5663495434</v>
      </c>
      <c r="AJ21" s="9">
        <f t="shared" si="17"/>
        <v>782713.65174504882</v>
      </c>
      <c r="AK21" s="9">
        <f t="shared" si="17"/>
        <v>879243.85052615078</v>
      </c>
      <c r="AL21" s="9">
        <f t="shared" si="17"/>
        <v>1033379.8647043161</v>
      </c>
      <c r="AM21" s="472">
        <f t="shared" ref="AM21:AX21" si="18">SUM(AM19:AM20)</f>
        <v>1156791.9143141522</v>
      </c>
      <c r="AN21" s="472">
        <f t="shared" si="18"/>
        <v>1230453.3599733275</v>
      </c>
      <c r="AO21" s="472">
        <f t="shared" si="18"/>
        <v>1329973.0781949274</v>
      </c>
      <c r="AP21" s="472">
        <f t="shared" si="18"/>
        <v>1428638.8620669416</v>
      </c>
      <c r="AQ21" s="472">
        <f t="shared" si="18"/>
        <v>1524376.7902143106</v>
      </c>
      <c r="AR21" s="472">
        <f t="shared" si="18"/>
        <v>1591069.9846790303</v>
      </c>
      <c r="AS21" s="472">
        <f t="shared" si="18"/>
        <v>1643539.4925679902</v>
      </c>
      <c r="AT21" s="472">
        <f t="shared" si="18"/>
        <v>1714339.7525890756</v>
      </c>
      <c r="AU21" s="472">
        <f t="shared" si="18"/>
        <v>1800816.9681676698</v>
      </c>
      <c r="AV21" s="472">
        <f t="shared" si="18"/>
        <v>1892252.9987697219</v>
      </c>
      <c r="AW21" s="472">
        <f t="shared" si="18"/>
        <v>1984182.8095202632</v>
      </c>
      <c r="AX21" s="472">
        <f t="shared" si="18"/>
        <v>2092243.8053207905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57316.10781718939</v>
      </c>
      <c r="F22" s="62">
        <f t="shared" si="19"/>
        <v>65779.54290019488</v>
      </c>
      <c r="G22" s="62">
        <f t="shared" si="19"/>
        <v>75778.207273822307</v>
      </c>
      <c r="H22" s="62">
        <f t="shared" si="19"/>
        <v>91660.449374328338</v>
      </c>
      <c r="I22" s="62">
        <f t="shared" si="19"/>
        <v>108188.67300014543</v>
      </c>
      <c r="J22" s="62">
        <f t="shared" si="19"/>
        <v>125274.02585764322</v>
      </c>
      <c r="K22" s="62">
        <f t="shared" si="19"/>
        <v>140201.05360572838</v>
      </c>
      <c r="L22" s="62">
        <f t="shared" si="19"/>
        <v>157300.82364846522</v>
      </c>
      <c r="M22" s="62">
        <f t="shared" si="19"/>
        <v>173631.37025786826</v>
      </c>
      <c r="N22" s="62">
        <f t="shared" si="19"/>
        <v>194872.04139928409</v>
      </c>
      <c r="O22" s="62">
        <f t="shared" ref="O22:Z22" si="20">O21/2</f>
        <v>215055.91880018002</v>
      </c>
      <c r="P22" s="62">
        <f t="shared" si="20"/>
        <v>219101.91459720168</v>
      </c>
      <c r="Q22" s="62">
        <f t="shared" si="20"/>
        <v>230596.54734413506</v>
      </c>
      <c r="R22" s="62">
        <f t="shared" si="20"/>
        <v>251082.49246262416</v>
      </c>
      <c r="S22" s="62">
        <f t="shared" si="20"/>
        <v>275466.79078232299</v>
      </c>
      <c r="T22" s="62">
        <f t="shared" si="20"/>
        <v>302512.35737452237</v>
      </c>
      <c r="U22" s="62">
        <f t="shared" si="20"/>
        <v>328664.04374343238</v>
      </c>
      <c r="V22" s="62">
        <f t="shared" si="20"/>
        <v>345803.63803706999</v>
      </c>
      <c r="W22" s="62">
        <f t="shared" si="20"/>
        <v>360826.6653182297</v>
      </c>
      <c r="X22" s="62">
        <f t="shared" si="20"/>
        <v>309772.36776798719</v>
      </c>
      <c r="Y22" s="62">
        <f t="shared" si="20"/>
        <v>208726.83240119898</v>
      </c>
      <c r="Z22" s="62">
        <f t="shared" si="20"/>
        <v>140635.6804209034</v>
      </c>
      <c r="AA22" s="62">
        <f t="shared" ref="AA22:AL22" si="21">AA21/2</f>
        <v>117903.11685795538</v>
      </c>
      <c r="AB22" s="62">
        <f t="shared" si="21"/>
        <v>135055.35665036723</v>
      </c>
      <c r="AC22" s="62">
        <f t="shared" si="21"/>
        <v>153705.44267533047</v>
      </c>
      <c r="AD22" s="62">
        <f t="shared" si="21"/>
        <v>175305.89457845147</v>
      </c>
      <c r="AE22" s="62">
        <f t="shared" si="21"/>
        <v>205535.73043066237</v>
      </c>
      <c r="AF22" s="62">
        <f t="shared" si="21"/>
        <v>234292.69560375527</v>
      </c>
      <c r="AG22" s="62">
        <f t="shared" si="21"/>
        <v>274882.68554300501</v>
      </c>
      <c r="AH22" s="62">
        <f t="shared" si="21"/>
        <v>320914.55515317118</v>
      </c>
      <c r="AI22" s="62">
        <f t="shared" si="21"/>
        <v>355511.2831747717</v>
      </c>
      <c r="AJ22" s="62">
        <f t="shared" si="21"/>
        <v>391356.82587252441</v>
      </c>
      <c r="AK22" s="62">
        <f t="shared" si="21"/>
        <v>439621.92526307539</v>
      </c>
      <c r="AL22" s="62">
        <f t="shared" si="21"/>
        <v>516689.93235215807</v>
      </c>
      <c r="AM22" s="477">
        <f>AM21/2</f>
        <v>578395.9571570761</v>
      </c>
      <c r="AN22" s="477">
        <f t="shared" ref="AN22:AX22" si="22">AN21/2</f>
        <v>615226.67998666374</v>
      </c>
      <c r="AO22" s="477">
        <f t="shared" si="22"/>
        <v>664986.53909746371</v>
      </c>
      <c r="AP22" s="477">
        <f t="shared" si="22"/>
        <v>714319.43103347078</v>
      </c>
      <c r="AQ22" s="477">
        <f t="shared" si="22"/>
        <v>762188.39510715532</v>
      </c>
      <c r="AR22" s="477">
        <f t="shared" si="22"/>
        <v>795534.99233951513</v>
      </c>
      <c r="AS22" s="477">
        <f t="shared" si="22"/>
        <v>821769.7462839951</v>
      </c>
      <c r="AT22" s="477">
        <f t="shared" si="22"/>
        <v>857169.8762945378</v>
      </c>
      <c r="AU22" s="477">
        <f t="shared" si="22"/>
        <v>900408.48408383492</v>
      </c>
      <c r="AV22" s="477">
        <f t="shared" si="22"/>
        <v>946126.49938486097</v>
      </c>
      <c r="AW22" s="477">
        <f t="shared" si="22"/>
        <v>992091.40476013161</v>
      </c>
      <c r="AX22" s="477">
        <f t="shared" si="22"/>
        <v>1046121.9026603953</v>
      </c>
    </row>
    <row r="23" spans="1:50">
      <c r="A23" s="72">
        <v>15</v>
      </c>
      <c r="B23" s="5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355"/>
      <c r="AN23" s="355"/>
      <c r="AO23" s="355"/>
      <c r="AP23" s="355"/>
      <c r="AQ23" s="355"/>
      <c r="AR23" s="355"/>
      <c r="AS23" s="355"/>
      <c r="AT23" s="355"/>
      <c r="AU23" s="355"/>
      <c r="AV23" s="355"/>
      <c r="AW23" s="355"/>
      <c r="AX23" s="355"/>
    </row>
    <row r="24" spans="1:50" ht="28.5">
      <c r="A24" s="73">
        <v>16</v>
      </c>
      <c r="B24" s="52" t="s">
        <v>14</v>
      </c>
      <c r="AM24" s="355"/>
      <c r="AN24" s="355"/>
      <c r="AO24" s="355"/>
      <c r="AP24" s="355"/>
      <c r="AQ24" s="355"/>
      <c r="AR24" s="355"/>
      <c r="AS24" s="355"/>
      <c r="AT24" s="355"/>
      <c r="AU24" s="355"/>
      <c r="AV24" s="355"/>
      <c r="AW24" s="355"/>
      <c r="AX24" s="355"/>
    </row>
    <row r="25" spans="1:50">
      <c r="A25" s="72">
        <v>17</v>
      </c>
      <c r="B25" s="51" t="s">
        <v>47</v>
      </c>
      <c r="C25" s="89"/>
      <c r="D25" s="89"/>
      <c r="E25" s="89">
        <f>'Cost of Capital'!$D$20</f>
        <v>8.6290000000000006E-2</v>
      </c>
      <c r="F25" s="89">
        <f>'Cost of Capital'!$D$20</f>
        <v>8.6290000000000006E-2</v>
      </c>
      <c r="G25" s="89">
        <f>'Cost of Capital'!$D$20</f>
        <v>8.6290000000000006E-2</v>
      </c>
      <c r="H25" s="89">
        <f>'Cost of Capital'!$D$20</f>
        <v>8.6290000000000006E-2</v>
      </c>
      <c r="I25" s="89">
        <f>'Cost of Capital'!$D$20</f>
        <v>8.6290000000000006E-2</v>
      </c>
      <c r="J25" s="89">
        <f>'Cost of Capital'!$D$20</f>
        <v>8.6290000000000006E-2</v>
      </c>
      <c r="K25" s="89">
        <f>'Cost of Capital'!$D$20</f>
        <v>8.6290000000000006E-2</v>
      </c>
      <c r="L25" s="89">
        <f>'Cost of Capital'!$D$20</f>
        <v>8.6290000000000006E-2</v>
      </c>
      <c r="M25" s="89">
        <f>'Cost of Capital'!$D$20</f>
        <v>8.6290000000000006E-2</v>
      </c>
      <c r="N25" s="89">
        <f>'Cost of Capital'!$D$20</f>
        <v>8.6290000000000006E-2</v>
      </c>
      <c r="O25" s="89">
        <f>'Cost of Capital'!$D$46</f>
        <v>9.0090000000000003E-2</v>
      </c>
      <c r="P25" s="89">
        <f>'Cost of Capital'!$D$46</f>
        <v>9.0090000000000003E-2</v>
      </c>
      <c r="Q25" s="89">
        <f>'Cost of Capital'!$D$46</f>
        <v>9.0090000000000003E-2</v>
      </c>
      <c r="R25" s="89">
        <f>'Cost of Capital'!$D$46</f>
        <v>9.0090000000000003E-2</v>
      </c>
      <c r="S25" s="89">
        <f>'Cost of Capital'!$D$46</f>
        <v>9.0090000000000003E-2</v>
      </c>
      <c r="T25" s="89">
        <f>'Cost of Capital'!$D$46</f>
        <v>9.0090000000000003E-2</v>
      </c>
      <c r="U25" s="89">
        <f>'Cost of Capital'!$D$46</f>
        <v>9.0090000000000003E-2</v>
      </c>
      <c r="V25" s="89">
        <f>'Cost of Capital'!$D$46</f>
        <v>9.0090000000000003E-2</v>
      </c>
      <c r="W25" s="89">
        <f>'Cost of Capital'!$D$46</f>
        <v>9.0090000000000003E-2</v>
      </c>
      <c r="X25" s="89">
        <f>'Cost of Capital'!$D$46</f>
        <v>9.0090000000000003E-2</v>
      </c>
      <c r="Y25" s="89">
        <f>'Cost of Capital'!$D$46</f>
        <v>9.0090000000000003E-2</v>
      </c>
      <c r="Z25" s="89">
        <f>'Cost of Capital'!$D$46</f>
        <v>9.0090000000000003E-2</v>
      </c>
      <c r="AA25" s="318">
        <f>'Cost of Capital'!$D$46</f>
        <v>9.0090000000000003E-2</v>
      </c>
      <c r="AB25" s="89">
        <f>'Cost of Capital'!$D$46</f>
        <v>9.0090000000000003E-2</v>
      </c>
      <c r="AC25" s="89">
        <f>'Cost of Capital'!$D$46</f>
        <v>9.0090000000000003E-2</v>
      </c>
      <c r="AD25" s="89">
        <f>'Cost of Capital'!$D$46</f>
        <v>9.0090000000000003E-2</v>
      </c>
      <c r="AE25" s="89">
        <f>'Cost of Capital'!$D$46</f>
        <v>9.0090000000000003E-2</v>
      </c>
      <c r="AF25" s="89">
        <f>'Cost of Capital'!$D$74</f>
        <v>9.0279999999999999E-2</v>
      </c>
      <c r="AG25" s="89">
        <f>'Cost of Capital'!$D$74</f>
        <v>9.0279999999999999E-2</v>
      </c>
      <c r="AH25" s="89">
        <f>'Cost of Capital'!$D$74</f>
        <v>9.0279999999999999E-2</v>
      </c>
      <c r="AI25" s="89">
        <f>'Cost of Capital'!$D$74</f>
        <v>9.0279999999999999E-2</v>
      </c>
      <c r="AJ25" s="89">
        <f>'Cost of Capital'!$D$74</f>
        <v>9.0279999999999999E-2</v>
      </c>
      <c r="AK25" s="89">
        <f>'Cost of Capital'!$D$74</f>
        <v>9.0279999999999999E-2</v>
      </c>
      <c r="AL25" s="89">
        <f>'Cost of Capital'!$D$74</f>
        <v>9.0279999999999999E-2</v>
      </c>
      <c r="AM25" s="318">
        <f>'Cost of Capital'!$D$128</f>
        <v>8.9139999999999997E-2</v>
      </c>
      <c r="AN25" s="318">
        <f>'Cost of Capital'!$D$128</f>
        <v>8.9139999999999997E-2</v>
      </c>
      <c r="AO25" s="318">
        <f>'Cost of Capital'!$D$128</f>
        <v>8.9139999999999997E-2</v>
      </c>
      <c r="AP25" s="318">
        <f>'Cost of Capital'!$D$128</f>
        <v>8.9139999999999997E-2</v>
      </c>
      <c r="AQ25" s="318">
        <f>'Cost of Capital'!$D$128</f>
        <v>8.9139999999999997E-2</v>
      </c>
      <c r="AR25" s="318">
        <f>'Cost of Capital'!$D$128</f>
        <v>8.9139999999999997E-2</v>
      </c>
      <c r="AS25" s="318">
        <f>'Cost of Capital'!$D$128</f>
        <v>8.9139999999999997E-2</v>
      </c>
      <c r="AT25" s="318">
        <f>'Cost of Capital'!$D$128</f>
        <v>8.9139999999999997E-2</v>
      </c>
      <c r="AU25" s="318">
        <f>'Cost of Capital'!$D$128</f>
        <v>8.9139999999999997E-2</v>
      </c>
      <c r="AV25" s="318">
        <f>'Cost of Capital'!$D$128</f>
        <v>8.9139999999999997E-2</v>
      </c>
      <c r="AW25" s="318">
        <f>'Cost of Capital'!$D$128</f>
        <v>8.9139999999999997E-2</v>
      </c>
      <c r="AX25" s="318">
        <f>'Cost of Capital'!$D$128</f>
        <v>8.9139999999999997E-2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Capital'!$D$21</f>
        <v>7.1908333333333338E-3</v>
      </c>
      <c r="F26" s="85">
        <f>'Cost of Capital'!$D$21</f>
        <v>7.1908333333333338E-3</v>
      </c>
      <c r="G26" s="85">
        <f>'Cost of Capital'!$D$21</f>
        <v>7.1908333333333338E-3</v>
      </c>
      <c r="H26" s="85">
        <f>'Cost of Capital'!$D$21</f>
        <v>7.1908333333333338E-3</v>
      </c>
      <c r="I26" s="85">
        <f>'Cost of Capital'!$D$21</f>
        <v>7.1908333333333338E-3</v>
      </c>
      <c r="J26" s="85">
        <f>'Cost of Capital'!$D$21</f>
        <v>7.1908333333333338E-3</v>
      </c>
      <c r="K26" s="85">
        <f>'Cost of Capital'!$D$21</f>
        <v>7.1908333333333338E-3</v>
      </c>
      <c r="L26" s="85">
        <f>'Cost of Capital'!$D$21</f>
        <v>7.1908333333333338E-3</v>
      </c>
      <c r="M26" s="85">
        <f>'Cost of Capital'!$D$21</f>
        <v>7.1908333333333338E-3</v>
      </c>
      <c r="N26" s="85">
        <f>'Cost of Capital'!$D$21</f>
        <v>7.1908333333333338E-3</v>
      </c>
      <c r="O26" s="85">
        <f>'Cost of Capital'!$D$47</f>
        <v>7.5075000000000003E-3</v>
      </c>
      <c r="P26" s="85">
        <f>'Cost of Capital'!$D$47</f>
        <v>7.5075000000000003E-3</v>
      </c>
      <c r="Q26" s="85">
        <f>'Cost of Capital'!$D$47</f>
        <v>7.5075000000000003E-3</v>
      </c>
      <c r="R26" s="85">
        <f>'Cost of Capital'!$D$47</f>
        <v>7.5075000000000003E-3</v>
      </c>
      <c r="S26" s="85">
        <f>'Cost of Capital'!$D$47</f>
        <v>7.5075000000000003E-3</v>
      </c>
      <c r="T26" s="85">
        <f>'Cost of Capital'!$D$47</f>
        <v>7.5075000000000003E-3</v>
      </c>
      <c r="U26" s="85">
        <f>'Cost of Capital'!$D$47</f>
        <v>7.5075000000000003E-3</v>
      </c>
      <c r="V26" s="85">
        <f>'Cost of Capital'!$D$47</f>
        <v>7.5075000000000003E-3</v>
      </c>
      <c r="W26" s="85">
        <f>'Cost of Capital'!$D$47</f>
        <v>7.5075000000000003E-3</v>
      </c>
      <c r="X26" s="85">
        <f>'Cost of Capital'!$D$47</f>
        <v>7.5075000000000003E-3</v>
      </c>
      <c r="Y26" s="85">
        <f>'Cost of Capital'!$D$47</f>
        <v>7.5075000000000003E-3</v>
      </c>
      <c r="Z26" s="85">
        <f>'Cost of Capital'!$D$47</f>
        <v>7.5075000000000003E-3</v>
      </c>
      <c r="AA26" s="85">
        <f>'Cost of Capital'!$D$47</f>
        <v>7.5075000000000003E-3</v>
      </c>
      <c r="AB26" s="85">
        <f>'Cost of Capital'!$D$47</f>
        <v>7.5075000000000003E-3</v>
      </c>
      <c r="AC26" s="85">
        <f>'Cost of Capital'!$D$47</f>
        <v>7.5075000000000003E-3</v>
      </c>
      <c r="AD26" s="85">
        <f>'Cost of Capital'!$D$47</f>
        <v>7.5075000000000003E-3</v>
      </c>
      <c r="AE26" s="85">
        <f>'Cost of Capital'!$D$47</f>
        <v>7.5075000000000003E-3</v>
      </c>
      <c r="AF26" s="85">
        <f>'Cost of Capital'!$D$75</f>
        <v>7.5233333333333333E-3</v>
      </c>
      <c r="AG26" s="85">
        <f>'Cost of Capital'!$D$75</f>
        <v>7.5233333333333333E-3</v>
      </c>
      <c r="AH26" s="85">
        <f>'Cost of Capital'!$D$75</f>
        <v>7.5233333333333333E-3</v>
      </c>
      <c r="AI26" s="85">
        <f>'Cost of Capital'!$D$75</f>
        <v>7.5233333333333333E-3</v>
      </c>
      <c r="AJ26" s="85">
        <f>'Cost of Capital'!$D$75</f>
        <v>7.5233333333333333E-3</v>
      </c>
      <c r="AK26" s="85">
        <f>'Cost of Capital'!$D$75</f>
        <v>7.5233333333333333E-3</v>
      </c>
      <c r="AL26" s="85">
        <f>'Cost of Capital'!$D$75</f>
        <v>7.5233333333333333E-3</v>
      </c>
      <c r="AM26" s="484">
        <f>'Cost of Capital'!$D$129</f>
        <v>7.4283333333333328E-3</v>
      </c>
      <c r="AN26" s="484">
        <f>'Cost of Capital'!$D$129</f>
        <v>7.4283333333333328E-3</v>
      </c>
      <c r="AO26" s="484">
        <f>'Cost of Capital'!$D$129</f>
        <v>7.4283333333333328E-3</v>
      </c>
      <c r="AP26" s="484">
        <f>'Cost of Capital'!$D$129</f>
        <v>7.4283333333333328E-3</v>
      </c>
      <c r="AQ26" s="484">
        <f>'Cost of Capital'!$D$129</f>
        <v>7.4283333333333328E-3</v>
      </c>
      <c r="AR26" s="484">
        <f>'Cost of Capital'!$D$129</f>
        <v>7.4283333333333328E-3</v>
      </c>
      <c r="AS26" s="484">
        <f>'Cost of Capital'!$D$129</f>
        <v>7.4283333333333328E-3</v>
      </c>
      <c r="AT26" s="484">
        <f>'Cost of Capital'!$D$129</f>
        <v>7.4283333333333328E-3</v>
      </c>
      <c r="AU26" s="484">
        <f>'Cost of Capital'!$D$129</f>
        <v>7.4283333333333328E-3</v>
      </c>
      <c r="AV26" s="484">
        <f>'Cost of Capital'!$D$129</f>
        <v>7.4283333333333328E-3</v>
      </c>
      <c r="AW26" s="484">
        <f>'Cost of Capital'!$D$129</f>
        <v>7.4283333333333328E-3</v>
      </c>
      <c r="AX26" s="484">
        <f>'Cost of Capital'!$D$129</f>
        <v>7.4283333333333328E-3</v>
      </c>
    </row>
    <row r="27" spans="1:50">
      <c r="A27" s="72">
        <v>19</v>
      </c>
      <c r="B27" s="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355"/>
      <c r="AX27" s="355"/>
    </row>
    <row r="28" spans="1:50" ht="15.75">
      <c r="A28" s="73">
        <v>20</v>
      </c>
      <c r="B28" s="53" t="s">
        <v>65</v>
      </c>
      <c r="AM28" s="355"/>
      <c r="AN28" s="355"/>
      <c r="AO28" s="355"/>
      <c r="AP28" s="355"/>
      <c r="AQ28" s="355"/>
      <c r="AR28" s="355"/>
      <c r="AS28" s="355"/>
      <c r="AT28" s="355"/>
      <c r="AU28" s="355"/>
      <c r="AV28" s="355"/>
      <c r="AW28" s="355"/>
      <c r="AX28" s="355"/>
    </row>
    <row r="29" spans="1:50">
      <c r="A29" s="72">
        <v>21</v>
      </c>
      <c r="B29" s="69" t="s">
        <v>91</v>
      </c>
      <c r="AM29" s="355"/>
      <c r="AN29" s="355"/>
      <c r="AO29" s="355"/>
      <c r="AP29" s="355"/>
      <c r="AQ29" s="355"/>
      <c r="AR29" s="355"/>
      <c r="AS29" s="355"/>
      <c r="AT29" s="355"/>
      <c r="AU29" s="355"/>
      <c r="AV29" s="355"/>
      <c r="AW29" s="355"/>
      <c r="AX29" s="355"/>
    </row>
    <row r="30" spans="1:50">
      <c r="A30" s="73">
        <v>22</v>
      </c>
      <c r="B30" s="11" t="s">
        <v>15</v>
      </c>
      <c r="AM30" s="355"/>
      <c r="AN30" s="355"/>
      <c r="AO30" s="355"/>
      <c r="AP30" s="355"/>
      <c r="AQ30" s="355"/>
      <c r="AR30" s="355"/>
      <c r="AS30" s="355"/>
      <c r="AT30" s="355"/>
      <c r="AU30" s="355"/>
      <c r="AV30" s="355"/>
      <c r="AW30" s="355"/>
      <c r="AX30" s="355"/>
    </row>
    <row r="31" spans="1:50" ht="25.5">
      <c r="A31" s="72">
        <v>23</v>
      </c>
      <c r="B31" s="101" t="s">
        <v>92</v>
      </c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</row>
    <row r="32" spans="1:50" ht="25.5">
      <c r="A32" s="73">
        <v>24</v>
      </c>
      <c r="B32" s="12" t="s">
        <v>19</v>
      </c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</row>
    <row r="33" spans="1:50">
      <c r="A33" s="72">
        <v>25</v>
      </c>
      <c r="B33" s="5" t="s">
        <v>20</v>
      </c>
      <c r="C33" s="87"/>
      <c r="D33" s="87"/>
      <c r="E33" s="87">
        <f>'Cost of Capital'!$D$17</f>
        <v>2.6699999999999998E-2</v>
      </c>
      <c r="F33" s="87">
        <f>'Cost of Capital'!$D$17</f>
        <v>2.6699999999999998E-2</v>
      </c>
      <c r="G33" s="87">
        <f>'Cost of Capital'!$D$17</f>
        <v>2.6699999999999998E-2</v>
      </c>
      <c r="H33" s="87">
        <f>'Cost of Capital'!$D$17</f>
        <v>2.6699999999999998E-2</v>
      </c>
      <c r="I33" s="87">
        <f>'Cost of Capital'!$D$17</f>
        <v>2.6699999999999998E-2</v>
      </c>
      <c r="J33" s="87">
        <f>'Cost of Capital'!$D$17</f>
        <v>2.6699999999999998E-2</v>
      </c>
      <c r="K33" s="87">
        <f>'Cost of Capital'!$D$17</f>
        <v>2.6699999999999998E-2</v>
      </c>
      <c r="L33" s="87">
        <f>'Cost of Capital'!$D$17</f>
        <v>2.6699999999999998E-2</v>
      </c>
      <c r="M33" s="87">
        <f>'Cost of Capital'!$D$17</f>
        <v>2.6699999999999998E-2</v>
      </c>
      <c r="N33" s="87">
        <f>'Cost of Capital'!$D$17</f>
        <v>2.6699999999999998E-2</v>
      </c>
      <c r="O33" s="87">
        <f>'Cost of Capital'!$D$43</f>
        <v>2.76E-2</v>
      </c>
      <c r="P33" s="87">
        <f>'Cost of Capital'!$D$43</f>
        <v>2.76E-2</v>
      </c>
      <c r="Q33" s="87">
        <f>'Cost of Capital'!$D$43</f>
        <v>2.76E-2</v>
      </c>
      <c r="R33" s="87">
        <f>'Cost of Capital'!$D$43</f>
        <v>2.76E-2</v>
      </c>
      <c r="S33" s="87">
        <f>'Cost of Capital'!$D$43</f>
        <v>2.76E-2</v>
      </c>
      <c r="T33" s="87">
        <f>'Cost of Capital'!$D$43</f>
        <v>2.76E-2</v>
      </c>
      <c r="U33" s="87">
        <f>'Cost of Capital'!$D$43</f>
        <v>2.76E-2</v>
      </c>
      <c r="V33" s="87">
        <f>'Cost of Capital'!$D$43</f>
        <v>2.76E-2</v>
      </c>
      <c r="W33" s="87">
        <f>'Cost of Capital'!$D$43</f>
        <v>2.76E-2</v>
      </c>
      <c r="X33" s="87">
        <f>'Cost of Capital'!$D$43</f>
        <v>2.76E-2</v>
      </c>
      <c r="Y33" s="87">
        <f>'Cost of Capital'!$D$43</f>
        <v>2.76E-2</v>
      </c>
      <c r="Z33" s="87">
        <f>'Cost of Capital'!$D$43</f>
        <v>2.76E-2</v>
      </c>
      <c r="AA33" s="319">
        <f>'Cost of Capital'!$D$43</f>
        <v>2.76E-2</v>
      </c>
      <c r="AB33" s="87">
        <f>'Cost of Capital'!$D$43</f>
        <v>2.76E-2</v>
      </c>
      <c r="AC33" s="87">
        <f>'Cost of Capital'!$D$43</f>
        <v>2.76E-2</v>
      </c>
      <c r="AD33" s="87">
        <f>'Cost of Capital'!$D$43</f>
        <v>2.76E-2</v>
      </c>
      <c r="AE33" s="87">
        <f>'Cost of Capital'!$D$43</f>
        <v>2.76E-2</v>
      </c>
      <c r="AF33" s="319">
        <f>'Cost of Capital'!$D$71</f>
        <v>2.6700000000000002E-2</v>
      </c>
      <c r="AG33" s="319">
        <f>'Cost of Capital'!$D$71</f>
        <v>2.6700000000000002E-2</v>
      </c>
      <c r="AH33" s="319">
        <f>'Cost of Capital'!$D$71</f>
        <v>2.6700000000000002E-2</v>
      </c>
      <c r="AI33" s="319">
        <f>'Cost of Capital'!$D$71</f>
        <v>2.6700000000000002E-2</v>
      </c>
      <c r="AJ33" s="319">
        <f>'Cost of Capital'!$D$71</f>
        <v>2.6700000000000002E-2</v>
      </c>
      <c r="AK33" s="319">
        <f>'Cost of Capital'!$D$71</f>
        <v>2.6700000000000002E-2</v>
      </c>
      <c r="AL33" s="319">
        <f>'Cost of Capital'!$D$71</f>
        <v>2.6700000000000002E-2</v>
      </c>
      <c r="AM33" s="319">
        <f>'Cost of Capital'!$D$125</f>
        <v>2.58E-2</v>
      </c>
      <c r="AN33" s="319">
        <f>'Cost of Capital'!$D$125</f>
        <v>2.58E-2</v>
      </c>
      <c r="AO33" s="319">
        <f>'Cost of Capital'!$D$125</f>
        <v>2.58E-2</v>
      </c>
      <c r="AP33" s="319">
        <f>'Cost of Capital'!$D$125</f>
        <v>2.58E-2</v>
      </c>
      <c r="AQ33" s="319">
        <f>'Cost of Capital'!$D$125</f>
        <v>2.58E-2</v>
      </c>
      <c r="AR33" s="319">
        <f>'Cost of Capital'!$D$125</f>
        <v>2.58E-2</v>
      </c>
      <c r="AS33" s="319">
        <f>'Cost of Capital'!$D$125</f>
        <v>2.58E-2</v>
      </c>
      <c r="AT33" s="319">
        <f>'Cost of Capital'!$D$125</f>
        <v>2.58E-2</v>
      </c>
      <c r="AU33" s="319">
        <f>'Cost of Capital'!$D$125</f>
        <v>2.58E-2</v>
      </c>
      <c r="AV33" s="319">
        <f>'Cost of Capital'!$D$125</f>
        <v>2.58E-2</v>
      </c>
      <c r="AW33" s="319">
        <f>'Cost of Capital'!$D$125</f>
        <v>2.58E-2</v>
      </c>
      <c r="AX33" s="319">
        <f>'Cost of Capital'!$D$125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487">
        <f t="shared" si="25"/>
        <v>2.225E-3</v>
      </c>
      <c r="AG34" s="487">
        <f t="shared" si="25"/>
        <v>2.225E-3</v>
      </c>
      <c r="AH34" s="487">
        <f t="shared" si="25"/>
        <v>2.225E-3</v>
      </c>
      <c r="AI34" s="487">
        <f t="shared" si="25"/>
        <v>2.225E-3</v>
      </c>
      <c r="AJ34" s="487">
        <f t="shared" si="25"/>
        <v>2.225E-3</v>
      </c>
      <c r="AK34" s="487">
        <f t="shared" si="25"/>
        <v>2.225E-3</v>
      </c>
      <c r="AL34" s="487">
        <f t="shared" si="25"/>
        <v>2.225E-3</v>
      </c>
      <c r="AM34" s="487">
        <f t="shared" ref="AM34:AX34" si="26">AM33/12</f>
        <v>2.15E-3</v>
      </c>
      <c r="AN34" s="487">
        <f t="shared" si="26"/>
        <v>2.15E-3</v>
      </c>
      <c r="AO34" s="487">
        <f t="shared" si="26"/>
        <v>2.15E-3</v>
      </c>
      <c r="AP34" s="487">
        <f t="shared" si="26"/>
        <v>2.15E-3</v>
      </c>
      <c r="AQ34" s="487">
        <f t="shared" si="26"/>
        <v>2.15E-3</v>
      </c>
      <c r="AR34" s="487">
        <f t="shared" si="26"/>
        <v>2.15E-3</v>
      </c>
      <c r="AS34" s="487">
        <f t="shared" si="26"/>
        <v>2.15E-3</v>
      </c>
      <c r="AT34" s="487">
        <f t="shared" si="26"/>
        <v>2.15E-3</v>
      </c>
      <c r="AU34" s="487">
        <f t="shared" si="26"/>
        <v>2.15E-3</v>
      </c>
      <c r="AV34" s="487">
        <f t="shared" si="26"/>
        <v>2.15E-3</v>
      </c>
      <c r="AW34" s="487">
        <f t="shared" si="26"/>
        <v>2.15E-3</v>
      </c>
      <c r="AX34" s="487">
        <f t="shared" si="26"/>
        <v>2.15E-3</v>
      </c>
    </row>
    <row r="35" spans="1:50" ht="25.5">
      <c r="A35" s="72">
        <v>27</v>
      </c>
      <c r="B35" s="12" t="s">
        <v>22</v>
      </c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</row>
    <row r="36" spans="1:50">
      <c r="A36" s="73">
        <v>28</v>
      </c>
      <c r="B36" s="5" t="s">
        <v>18</v>
      </c>
      <c r="C36" s="158"/>
      <c r="D36" s="158"/>
      <c r="E36" s="158">
        <f>'Def Tax'!$E235</f>
        <v>269.21796497550002</v>
      </c>
      <c r="F36" s="158">
        <f>'Def Tax'!$E236</f>
        <v>278.26712212280438</v>
      </c>
      <c r="G36" s="160">
        <f>'Def Tax'!$E237</f>
        <v>317.4245401575339</v>
      </c>
      <c r="H36" s="158">
        <f>'Def Tax'!$E238</f>
        <v>371.96223202075589</v>
      </c>
      <c r="I36" s="158">
        <f>'Def Tax'!$E239</f>
        <v>465.48100802168443</v>
      </c>
      <c r="J36" s="158">
        <f>'Def Tax'!$E240</f>
        <v>526.60244457928377</v>
      </c>
      <c r="K36" s="158">
        <f>'Def Tax'!$E241</f>
        <v>625.95644064193891</v>
      </c>
      <c r="L36" s="158">
        <f>'Def Tax'!$E242</f>
        <v>668.09843192821427</v>
      </c>
      <c r="M36" s="158">
        <f>'Def Tax'!$E243</f>
        <v>788.13715770371869</v>
      </c>
      <c r="N36" s="158">
        <f>'Def Tax'!$E244</f>
        <v>824.14019793486079</v>
      </c>
      <c r="O36" s="158">
        <f>'Def Tax'!$E247</f>
        <v>1108.9240216417763</v>
      </c>
      <c r="P36" s="158">
        <f>'Def Tax'!$E248</f>
        <v>1138.0590244702041</v>
      </c>
      <c r="Q36" s="158">
        <f>'Def Tax'!$E249</f>
        <v>1157.8952609131511</v>
      </c>
      <c r="R36" s="158">
        <f>'Def Tax'!$E250</f>
        <v>1264.0634980671721</v>
      </c>
      <c r="S36" s="158">
        <f>'Def Tax'!$E252</f>
        <v>1377.0779817932503</v>
      </c>
      <c r="T36" s="158">
        <f>'Def Tax'!$E256</f>
        <v>1524.1811466837723</v>
      </c>
      <c r="U36" s="158">
        <f>'Def Tax'!$E257</f>
        <v>1666.0215644114155</v>
      </c>
      <c r="V36" s="158">
        <f>'Def Tax'!$E258</f>
        <v>1806.0078832140607</v>
      </c>
      <c r="W36" s="158">
        <f>'Def Tax'!$E259</f>
        <v>1857.1050858998931</v>
      </c>
      <c r="X36" s="158">
        <f>'Def Tax'!$E261</f>
        <v>1976.8221789128459</v>
      </c>
      <c r="Y36" s="158">
        <f>'Def Tax'!$E265</f>
        <v>1315.3855403821062</v>
      </c>
      <c r="Z36" s="158">
        <f>'Def Tax'!$E269</f>
        <v>894.3975235317198</v>
      </c>
      <c r="AA36" s="158">
        <f>'Def Tax'!$E275</f>
        <v>589.46054859071455</v>
      </c>
      <c r="AB36" s="158">
        <f>'Def Tax'!$E276</f>
        <v>655.90514946879114</v>
      </c>
      <c r="AC36" s="158">
        <f>'Def Tax'!$E277</f>
        <v>772.3108029035244</v>
      </c>
      <c r="AD36" s="158">
        <f>'Def Tax'!$E278</f>
        <v>855.22782552281353</v>
      </c>
      <c r="AE36" s="158">
        <f>'Def Tax'!$E279</f>
        <v>1003.3546199265784</v>
      </c>
      <c r="AF36" s="158">
        <f>'Def Tax'!$E280</f>
        <v>1177.3515658116125</v>
      </c>
      <c r="AG36" s="158">
        <f>'Def Tax'!$E281</f>
        <v>1311.7743990189647</v>
      </c>
      <c r="AH36" s="158">
        <f>'Def Tax'!$E282</f>
        <v>1610.7204859930218</v>
      </c>
      <c r="AI36" s="158">
        <f>'Def Tax'!$E283</f>
        <v>1804.1964888888187</v>
      </c>
      <c r="AJ36" s="158">
        <f>'Def Tax'!$E284</f>
        <v>1986.7938055496979</v>
      </c>
      <c r="AK36" s="158">
        <f>'Def Tax'!$E285</f>
        <v>2195.6734233390189</v>
      </c>
      <c r="AL36" s="158">
        <f>'Def Tax'!$E286</f>
        <v>2510.2486098147433</v>
      </c>
      <c r="AM36" s="480">
        <f>'Def Tax'!$E289</f>
        <v>3022.587119657529</v>
      </c>
      <c r="AN36" s="480">
        <f>'Def Tax'!$E290</f>
        <v>3175.9574649161623</v>
      </c>
      <c r="AO36" s="480">
        <f>'Def Tax'!$E291</f>
        <v>3427.0296588480169</v>
      </c>
      <c r="AP36" s="480">
        <f>'Def Tax'!$E292</f>
        <v>3717.6102715503503</v>
      </c>
      <c r="AQ36" s="480">
        <f>'Def Tax'!$E293</f>
        <v>3967.4129502042583</v>
      </c>
      <c r="AR36" s="480">
        <f>'Def Tax'!$E294</f>
        <v>4246.101900361572</v>
      </c>
      <c r="AS36" s="480">
        <f>'Def Tax'!$E295</f>
        <v>4348.1365057801213</v>
      </c>
      <c r="AT36" s="480">
        <f>'Def Tax'!$E296</f>
        <v>4555.79314601856</v>
      </c>
      <c r="AU36" s="480">
        <f>'Def Tax'!$E297</f>
        <v>4756.1959682374063</v>
      </c>
      <c r="AV36" s="480">
        <f>'Def Tax'!$E298</f>
        <v>5048.9499659365592</v>
      </c>
      <c r="AW36" s="480">
        <f>'Def Tax'!$E300</f>
        <v>5279.1852092487297</v>
      </c>
      <c r="AX36" s="480">
        <f>'Def Tax'!$E304</f>
        <v>5572.2175507236625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78"/>
      <c r="D38" s="78"/>
      <c r="E38" s="78">
        <f>'Income Tax Rates'!$D$16</f>
        <v>8.5972999999999994E-2</v>
      </c>
      <c r="F38" s="78">
        <f>'Income Tax Rates'!$D$16</f>
        <v>8.5972999999999994E-2</v>
      </c>
      <c r="G38" s="78">
        <f>'Income Tax Rates'!$D$16</f>
        <v>8.5972999999999994E-2</v>
      </c>
      <c r="H38" s="78">
        <f>'Income Tax Rates'!$D$16</f>
        <v>8.5972999999999994E-2</v>
      </c>
      <c r="I38" s="78">
        <f>'Income Tax Rates'!$D$16</f>
        <v>8.5972999999999994E-2</v>
      </c>
      <c r="J38" s="78">
        <f>'Income Tax Rates'!$D$16</f>
        <v>8.5972999999999994E-2</v>
      </c>
      <c r="K38" s="78">
        <f>'Income Tax Rates'!$D$16</f>
        <v>8.5972999999999994E-2</v>
      </c>
      <c r="L38" s="78">
        <f>'Income Tax Rates'!$D$16</f>
        <v>8.5972999999999994E-2</v>
      </c>
      <c r="M38" s="78">
        <f>'Income Tax Rates'!$D$16</f>
        <v>8.5972999999999994E-2</v>
      </c>
      <c r="N38" s="78">
        <f>'Income Tax Rates'!$D$16</f>
        <v>8.5972999999999994E-2</v>
      </c>
      <c r="O38" s="78">
        <f>'Income Tax Rates'!$D$33</f>
        <v>8.7230769299999997E-2</v>
      </c>
      <c r="P38" s="78">
        <f>'Income Tax Rates'!$D$33</f>
        <v>8.7230769299999997E-2</v>
      </c>
      <c r="Q38" s="78">
        <f>'Income Tax Rates'!$D$33</f>
        <v>8.7230769299999997E-2</v>
      </c>
      <c r="R38" s="78">
        <f>'Income Tax Rates'!$D$33</f>
        <v>8.7230769299999997E-2</v>
      </c>
      <c r="S38" s="78">
        <f>'Income Tax Rates'!$D$33</f>
        <v>8.7230769299999997E-2</v>
      </c>
      <c r="T38" s="78">
        <f>'Income Tax Rates'!$D$33</f>
        <v>8.7230769299999997E-2</v>
      </c>
      <c r="U38" s="78">
        <f>'Income Tax Rates'!$D$33</f>
        <v>8.7230769299999997E-2</v>
      </c>
      <c r="V38" s="78">
        <f>'Income Tax Rates'!$D$33</f>
        <v>8.7230769299999997E-2</v>
      </c>
      <c r="W38" s="78">
        <f>'Income Tax Rates'!$D$33</f>
        <v>8.7230769299999997E-2</v>
      </c>
      <c r="X38" s="78">
        <f>'Income Tax Rates'!$D$33</f>
        <v>8.7230769299999997E-2</v>
      </c>
      <c r="Y38" s="78">
        <f>'Income Tax Rates'!$D$33</f>
        <v>8.7230769299999997E-2</v>
      </c>
      <c r="Z38" s="78">
        <f>'Income Tax Rates'!$D$33</f>
        <v>8.7230769299999997E-2</v>
      </c>
      <c r="AA38" s="333">
        <f>'Income Tax Rates'!$D$52</f>
        <v>8.795E-2</v>
      </c>
      <c r="AB38" s="333">
        <f>'Income Tax Rates'!$D$52</f>
        <v>8.795E-2</v>
      </c>
      <c r="AC38" s="333">
        <f>'Income Tax Rates'!$D$52</f>
        <v>8.795E-2</v>
      </c>
      <c r="AD38" s="333">
        <f>'Income Tax Rates'!$D$52</f>
        <v>8.795E-2</v>
      </c>
      <c r="AE38" s="333">
        <f>'Income Tax Rates'!$D$52</f>
        <v>8.795E-2</v>
      </c>
      <c r="AF38" s="333">
        <f>'Income Tax Rates'!$D$52</f>
        <v>8.795E-2</v>
      </c>
      <c r="AG38" s="333">
        <f>'Income Tax Rates'!$D$52</f>
        <v>8.795E-2</v>
      </c>
      <c r="AH38" s="333">
        <f>'Income Tax Rates'!$D$52</f>
        <v>8.795E-2</v>
      </c>
      <c r="AI38" s="333">
        <f>'Income Tax Rates'!$D$52</f>
        <v>8.795E-2</v>
      </c>
      <c r="AJ38" s="333">
        <f>'Income Tax Rates'!$D$52</f>
        <v>8.795E-2</v>
      </c>
      <c r="AK38" s="333">
        <f>'Income Tax Rates'!$D$52</f>
        <v>8.795E-2</v>
      </c>
      <c r="AL38" s="333">
        <f>'Income Tax Rates'!$D$52</f>
        <v>8.795E-2</v>
      </c>
      <c r="AM38" s="333">
        <f>'Income Tax Rates'!$D$72</f>
        <v>8.8330000000000006E-2</v>
      </c>
      <c r="AN38" s="333">
        <f>'Income Tax Rates'!$D$72</f>
        <v>8.8330000000000006E-2</v>
      </c>
      <c r="AO38" s="333">
        <f>'Income Tax Rates'!$D$72</f>
        <v>8.8330000000000006E-2</v>
      </c>
      <c r="AP38" s="333">
        <f>'Income Tax Rates'!$D$72</f>
        <v>8.8330000000000006E-2</v>
      </c>
      <c r="AQ38" s="333">
        <f>'Income Tax Rates'!$D$72</f>
        <v>8.8330000000000006E-2</v>
      </c>
      <c r="AR38" s="333">
        <f>'Income Tax Rates'!$D$72</f>
        <v>8.8330000000000006E-2</v>
      </c>
      <c r="AS38" s="333">
        <f>'Income Tax Rates'!$D$72</f>
        <v>8.8330000000000006E-2</v>
      </c>
      <c r="AT38" s="333">
        <f>'Income Tax Rates'!$D$72</f>
        <v>8.8330000000000006E-2</v>
      </c>
      <c r="AU38" s="333">
        <f>'Income Tax Rates'!$D$72</f>
        <v>8.8330000000000006E-2</v>
      </c>
      <c r="AV38" s="333">
        <f>'Income Tax Rates'!$D$72</f>
        <v>8.8330000000000006E-2</v>
      </c>
      <c r="AW38" s="333">
        <f>'Income Tax Rates'!$D$72</f>
        <v>8.8330000000000006E-2</v>
      </c>
      <c r="AX38" s="333">
        <f>'Income Tax Rates'!$D$72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47.615303833648063</v>
      </c>
      <c r="F39" s="88">
        <f t="shared" si="27"/>
        <v>52.006560957129381</v>
      </c>
      <c r="G39" s="88">
        <f t="shared" si="27"/>
        <v>59.641747333748583</v>
      </c>
      <c r="H39" s="88">
        <f t="shared" si="27"/>
        <v>71.111083646835738</v>
      </c>
      <c r="I39" s="88">
        <f t="shared" si="27"/>
        <v>86.207528041741213</v>
      </c>
      <c r="J39" s="88">
        <f t="shared" si="27"/>
        <v>98.756529812421036</v>
      </c>
      <c r="K39" s="88">
        <f t="shared" si="27"/>
        <v>113.67105088582963</v>
      </c>
      <c r="L39" s="88">
        <f t="shared" si="27"/>
        <v>124.59448790233459</v>
      </c>
      <c r="M39" s="88">
        <f t="shared" si="27"/>
        <v>141.88653816715839</v>
      </c>
      <c r="N39" s="88">
        <f t="shared" si="27"/>
        <v>154.050056067637</v>
      </c>
      <c r="O39" s="88">
        <f t="shared" ref="O39:Z39" si="28">((O22*(O26-O34))+O36)*O38</f>
        <v>194.42235654753972</v>
      </c>
      <c r="P39" s="88">
        <f t="shared" si="28"/>
        <v>198.80173596775143</v>
      </c>
      <c r="Q39" s="88">
        <f t="shared" si="28"/>
        <v>205.75355169326343</v>
      </c>
      <c r="R39" s="88">
        <f t="shared" si="28"/>
        <v>224.32051594419906</v>
      </c>
      <c r="S39" s="88">
        <f t="shared" si="28"/>
        <v>245.25552698652047</v>
      </c>
      <c r="T39" s="88">
        <f t="shared" si="28"/>
        <v>270.37301228419341</v>
      </c>
      <c r="U39" s="88">
        <f t="shared" si="28"/>
        <v>294.62537522466471</v>
      </c>
      <c r="V39" s="88">
        <f t="shared" si="28"/>
        <v>314.62222273302666</v>
      </c>
      <c r="W39" s="88">
        <f t="shared" si="28"/>
        <v>325.90374473923436</v>
      </c>
      <c r="X39" s="88">
        <f t="shared" si="28"/>
        <v>313.15512818155895</v>
      </c>
      <c r="Y39" s="88">
        <f t="shared" si="28"/>
        <v>209.55713938218216</v>
      </c>
      <c r="Z39" s="88">
        <f t="shared" si="28"/>
        <v>141.90333691669346</v>
      </c>
      <c r="AA39" s="88">
        <f t="shared" ref="AA39:AL39" si="29">((AA22*(AA26-AA34))+AA36)*AA38</f>
        <v>105.8426385558281</v>
      </c>
      <c r="AB39" s="88">
        <f t="shared" si="29"/>
        <v>119.54216059588964</v>
      </c>
      <c r="AC39" s="88">
        <f t="shared" si="29"/>
        <v>138.32177022112532</v>
      </c>
      <c r="AD39" s="88">
        <f t="shared" si="29"/>
        <v>155.50732123195175</v>
      </c>
      <c r="AE39" s="88">
        <f t="shared" si="29"/>
        <v>182.38032628388703</v>
      </c>
      <c r="AF39" s="88">
        <f t="shared" si="29"/>
        <v>212.72575247409054</v>
      </c>
      <c r="AG39" s="88">
        <f t="shared" si="29"/>
        <v>243.46270579898408</v>
      </c>
      <c r="AH39" s="88">
        <f t="shared" si="29"/>
        <v>291.20533218420019</v>
      </c>
      <c r="AI39" s="88">
        <f t="shared" si="29"/>
        <v>324.34322115151843</v>
      </c>
      <c r="AJ39" s="88">
        <f t="shared" si="29"/>
        <v>357.10626283812599</v>
      </c>
      <c r="AK39" s="88">
        <f t="shared" si="29"/>
        <v>397.96820246795892</v>
      </c>
      <c r="AL39" s="88">
        <f t="shared" si="29"/>
        <v>461.54788871759598</v>
      </c>
      <c r="AM39" s="481">
        <f>((AM22*(AM26-AM34))+AM36)*AM38</f>
        <v>536.6536654037377</v>
      </c>
      <c r="AN39" s="481">
        <f t="shared" ref="AN39:AX39" si="30">((AN22*(AN26-AN34))+AN36)*AN38</f>
        <v>567.37264681118472</v>
      </c>
      <c r="AO39" s="481">
        <f t="shared" si="30"/>
        <v>612.74965073635019</v>
      </c>
      <c r="AP39" s="481">
        <f t="shared" si="30"/>
        <v>661.41736617249501</v>
      </c>
      <c r="AQ39" s="481">
        <f t="shared" si="30"/>
        <v>705.80063201886583</v>
      </c>
      <c r="AR39" s="481">
        <f t="shared" si="30"/>
        <v>745.96458386043344</v>
      </c>
      <c r="AS39" s="481">
        <f t="shared" si="30"/>
        <v>767.20886587206348</v>
      </c>
      <c r="AT39" s="481">
        <f t="shared" si="30"/>
        <v>802.05596300981392</v>
      </c>
      <c r="AU39" s="481">
        <f t="shared" si="30"/>
        <v>839.91690452612568</v>
      </c>
      <c r="AV39" s="481">
        <f t="shared" si="30"/>
        <v>887.0912123884018</v>
      </c>
      <c r="AW39" s="481">
        <f t="shared" si="30"/>
        <v>928.85834751470441</v>
      </c>
      <c r="AX39" s="481">
        <f t="shared" si="30"/>
        <v>979.93281333130608</v>
      </c>
    </row>
    <row r="40" spans="1:50">
      <c r="A40" s="73">
        <v>32</v>
      </c>
      <c r="B40" s="5"/>
      <c r="AM40" s="355"/>
      <c r="AN40" s="355"/>
      <c r="AO40" s="355"/>
      <c r="AP40" s="355"/>
      <c r="AQ40" s="355"/>
      <c r="AR40" s="355"/>
      <c r="AS40" s="355"/>
      <c r="AT40" s="355"/>
      <c r="AU40" s="355"/>
      <c r="AV40" s="355"/>
      <c r="AW40" s="355"/>
      <c r="AX40" s="355"/>
    </row>
    <row r="41" spans="1:50">
      <c r="A41" s="72">
        <v>33</v>
      </c>
      <c r="B41" s="11" t="s">
        <v>50</v>
      </c>
      <c r="AM41" s="355"/>
      <c r="AN41" s="355"/>
      <c r="AO41" s="355"/>
      <c r="AP41" s="355"/>
      <c r="AQ41" s="355"/>
      <c r="AR41" s="355"/>
      <c r="AS41" s="355"/>
      <c r="AT41" s="355"/>
      <c r="AU41" s="355"/>
      <c r="AV41" s="355"/>
      <c r="AW41" s="355"/>
      <c r="AX41" s="355"/>
    </row>
    <row r="42" spans="1:50" ht="32.25" customHeight="1">
      <c r="A42" s="73">
        <v>34</v>
      </c>
      <c r="B42" s="121" t="s">
        <v>109</v>
      </c>
      <c r="AM42" s="355"/>
      <c r="AN42" s="355"/>
      <c r="AO42" s="355"/>
      <c r="AP42" s="355"/>
      <c r="AQ42" s="355"/>
      <c r="AR42" s="355"/>
      <c r="AS42" s="355"/>
      <c r="AT42" s="355"/>
      <c r="AU42" s="355"/>
      <c r="AV42" s="355"/>
      <c r="AW42" s="355"/>
      <c r="AX42" s="355"/>
    </row>
    <row r="43" spans="1:50">
      <c r="A43" s="72">
        <v>35</v>
      </c>
      <c r="B43" s="5" t="s">
        <v>51</v>
      </c>
      <c r="C43" s="14"/>
      <c r="D43" s="14"/>
      <c r="E43" s="14">
        <f>'Income Tax Rates'!$D$17</f>
        <v>0.35</v>
      </c>
      <c r="F43" s="14">
        <f>'Income Tax Rates'!$D$17</f>
        <v>0.35</v>
      </c>
      <c r="G43" s="14">
        <f>'Income Tax Rates'!$D$17</f>
        <v>0.35</v>
      </c>
      <c r="H43" s="14">
        <f>'Income Tax Rates'!$D$17</f>
        <v>0.35</v>
      </c>
      <c r="I43" s="14">
        <f>'Income Tax Rates'!$D$17</f>
        <v>0.35</v>
      </c>
      <c r="J43" s="14">
        <f>'Income Tax Rates'!$D$17</f>
        <v>0.35</v>
      </c>
      <c r="K43" s="14">
        <f>'Income Tax Rates'!$D$17</f>
        <v>0.35</v>
      </c>
      <c r="L43" s="14">
        <f>'Income Tax Rates'!$D$17</f>
        <v>0.35</v>
      </c>
      <c r="M43" s="14">
        <f>'Income Tax Rates'!$D$17</f>
        <v>0.35</v>
      </c>
      <c r="N43" s="14">
        <f>'Income Tax Rates'!$D$17</f>
        <v>0.35</v>
      </c>
      <c r="O43" s="14">
        <f>'Income Tax Rates'!$D$17</f>
        <v>0.35</v>
      </c>
      <c r="P43" s="14">
        <f>'Income Tax Rates'!$D$17</f>
        <v>0.35</v>
      </c>
      <c r="Q43" s="14">
        <f>'Income Tax Rates'!$D$17</f>
        <v>0.35</v>
      </c>
      <c r="R43" s="14">
        <f>'Income Tax Rates'!$D$17</f>
        <v>0.35</v>
      </c>
      <c r="S43" s="14">
        <f>'Income Tax Rates'!$D$17</f>
        <v>0.35</v>
      </c>
      <c r="T43" s="14">
        <f>'Income Tax Rates'!$D$17</f>
        <v>0.35</v>
      </c>
      <c r="U43" s="14">
        <f>'Income Tax Rates'!$D$17</f>
        <v>0.35</v>
      </c>
      <c r="V43" s="14">
        <f>'Income Tax Rates'!$D$17</f>
        <v>0.35</v>
      </c>
      <c r="W43" s="14">
        <f>'Income Tax Rates'!$D$17</f>
        <v>0.35</v>
      </c>
      <c r="X43" s="14">
        <f>'Income Tax Rates'!$D$17</f>
        <v>0.35</v>
      </c>
      <c r="Y43" s="14">
        <f>'Income Tax Rates'!$D$17</f>
        <v>0.35</v>
      </c>
      <c r="Z43" s="14">
        <f>'Income Tax Rates'!$D$17</f>
        <v>0.35</v>
      </c>
      <c r="AA43" s="332">
        <f>'Income Tax Rates'!$D$53</f>
        <v>0.35</v>
      </c>
      <c r="AB43" s="332">
        <f>'Income Tax Rates'!$D$53</f>
        <v>0.35</v>
      </c>
      <c r="AC43" s="332">
        <f>'Income Tax Rates'!$D$53</f>
        <v>0.35</v>
      </c>
      <c r="AD43" s="332">
        <f>'Income Tax Rates'!$D$53</f>
        <v>0.35</v>
      </c>
      <c r="AE43" s="332">
        <f>'Income Tax Rates'!$D$53</f>
        <v>0.35</v>
      </c>
      <c r="AF43" s="332">
        <f>'Income Tax Rates'!$D$53</f>
        <v>0.35</v>
      </c>
      <c r="AG43" s="332">
        <f>'Income Tax Rates'!$D$53</f>
        <v>0.35</v>
      </c>
      <c r="AH43" s="332">
        <f>'Income Tax Rates'!$D$53</f>
        <v>0.35</v>
      </c>
      <c r="AI43" s="332">
        <f>'Income Tax Rates'!$D$53</f>
        <v>0.35</v>
      </c>
      <c r="AJ43" s="332">
        <f>'Income Tax Rates'!$D$53</f>
        <v>0.35</v>
      </c>
      <c r="AK43" s="332">
        <f>'Income Tax Rates'!$D$53</f>
        <v>0.35</v>
      </c>
      <c r="AL43" s="332">
        <f>'Income Tax Rates'!$D$53</f>
        <v>0.35</v>
      </c>
      <c r="AM43" s="332">
        <f>'Income Tax Rates'!$D$73</f>
        <v>0.35</v>
      </c>
      <c r="AN43" s="332">
        <f>'Income Tax Rates'!$D$73</f>
        <v>0.35</v>
      </c>
      <c r="AO43" s="332">
        <f>'Income Tax Rates'!$D$73</f>
        <v>0.35</v>
      </c>
      <c r="AP43" s="332">
        <f>'Income Tax Rates'!$D$73</f>
        <v>0.35</v>
      </c>
      <c r="AQ43" s="332">
        <f>'Income Tax Rates'!$D$73</f>
        <v>0.35</v>
      </c>
      <c r="AR43" s="332">
        <f>'Income Tax Rates'!$D$73</f>
        <v>0.35</v>
      </c>
      <c r="AS43" s="332">
        <f>'Income Tax Rates'!$D$73</f>
        <v>0.35</v>
      </c>
      <c r="AT43" s="332">
        <f>'Income Tax Rates'!$D$73</f>
        <v>0.35</v>
      </c>
      <c r="AU43" s="332">
        <f>'Income Tax Rates'!$D$73</f>
        <v>0.35</v>
      </c>
      <c r="AV43" s="332">
        <f>'Income Tax Rates'!$D$73</f>
        <v>0.35</v>
      </c>
      <c r="AW43" s="332">
        <f>'Income Tax Rates'!$D$73</f>
        <v>0.35</v>
      </c>
      <c r="AX43" s="332">
        <f>'Income Tax Rates'!$D$73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177.17871495708241</v>
      </c>
      <c r="F44" s="88">
        <f t="shared" si="31"/>
        <v>193.51878278281248</v>
      </c>
      <c r="G44" s="88">
        <f t="shared" si="31"/>
        <v>221.92965915553108</v>
      </c>
      <c r="H44" s="88">
        <f t="shared" si="31"/>
        <v>264.60758212884531</v>
      </c>
      <c r="I44" s="88">
        <f t="shared" si="31"/>
        <v>320.7821395286079</v>
      </c>
      <c r="J44" s="88">
        <f t="shared" si="31"/>
        <v>367.47754686006328</v>
      </c>
      <c r="K44" s="88">
        <f t="shared" si="31"/>
        <v>422.97515929196112</v>
      </c>
      <c r="L44" s="88">
        <f t="shared" si="31"/>
        <v>463.62176611107577</v>
      </c>
      <c r="M44" s="88">
        <f t="shared" si="31"/>
        <v>527.96627298639851</v>
      </c>
      <c r="N44" s="88">
        <f t="shared" si="31"/>
        <v>573.22727727387576</v>
      </c>
      <c r="O44" s="88">
        <f t="shared" ref="O44:Z44" si="32">((O22*(O26-O34))-O39+O36)*O43</f>
        <v>712.04187678616086</v>
      </c>
      <c r="P44" s="88">
        <f t="shared" si="32"/>
        <v>728.0806780685831</v>
      </c>
      <c r="Q44" s="88">
        <f t="shared" si="32"/>
        <v>753.54063033006491</v>
      </c>
      <c r="R44" s="88">
        <f t="shared" si="32"/>
        <v>821.53927156773091</v>
      </c>
      <c r="S44" s="88">
        <f t="shared" si="32"/>
        <v>898.21051873198678</v>
      </c>
      <c r="T44" s="88">
        <f t="shared" si="32"/>
        <v>990.1994323995915</v>
      </c>
      <c r="U44" s="88">
        <f t="shared" si="32"/>
        <v>1079.0199689432361</v>
      </c>
      <c r="V44" s="88">
        <f t="shared" si="32"/>
        <v>1152.2553369456764</v>
      </c>
      <c r="W44" s="88">
        <f t="shared" si="32"/>
        <v>1193.5721702818689</v>
      </c>
      <c r="X44" s="88">
        <f t="shared" si="32"/>
        <v>1146.882329559078</v>
      </c>
      <c r="Y44" s="88">
        <f t="shared" si="32"/>
        <v>767.47068325520877</v>
      </c>
      <c r="Z44" s="88">
        <f t="shared" si="32"/>
        <v>519.69907234240839</v>
      </c>
      <c r="AA44" s="88">
        <f t="shared" ref="AA44:AL44" si="33">((AA22*(AA26-AA34))-AA39+AA36)*AA43</f>
        <v>384.15943687544114</v>
      </c>
      <c r="AB44" s="88">
        <f t="shared" si="33"/>
        <v>433.88231552039105</v>
      </c>
      <c r="AC44" s="88">
        <f t="shared" si="33"/>
        <v>502.04354389496382</v>
      </c>
      <c r="AD44" s="88">
        <f t="shared" si="33"/>
        <v>564.41908260785169</v>
      </c>
      <c r="AE44" s="88">
        <f t="shared" si="33"/>
        <v>661.955563451128</v>
      </c>
      <c r="AF44" s="88">
        <f t="shared" si="33"/>
        <v>772.09531427399656</v>
      </c>
      <c r="AG44" s="88">
        <f t="shared" si="33"/>
        <v>883.65612607603407</v>
      </c>
      <c r="AH44" s="88">
        <f t="shared" si="33"/>
        <v>1056.9396034850474</v>
      </c>
      <c r="AI44" s="88">
        <f t="shared" si="33"/>
        <v>1177.2146924154047</v>
      </c>
      <c r="AJ44" s="88">
        <f t="shared" si="33"/>
        <v>1296.1292604608241</v>
      </c>
      <c r="AK44" s="88">
        <f t="shared" si="33"/>
        <v>1444.4390525448057</v>
      </c>
      <c r="AL44" s="88">
        <f t="shared" si="33"/>
        <v>1675.2036744367163</v>
      </c>
      <c r="AM44" s="481">
        <f t="shared" ref="AM44:AX44" si="34">((AM22*(AM26-AM34))-AM39+AM36)*AM43</f>
        <v>1938.6150401734283</v>
      </c>
      <c r="AN44" s="481">
        <f t="shared" si="34"/>
        <v>2049.5847087221041</v>
      </c>
      <c r="AO44" s="481">
        <f t="shared" si="34"/>
        <v>2213.5052182767226</v>
      </c>
      <c r="AP44" s="481">
        <f t="shared" si="34"/>
        <v>2389.3131390973335</v>
      </c>
      <c r="AQ44" s="481">
        <f t="shared" si="34"/>
        <v>2549.643855625764</v>
      </c>
      <c r="AR44" s="481">
        <f t="shared" si="34"/>
        <v>2694.7326645399576</v>
      </c>
      <c r="AS44" s="481">
        <f t="shared" si="34"/>
        <v>2771.4757994153106</v>
      </c>
      <c r="AT44" s="481">
        <f t="shared" si="34"/>
        <v>2897.3579296841945</v>
      </c>
      <c r="AU44" s="481">
        <f t="shared" si="34"/>
        <v>3034.127312603493</v>
      </c>
      <c r="AV44" s="481">
        <f t="shared" si="34"/>
        <v>3204.5404274804364</v>
      </c>
      <c r="AW44" s="481">
        <f t="shared" si="34"/>
        <v>3355.4205976175222</v>
      </c>
      <c r="AX44" s="481">
        <f t="shared" si="34"/>
        <v>3539.9226964271829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Tax'!$F235</f>
        <v>-109.27099527815086</v>
      </c>
      <c r="F47" s="158">
        <f>-'Def Tax'!$F236</f>
        <v>-112.9438943285702</v>
      </c>
      <c r="G47" s="158">
        <f>-'Def Tax'!$F237</f>
        <v>-128.83722463276032</v>
      </c>
      <c r="H47" s="158">
        <f>-'Def Tax'!$F238</f>
        <v>-150.97314661928044</v>
      </c>
      <c r="I47" s="158">
        <f>-'Def Tax'!$F239</f>
        <v>-188.93082797886532</v>
      </c>
      <c r="J47" s="158">
        <f>-'Def Tax'!$F240</f>
        <v>-213.7389800131734</v>
      </c>
      <c r="K47" s="158">
        <f>-'Def Tax'!$F241</f>
        <v>-254.06507799707205</v>
      </c>
      <c r="L47" s="158">
        <f>-'Def Tax'!$F242</f>
        <v>-271.16979584631935</v>
      </c>
      <c r="M47" s="158">
        <f>-'Def Tax'!$F243</f>
        <v>-319.89147398025841</v>
      </c>
      <c r="N47" s="158">
        <f>-'Def Tax'!$F244</f>
        <v>-334.50449595839507</v>
      </c>
      <c r="O47" s="158">
        <f>-'Def Tax'!$F247</f>
        <v>-450.99914377293868</v>
      </c>
      <c r="P47" s="158">
        <f>-'Def Tax'!$F248</f>
        <v>-462.84834270181511</v>
      </c>
      <c r="Q47" s="158">
        <f>-'Def Tax'!$F249</f>
        <v>-470.91573548694186</v>
      </c>
      <c r="R47" s="158">
        <f>-'Def Tax'!$F250</f>
        <v>-514.09433304446986</v>
      </c>
      <c r="S47" s="158">
        <f>-'Def Tax'!$F252</f>
        <v>-560.05729750342448</v>
      </c>
      <c r="T47" s="158">
        <f>-'Def Tax'!$F256</f>
        <v>-619.88412072769972</v>
      </c>
      <c r="U47" s="158">
        <f>-'Def Tax'!$F257</f>
        <v>-677.57058589494784</v>
      </c>
      <c r="V47" s="158">
        <f>-'Def Tax'!$F258</f>
        <v>-734.50298945713985</v>
      </c>
      <c r="W47" s="158">
        <f>-'Def Tax'!$F259</f>
        <v>-755.28421000134324</v>
      </c>
      <c r="X47" s="158">
        <f>-'Def Tax'!$F261</f>
        <v>-803.97312411097778</v>
      </c>
      <c r="Y47" s="158">
        <f>-'Def Tax'!$F265</f>
        <v>-534.96699581395842</v>
      </c>
      <c r="Z47" s="158">
        <f>-'Def Tax'!$F269</f>
        <v>-363.7512664828418</v>
      </c>
      <c r="AA47" s="158">
        <f>-'Def Tax'!$F275</f>
        <v>-240.02833538613896</v>
      </c>
      <c r="AB47" s="158">
        <f>-'Def Tax'!$F276</f>
        <v>-267.08457686369178</v>
      </c>
      <c r="AC47" s="158">
        <f>-'Def Tax'!$F277</f>
        <v>-314.48495894231513</v>
      </c>
      <c r="AD47" s="158">
        <f>-'Def Tax'!$F278</f>
        <v>-348.24877055288965</v>
      </c>
      <c r="AE47" s="158">
        <f>-'Def Tax'!$F279</f>
        <v>-408.56600123410271</v>
      </c>
      <c r="AF47" s="158">
        <f>-'Def Tax'!$F280</f>
        <v>-479.41755759848866</v>
      </c>
      <c r="AG47" s="158">
        <f>-'Def Tax'!$F281</f>
        <v>-534.1545352805224</v>
      </c>
      <c r="AH47" s="158">
        <f>-'Def Tax'!$F282</f>
        <v>-655.88538189635847</v>
      </c>
      <c r="AI47" s="158">
        <f>-'Def Tax'!$F283</f>
        <v>-734.66881027552699</v>
      </c>
      <c r="AJ47" s="158">
        <f>-'Def Tax'!$F284</f>
        <v>-809.02243761983698</v>
      </c>
      <c r="AK47" s="158">
        <f>-'Def Tax'!$F285</f>
        <v>-894.07821798364853</v>
      </c>
      <c r="AL47" s="158">
        <f>-'Def Tax'!$F286</f>
        <v>-1022.1732339165635</v>
      </c>
      <c r="AM47" s="480">
        <f>-'Def Tax'!$F289</f>
        <v>-1231.4019925484772</v>
      </c>
      <c r="AN47" s="480">
        <f>-'Def Tax'!$F290</f>
        <v>-1293.8850712068445</v>
      </c>
      <c r="AO47" s="480">
        <f>-'Def Tax'!$F291</f>
        <v>-1396.171883014682</v>
      </c>
      <c r="AP47" s="480">
        <f>-'Def Tax'!$F292</f>
        <v>-1514.5544246296126</v>
      </c>
      <c r="AQ47" s="480">
        <f>-'Def Tax'!$F293</f>
        <v>-1616.3240359132149</v>
      </c>
      <c r="AR47" s="480">
        <f>-'Def Tax'!$F294</f>
        <v>-1729.8619142073044</v>
      </c>
      <c r="AS47" s="480">
        <f>-'Def Tax'!$F295</f>
        <v>-1771.4308124548213</v>
      </c>
      <c r="AT47" s="480">
        <f>-'Def Tax'!$F296</f>
        <v>-1856.0301276879613</v>
      </c>
      <c r="AU47" s="480">
        <f>-'Def Tax'!$F297</f>
        <v>-1937.6742374599191</v>
      </c>
      <c r="AV47" s="480">
        <f>-'Def Tax'!$F298</f>
        <v>-2056.9422161225543</v>
      </c>
      <c r="AW47" s="480">
        <f>-'Def Tax'!$F300</f>
        <v>-2150.7400542479322</v>
      </c>
      <c r="AX47" s="480">
        <f>-'Def Tax'!$F304</f>
        <v>-2270.1214301648201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Rates'!$D$56</f>
        <v>0.40720000000000001</v>
      </c>
      <c r="AB52" s="79">
        <f>'Income Tax Rates'!$D$56</f>
        <v>0.40720000000000001</v>
      </c>
      <c r="AC52" s="79">
        <f>'Income Tax Rates'!$D$56</f>
        <v>0.40720000000000001</v>
      </c>
      <c r="AD52" s="79">
        <f>'Income Tax Rates'!$D$56</f>
        <v>0.40720000000000001</v>
      </c>
      <c r="AE52" s="79">
        <f>'Income Tax Rates'!$D$56</f>
        <v>0.40720000000000001</v>
      </c>
      <c r="AF52" s="79">
        <f>'Income Tax Rates'!$D$56</f>
        <v>0.40720000000000001</v>
      </c>
      <c r="AG52" s="79">
        <f>'Income Tax Rates'!$D$56</f>
        <v>0.40720000000000001</v>
      </c>
      <c r="AH52" s="79">
        <f>'Income Tax Rates'!$D$56</f>
        <v>0.40720000000000001</v>
      </c>
      <c r="AI52" s="79">
        <f>'Income Tax Rates'!$D$56</f>
        <v>0.40720000000000001</v>
      </c>
      <c r="AJ52" s="79">
        <f>'Income Tax Rates'!$D$56</f>
        <v>0.40720000000000001</v>
      </c>
      <c r="AK52" s="79">
        <f>'Income Tax Rates'!$D$56</f>
        <v>0.40720000000000001</v>
      </c>
      <c r="AL52" s="79">
        <f>'Income Tax Rates'!$D$56</f>
        <v>0.40720000000000001</v>
      </c>
      <c r="AM52" s="79">
        <f>'Income Tax Rates'!$D$76</f>
        <v>0.40739999999999998</v>
      </c>
      <c r="AN52" s="79">
        <f>'Income Tax Rates'!$D$76</f>
        <v>0.40739999999999998</v>
      </c>
      <c r="AO52" s="79">
        <f>'Income Tax Rates'!$D$76</f>
        <v>0.40739999999999998</v>
      </c>
      <c r="AP52" s="79">
        <f>'Income Tax Rates'!$D$76</f>
        <v>0.40739999999999998</v>
      </c>
      <c r="AQ52" s="79">
        <f>'Income Tax Rates'!$D$76</f>
        <v>0.40739999999999998</v>
      </c>
      <c r="AR52" s="79">
        <f>'Income Tax Rates'!$D$76</f>
        <v>0.40739999999999998</v>
      </c>
      <c r="AS52" s="79">
        <f>'Income Tax Rates'!$D$76</f>
        <v>0.40739999999999998</v>
      </c>
      <c r="AT52" s="79">
        <f>'Income Tax Rates'!$D$76</f>
        <v>0.40739999999999998</v>
      </c>
      <c r="AU52" s="79">
        <f>'Income Tax Rates'!$D$76</f>
        <v>0.40739999999999998</v>
      </c>
      <c r="AV52" s="79">
        <f>'Income Tax Rates'!$D$76</f>
        <v>0.40739999999999998</v>
      </c>
      <c r="AW52" s="79">
        <f>'Income Tax Rates'!$D$76</f>
        <v>0.40739999999999998</v>
      </c>
      <c r="AX52" s="79">
        <f>'Income Tax Rates'!$D$76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88">
        <f t="shared" ref="AM53:AX53" si="38">1/(1-AM52)</f>
        <v>1.6874789065136686</v>
      </c>
      <c r="AN53" s="488">
        <f t="shared" si="38"/>
        <v>1.6874789065136686</v>
      </c>
      <c r="AO53" s="488">
        <f t="shared" si="38"/>
        <v>1.6874789065136686</v>
      </c>
      <c r="AP53" s="488">
        <f t="shared" si="38"/>
        <v>1.6874789065136686</v>
      </c>
      <c r="AQ53" s="488">
        <f t="shared" si="38"/>
        <v>1.6874789065136686</v>
      </c>
      <c r="AR53" s="488">
        <f t="shared" si="38"/>
        <v>1.6874789065136686</v>
      </c>
      <c r="AS53" s="488">
        <f t="shared" si="38"/>
        <v>1.6874789065136686</v>
      </c>
      <c r="AT53" s="488">
        <f t="shared" si="38"/>
        <v>1.6874789065136686</v>
      </c>
      <c r="AU53" s="488">
        <f t="shared" si="38"/>
        <v>1.6874789065136686</v>
      </c>
      <c r="AV53" s="488">
        <f t="shared" si="38"/>
        <v>1.6874789065136686</v>
      </c>
      <c r="AW53" s="488">
        <f t="shared" si="38"/>
        <v>1.6874789065136686</v>
      </c>
      <c r="AX53" s="488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47.615303833648063</v>
      </c>
      <c r="F56" s="90">
        <f t="shared" si="39"/>
        <v>52.006560957129381</v>
      </c>
      <c r="G56" s="90">
        <f t="shared" si="39"/>
        <v>59.641747333748583</v>
      </c>
      <c r="H56" s="90">
        <f t="shared" si="39"/>
        <v>71.111083646835738</v>
      </c>
      <c r="I56" s="90">
        <f t="shared" si="39"/>
        <v>86.207528041741213</v>
      </c>
      <c r="J56" s="90">
        <f t="shared" si="39"/>
        <v>98.756529812421036</v>
      </c>
      <c r="K56" s="90">
        <f t="shared" si="39"/>
        <v>113.67105088582963</v>
      </c>
      <c r="L56" s="90">
        <f t="shared" si="39"/>
        <v>124.59448790233459</v>
      </c>
      <c r="M56" s="90">
        <f t="shared" si="39"/>
        <v>141.88653816715839</v>
      </c>
      <c r="N56" s="90">
        <f t="shared" si="39"/>
        <v>154.050056067637</v>
      </c>
      <c r="O56" s="90">
        <f t="shared" si="39"/>
        <v>194.42235654753972</v>
      </c>
      <c r="P56" s="90">
        <f t="shared" si="39"/>
        <v>198.80173596775143</v>
      </c>
      <c r="Q56" s="90">
        <f t="shared" si="39"/>
        <v>205.75355169326343</v>
      </c>
      <c r="R56" s="90">
        <f t="shared" si="39"/>
        <v>224.32051594419906</v>
      </c>
      <c r="S56" s="90">
        <f t="shared" si="39"/>
        <v>245.25552698652047</v>
      </c>
      <c r="T56" s="90">
        <f t="shared" si="39"/>
        <v>270.37301228419341</v>
      </c>
      <c r="U56" s="90">
        <f t="shared" si="39"/>
        <v>294.62537522466471</v>
      </c>
      <c r="V56" s="90">
        <f t="shared" si="39"/>
        <v>314.62222273302666</v>
      </c>
      <c r="W56" s="90">
        <f t="shared" si="39"/>
        <v>325.90374473923436</v>
      </c>
      <c r="X56" s="90">
        <f t="shared" si="39"/>
        <v>313.15512818155895</v>
      </c>
      <c r="Y56" s="90">
        <f t="shared" si="39"/>
        <v>209.55713938218216</v>
      </c>
      <c r="Z56" s="90">
        <f t="shared" si="39"/>
        <v>141.90333691669346</v>
      </c>
      <c r="AA56" s="90">
        <f t="shared" ref="AA56:AL56" si="40">AA39</f>
        <v>105.8426385558281</v>
      </c>
      <c r="AB56" s="90">
        <f t="shared" si="40"/>
        <v>119.54216059588964</v>
      </c>
      <c r="AC56" s="90">
        <f t="shared" si="40"/>
        <v>138.32177022112532</v>
      </c>
      <c r="AD56" s="90">
        <f t="shared" si="40"/>
        <v>155.50732123195175</v>
      </c>
      <c r="AE56" s="90">
        <f t="shared" si="40"/>
        <v>182.38032628388703</v>
      </c>
      <c r="AF56" s="90">
        <f t="shared" si="40"/>
        <v>212.72575247409054</v>
      </c>
      <c r="AG56" s="90">
        <f t="shared" si="40"/>
        <v>243.46270579898408</v>
      </c>
      <c r="AH56" s="90">
        <f t="shared" si="40"/>
        <v>291.20533218420019</v>
      </c>
      <c r="AI56" s="90">
        <f t="shared" si="40"/>
        <v>324.34322115151843</v>
      </c>
      <c r="AJ56" s="90">
        <f t="shared" si="40"/>
        <v>357.10626283812599</v>
      </c>
      <c r="AK56" s="90">
        <f t="shared" si="40"/>
        <v>397.96820246795892</v>
      </c>
      <c r="AL56" s="90">
        <f t="shared" si="40"/>
        <v>461.54788871759598</v>
      </c>
      <c r="AM56" s="90">
        <f t="shared" ref="AM56:AX56" si="41">AM39</f>
        <v>536.6536654037377</v>
      </c>
      <c r="AN56" s="90">
        <f t="shared" si="41"/>
        <v>567.37264681118472</v>
      </c>
      <c r="AO56" s="90">
        <f t="shared" si="41"/>
        <v>612.74965073635019</v>
      </c>
      <c r="AP56" s="90">
        <f t="shared" si="41"/>
        <v>661.41736617249501</v>
      </c>
      <c r="AQ56" s="90">
        <f t="shared" si="41"/>
        <v>705.80063201886583</v>
      </c>
      <c r="AR56" s="90">
        <f t="shared" si="41"/>
        <v>745.96458386043344</v>
      </c>
      <c r="AS56" s="90">
        <f t="shared" si="41"/>
        <v>767.20886587206348</v>
      </c>
      <c r="AT56" s="90">
        <f t="shared" si="41"/>
        <v>802.05596300981392</v>
      </c>
      <c r="AU56" s="90">
        <f t="shared" si="41"/>
        <v>839.91690452612568</v>
      </c>
      <c r="AV56" s="90">
        <f t="shared" si="41"/>
        <v>887.0912123884018</v>
      </c>
      <c r="AW56" s="90">
        <f t="shared" si="41"/>
        <v>928.85834751470441</v>
      </c>
      <c r="AX56" s="90">
        <f t="shared" si="41"/>
        <v>979.93281333130608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177.17871495708241</v>
      </c>
      <c r="F57" s="90">
        <f t="shared" si="42"/>
        <v>193.51878278281248</v>
      </c>
      <c r="G57" s="90">
        <f t="shared" si="42"/>
        <v>221.92965915553108</v>
      </c>
      <c r="H57" s="90">
        <f t="shared" si="42"/>
        <v>264.60758212884531</v>
      </c>
      <c r="I57" s="90">
        <f t="shared" si="42"/>
        <v>320.7821395286079</v>
      </c>
      <c r="J57" s="90">
        <f t="shared" si="42"/>
        <v>367.47754686006328</v>
      </c>
      <c r="K57" s="90">
        <f t="shared" si="42"/>
        <v>422.97515929196112</v>
      </c>
      <c r="L57" s="90">
        <f t="shared" si="42"/>
        <v>463.62176611107577</v>
      </c>
      <c r="M57" s="90">
        <f t="shared" si="42"/>
        <v>527.96627298639851</v>
      </c>
      <c r="N57" s="90">
        <f t="shared" si="42"/>
        <v>573.22727727387576</v>
      </c>
      <c r="O57" s="90">
        <f t="shared" si="42"/>
        <v>712.04187678616086</v>
      </c>
      <c r="P57" s="90">
        <f t="shared" si="42"/>
        <v>728.0806780685831</v>
      </c>
      <c r="Q57" s="90">
        <f t="shared" si="42"/>
        <v>753.54063033006491</v>
      </c>
      <c r="R57" s="90">
        <f t="shared" si="42"/>
        <v>821.53927156773091</v>
      </c>
      <c r="S57" s="90">
        <f t="shared" si="42"/>
        <v>898.21051873198678</v>
      </c>
      <c r="T57" s="90">
        <f t="shared" si="42"/>
        <v>990.1994323995915</v>
      </c>
      <c r="U57" s="90">
        <f t="shared" si="42"/>
        <v>1079.0199689432361</v>
      </c>
      <c r="V57" s="90">
        <f t="shared" si="42"/>
        <v>1152.2553369456764</v>
      </c>
      <c r="W57" s="90">
        <f t="shared" si="42"/>
        <v>1193.5721702818689</v>
      </c>
      <c r="X57" s="90">
        <f t="shared" si="42"/>
        <v>1146.882329559078</v>
      </c>
      <c r="Y57" s="90">
        <f t="shared" si="42"/>
        <v>767.47068325520877</v>
      </c>
      <c r="Z57" s="90">
        <f t="shared" si="42"/>
        <v>519.69907234240839</v>
      </c>
      <c r="AA57" s="90">
        <f t="shared" ref="AA57:AL57" si="43">AA44</f>
        <v>384.15943687544114</v>
      </c>
      <c r="AB57" s="90">
        <f t="shared" si="43"/>
        <v>433.88231552039105</v>
      </c>
      <c r="AC57" s="90">
        <f t="shared" si="43"/>
        <v>502.04354389496382</v>
      </c>
      <c r="AD57" s="90">
        <f t="shared" si="43"/>
        <v>564.41908260785169</v>
      </c>
      <c r="AE57" s="90">
        <f t="shared" si="43"/>
        <v>661.955563451128</v>
      </c>
      <c r="AF57" s="90">
        <f t="shared" si="43"/>
        <v>772.09531427399656</v>
      </c>
      <c r="AG57" s="90">
        <f t="shared" si="43"/>
        <v>883.65612607603407</v>
      </c>
      <c r="AH57" s="90">
        <f t="shared" si="43"/>
        <v>1056.9396034850474</v>
      </c>
      <c r="AI57" s="90">
        <f t="shared" si="43"/>
        <v>1177.2146924154047</v>
      </c>
      <c r="AJ57" s="90">
        <f t="shared" si="43"/>
        <v>1296.1292604608241</v>
      </c>
      <c r="AK57" s="90">
        <f t="shared" si="43"/>
        <v>1444.4390525448057</v>
      </c>
      <c r="AL57" s="90">
        <f t="shared" si="43"/>
        <v>1675.2036744367163</v>
      </c>
      <c r="AM57" s="90">
        <f t="shared" ref="AM57:AX57" si="44">AM44</f>
        <v>1938.6150401734283</v>
      </c>
      <c r="AN57" s="90">
        <f t="shared" si="44"/>
        <v>2049.5847087221041</v>
      </c>
      <c r="AO57" s="90">
        <f t="shared" si="44"/>
        <v>2213.5052182767226</v>
      </c>
      <c r="AP57" s="90">
        <f t="shared" si="44"/>
        <v>2389.3131390973335</v>
      </c>
      <c r="AQ57" s="90">
        <f t="shared" si="44"/>
        <v>2549.643855625764</v>
      </c>
      <c r="AR57" s="90">
        <f t="shared" si="44"/>
        <v>2694.7326645399576</v>
      </c>
      <c r="AS57" s="90">
        <f t="shared" si="44"/>
        <v>2771.4757994153106</v>
      </c>
      <c r="AT57" s="90">
        <f t="shared" si="44"/>
        <v>2897.3579296841945</v>
      </c>
      <c r="AU57" s="90">
        <f t="shared" si="44"/>
        <v>3034.127312603493</v>
      </c>
      <c r="AV57" s="90">
        <f t="shared" si="44"/>
        <v>3204.5404274804364</v>
      </c>
      <c r="AW57" s="90">
        <f t="shared" si="44"/>
        <v>3355.4205976175222</v>
      </c>
      <c r="AX57" s="90">
        <f t="shared" si="44"/>
        <v>3539.9226964271829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-109.27099527815086</v>
      </c>
      <c r="F58" s="91">
        <f t="shared" si="45"/>
        <v>-112.9438943285702</v>
      </c>
      <c r="G58" s="91">
        <f t="shared" si="45"/>
        <v>-128.83722463276032</v>
      </c>
      <c r="H58" s="91">
        <f t="shared" si="45"/>
        <v>-150.97314661928044</v>
      </c>
      <c r="I58" s="91">
        <f t="shared" si="45"/>
        <v>-188.93082797886532</v>
      </c>
      <c r="J58" s="91">
        <f t="shared" si="45"/>
        <v>-213.7389800131734</v>
      </c>
      <c r="K58" s="91">
        <f t="shared" si="45"/>
        <v>-254.06507799707205</v>
      </c>
      <c r="L58" s="91">
        <f t="shared" si="45"/>
        <v>-271.16979584631935</v>
      </c>
      <c r="M58" s="91">
        <f t="shared" si="45"/>
        <v>-319.89147398025841</v>
      </c>
      <c r="N58" s="91">
        <f t="shared" si="45"/>
        <v>-334.50449595839507</v>
      </c>
      <c r="O58" s="91">
        <f t="shared" si="45"/>
        <v>-450.99914377293868</v>
      </c>
      <c r="P58" s="91">
        <f t="shared" si="45"/>
        <v>-462.84834270181511</v>
      </c>
      <c r="Q58" s="91">
        <f t="shared" si="45"/>
        <v>-470.91573548694186</v>
      </c>
      <c r="R58" s="91">
        <f t="shared" si="45"/>
        <v>-514.09433304446986</v>
      </c>
      <c r="S58" s="91">
        <f t="shared" si="45"/>
        <v>-560.05729750342448</v>
      </c>
      <c r="T58" s="91">
        <f t="shared" si="45"/>
        <v>-619.88412072769972</v>
      </c>
      <c r="U58" s="91">
        <f t="shared" si="45"/>
        <v>-677.57058589494784</v>
      </c>
      <c r="V58" s="91">
        <f t="shared" si="45"/>
        <v>-734.50298945713985</v>
      </c>
      <c r="W58" s="91">
        <f t="shared" si="45"/>
        <v>-755.28421000134324</v>
      </c>
      <c r="X58" s="91">
        <f t="shared" si="45"/>
        <v>-803.97312411097778</v>
      </c>
      <c r="Y58" s="91">
        <f t="shared" si="45"/>
        <v>-534.96699581395842</v>
      </c>
      <c r="Z58" s="91">
        <f t="shared" si="45"/>
        <v>-363.7512664828418</v>
      </c>
      <c r="AA58" s="91">
        <f t="shared" ref="AA58:AL58" si="46">AA47</f>
        <v>-240.02833538613896</v>
      </c>
      <c r="AB58" s="91">
        <f t="shared" si="46"/>
        <v>-267.08457686369178</v>
      </c>
      <c r="AC58" s="91">
        <f t="shared" si="46"/>
        <v>-314.48495894231513</v>
      </c>
      <c r="AD58" s="91">
        <f t="shared" si="46"/>
        <v>-348.24877055288965</v>
      </c>
      <c r="AE58" s="91">
        <f t="shared" si="46"/>
        <v>-408.56600123410271</v>
      </c>
      <c r="AF58" s="91">
        <f t="shared" si="46"/>
        <v>-479.41755759848866</v>
      </c>
      <c r="AG58" s="91">
        <f t="shared" si="46"/>
        <v>-534.1545352805224</v>
      </c>
      <c r="AH58" s="91">
        <f t="shared" si="46"/>
        <v>-655.88538189635847</v>
      </c>
      <c r="AI58" s="91">
        <f t="shared" si="46"/>
        <v>-734.66881027552699</v>
      </c>
      <c r="AJ58" s="91">
        <f t="shared" si="46"/>
        <v>-809.02243761983698</v>
      </c>
      <c r="AK58" s="91">
        <f t="shared" si="46"/>
        <v>-894.07821798364853</v>
      </c>
      <c r="AL58" s="91">
        <f t="shared" si="46"/>
        <v>-1022.1732339165635</v>
      </c>
      <c r="AM58" s="486">
        <f t="shared" ref="AM58:AX58" si="47">AM47</f>
        <v>-1231.4019925484772</v>
      </c>
      <c r="AN58" s="486">
        <f t="shared" si="47"/>
        <v>-1293.8850712068445</v>
      </c>
      <c r="AO58" s="486">
        <f t="shared" si="47"/>
        <v>-1396.171883014682</v>
      </c>
      <c r="AP58" s="486">
        <f t="shared" si="47"/>
        <v>-1514.5544246296126</v>
      </c>
      <c r="AQ58" s="486">
        <f t="shared" si="47"/>
        <v>-1616.3240359132149</v>
      </c>
      <c r="AR58" s="486">
        <f t="shared" si="47"/>
        <v>-1729.8619142073044</v>
      </c>
      <c r="AS58" s="486">
        <f t="shared" si="47"/>
        <v>-1771.4308124548213</v>
      </c>
      <c r="AT58" s="486">
        <f t="shared" si="47"/>
        <v>-1856.0301276879613</v>
      </c>
      <c r="AU58" s="486">
        <f t="shared" si="47"/>
        <v>-1937.6742374599191</v>
      </c>
      <c r="AV58" s="486">
        <f t="shared" si="47"/>
        <v>-2056.9422161225543</v>
      </c>
      <c r="AW58" s="486">
        <f t="shared" si="47"/>
        <v>-2150.7400542479322</v>
      </c>
      <c r="AX58" s="486">
        <f t="shared" si="47"/>
        <v>-2270.1214301648201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75">
        <f t="shared" ref="AM59:AX59" si="50">AM53</f>
        <v>1.6874789065136686</v>
      </c>
      <c r="AN59" s="475">
        <f t="shared" si="50"/>
        <v>1.6874789065136686</v>
      </c>
      <c r="AO59" s="475">
        <f t="shared" si="50"/>
        <v>1.6874789065136686</v>
      </c>
      <c r="AP59" s="475">
        <f t="shared" si="50"/>
        <v>1.6874789065136686</v>
      </c>
      <c r="AQ59" s="475">
        <f t="shared" si="50"/>
        <v>1.6874789065136686</v>
      </c>
      <c r="AR59" s="475">
        <f t="shared" si="50"/>
        <v>1.6874789065136686</v>
      </c>
      <c r="AS59" s="475">
        <f t="shared" si="50"/>
        <v>1.6874789065136686</v>
      </c>
      <c r="AT59" s="475">
        <f t="shared" si="50"/>
        <v>1.6874789065136686</v>
      </c>
      <c r="AU59" s="475">
        <f t="shared" si="50"/>
        <v>1.6874789065136686</v>
      </c>
      <c r="AV59" s="475">
        <f t="shared" si="50"/>
        <v>1.6874789065136686</v>
      </c>
      <c r="AW59" s="475">
        <f t="shared" si="50"/>
        <v>1.6874789065136686</v>
      </c>
      <c r="AX59" s="475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194.44490481265407</v>
      </c>
      <c r="F60" s="66">
        <f t="shared" si="51"/>
        <v>223.15713809127101</v>
      </c>
      <c r="G60" s="66">
        <f t="shared" si="51"/>
        <v>257.07761578362397</v>
      </c>
      <c r="H60" s="66">
        <f t="shared" si="51"/>
        <v>310.95814318795897</v>
      </c>
      <c r="I60" s="66">
        <f t="shared" si="51"/>
        <v>367.03012974125261</v>
      </c>
      <c r="J60" s="66">
        <f t="shared" si="51"/>
        <v>424.99220971510812</v>
      </c>
      <c r="K60" s="66">
        <f t="shared" si="51"/>
        <v>475.63212663619902</v>
      </c>
      <c r="L60" s="66">
        <f t="shared" si="51"/>
        <v>533.64313454604223</v>
      </c>
      <c r="M60" s="66">
        <f t="shared" si="51"/>
        <v>589.04447637973408</v>
      </c>
      <c r="N60" s="66">
        <f t="shared" si="51"/>
        <v>661.10351560907645</v>
      </c>
      <c r="O60" s="66">
        <f t="shared" ref="O60:Z60" si="52">(O56+O57+O58)*O59</f>
        <v>767.68062102956799</v>
      </c>
      <c r="P60" s="66">
        <f t="shared" si="52"/>
        <v>782.12353092637932</v>
      </c>
      <c r="Q60" s="66">
        <f t="shared" si="52"/>
        <v>823.1556659942263</v>
      </c>
      <c r="R60" s="66">
        <f t="shared" si="52"/>
        <v>896.28391655951555</v>
      </c>
      <c r="S60" s="66">
        <f t="shared" si="52"/>
        <v>983.32803195905262</v>
      </c>
      <c r="T60" s="66">
        <f t="shared" si="52"/>
        <v>1079.8720290402969</v>
      </c>
      <c r="U60" s="66">
        <f t="shared" si="52"/>
        <v>1173.2251603066049</v>
      </c>
      <c r="V60" s="66">
        <f t="shared" si="52"/>
        <v>1234.4080320978096</v>
      </c>
      <c r="W60" s="66">
        <f t="shared" si="52"/>
        <v>1288.0354085116996</v>
      </c>
      <c r="X60" s="66">
        <f t="shared" si="52"/>
        <v>1105.788097967883</v>
      </c>
      <c r="Y60" s="66">
        <f t="shared" si="52"/>
        <v>745.08790650876892</v>
      </c>
      <c r="Z60" s="66">
        <f t="shared" si="52"/>
        <v>502.02431646595358</v>
      </c>
      <c r="AA60" s="66">
        <f t="shared" ref="AA60:AL60" si="53">(AA56+AA57+AA58)*AA59</f>
        <v>421.68309724212259</v>
      </c>
      <c r="AB60" s="66">
        <f t="shared" si="53"/>
        <v>483.02951965686378</v>
      </c>
      <c r="AC60" s="66">
        <f t="shared" si="53"/>
        <v>549.73069361297917</v>
      </c>
      <c r="AD60" s="66">
        <f t="shared" si="53"/>
        <v>626.98656087536062</v>
      </c>
      <c r="AE60" s="66">
        <f t="shared" si="53"/>
        <v>735.10440030518271</v>
      </c>
      <c r="AF60" s="66">
        <f t="shared" si="53"/>
        <v>852.57002218218361</v>
      </c>
      <c r="AG60" s="66">
        <f t="shared" si="53"/>
        <v>1000.2771534994869</v>
      </c>
      <c r="AH60" s="66">
        <f t="shared" si="53"/>
        <v>1167.7792742457643</v>
      </c>
      <c r="AI60" s="66">
        <f t="shared" si="53"/>
        <v>1293.6725764024902</v>
      </c>
      <c r="AJ60" s="66">
        <f t="shared" si="53"/>
        <v>1424.111143183389</v>
      </c>
      <c r="AK60" s="66">
        <f t="shared" si="53"/>
        <v>1599.745339117942</v>
      </c>
      <c r="AL60" s="66">
        <f t="shared" si="53"/>
        <v>1880.1928630866209</v>
      </c>
      <c r="AM60" s="483">
        <f t="shared" ref="AM60:AX60" si="54">(AM56+AM57+AM58)*AM59</f>
        <v>2098.9988407504025</v>
      </c>
      <c r="AN60" s="483">
        <f t="shared" si="54"/>
        <v>2232.6565715937304</v>
      </c>
      <c r="AO60" s="483">
        <f t="shared" si="54"/>
        <v>2413.2348734363668</v>
      </c>
      <c r="AP60" s="483">
        <f t="shared" si="54"/>
        <v>2592.2647327712048</v>
      </c>
      <c r="AQ60" s="483">
        <f t="shared" si="54"/>
        <v>2765.9811875319183</v>
      </c>
      <c r="AR60" s="483">
        <f t="shared" si="54"/>
        <v>2886.9985389690964</v>
      </c>
      <c r="AS60" s="483">
        <f t="shared" si="54"/>
        <v>2982.2035991099442</v>
      </c>
      <c r="AT60" s="483">
        <f t="shared" si="54"/>
        <v>3110.6712200574543</v>
      </c>
      <c r="AU60" s="483">
        <f t="shared" si="54"/>
        <v>3267.583495898919</v>
      </c>
      <c r="AV60" s="483">
        <f t="shared" si="54"/>
        <v>3433.4954838783055</v>
      </c>
      <c r="AW60" s="483">
        <f t="shared" si="54"/>
        <v>3600.3018745938148</v>
      </c>
      <c r="AX60" s="483">
        <f t="shared" si="54"/>
        <v>3796.3788045792585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198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57316.10781718939</v>
      </c>
      <c r="F65" s="65">
        <f t="shared" si="55"/>
        <v>65779.54290019488</v>
      </c>
      <c r="G65" s="65">
        <f t="shared" si="55"/>
        <v>75778.207273822307</v>
      </c>
      <c r="H65" s="65">
        <f t="shared" si="55"/>
        <v>91660.449374328338</v>
      </c>
      <c r="I65" s="65">
        <f t="shared" si="55"/>
        <v>108188.67300014543</v>
      </c>
      <c r="J65" s="65">
        <f t="shared" si="55"/>
        <v>125274.02585764322</v>
      </c>
      <c r="K65" s="65">
        <f t="shared" si="55"/>
        <v>140201.05360572838</v>
      </c>
      <c r="L65" s="65">
        <f t="shared" si="55"/>
        <v>157300.82364846522</v>
      </c>
      <c r="M65" s="65">
        <f t="shared" si="55"/>
        <v>173631.37025786826</v>
      </c>
      <c r="N65" s="65">
        <f t="shared" si="55"/>
        <v>194872.04139928409</v>
      </c>
      <c r="O65" s="65">
        <f t="shared" si="55"/>
        <v>215055.91880018002</v>
      </c>
      <c r="P65" s="65">
        <f t="shared" si="55"/>
        <v>219101.91459720168</v>
      </c>
      <c r="Q65" s="65">
        <f t="shared" si="55"/>
        <v>230596.54734413506</v>
      </c>
      <c r="R65" s="65">
        <f t="shared" si="55"/>
        <v>251082.49246262416</v>
      </c>
      <c r="S65" s="65">
        <f t="shared" si="55"/>
        <v>275466.79078232299</v>
      </c>
      <c r="T65" s="65">
        <f t="shared" si="55"/>
        <v>302512.35737452237</v>
      </c>
      <c r="U65" s="65">
        <f t="shared" si="55"/>
        <v>328664.04374343238</v>
      </c>
      <c r="V65" s="65">
        <f t="shared" si="55"/>
        <v>345803.63803706999</v>
      </c>
      <c r="W65" s="65">
        <f t="shared" si="55"/>
        <v>360826.6653182297</v>
      </c>
      <c r="X65" s="65">
        <f t="shared" si="55"/>
        <v>309772.36776798719</v>
      </c>
      <c r="Y65" s="65">
        <f t="shared" si="55"/>
        <v>208726.83240119898</v>
      </c>
      <c r="Z65" s="65">
        <f t="shared" si="55"/>
        <v>140635.6804209034</v>
      </c>
      <c r="AA65" s="65">
        <f t="shared" ref="AA65:AL65" si="56">AA22</f>
        <v>117903.11685795538</v>
      </c>
      <c r="AB65" s="65">
        <f t="shared" si="56"/>
        <v>135055.35665036723</v>
      </c>
      <c r="AC65" s="65">
        <f t="shared" si="56"/>
        <v>153705.44267533047</v>
      </c>
      <c r="AD65" s="65">
        <f t="shared" si="56"/>
        <v>175305.89457845147</v>
      </c>
      <c r="AE65" s="65">
        <f t="shared" si="56"/>
        <v>205535.73043066237</v>
      </c>
      <c r="AF65" s="65">
        <f t="shared" si="56"/>
        <v>234292.69560375527</v>
      </c>
      <c r="AG65" s="65">
        <f t="shared" si="56"/>
        <v>274882.68554300501</v>
      </c>
      <c r="AH65" s="65">
        <f t="shared" si="56"/>
        <v>320914.55515317118</v>
      </c>
      <c r="AI65" s="65">
        <f t="shared" si="56"/>
        <v>355511.2831747717</v>
      </c>
      <c r="AJ65" s="65">
        <f t="shared" si="56"/>
        <v>391356.82587252441</v>
      </c>
      <c r="AK65" s="65">
        <f t="shared" si="56"/>
        <v>439621.92526307539</v>
      </c>
      <c r="AL65" s="65">
        <f t="shared" si="56"/>
        <v>516689.93235215807</v>
      </c>
      <c r="AM65" s="320">
        <f>AM22</f>
        <v>578395.9571570761</v>
      </c>
      <c r="AN65" s="320">
        <f t="shared" ref="AN65:AX65" si="57">AN22</f>
        <v>615226.67998666374</v>
      </c>
      <c r="AO65" s="320">
        <f t="shared" si="57"/>
        <v>664986.53909746371</v>
      </c>
      <c r="AP65" s="320">
        <f t="shared" si="57"/>
        <v>714319.43103347078</v>
      </c>
      <c r="AQ65" s="320">
        <f t="shared" si="57"/>
        <v>762188.39510715532</v>
      </c>
      <c r="AR65" s="320">
        <f t="shared" si="57"/>
        <v>795534.99233951513</v>
      </c>
      <c r="AS65" s="320">
        <f t="shared" si="57"/>
        <v>821769.7462839951</v>
      </c>
      <c r="AT65" s="320">
        <f t="shared" si="57"/>
        <v>857169.8762945378</v>
      </c>
      <c r="AU65" s="320">
        <f t="shared" si="57"/>
        <v>900408.48408383492</v>
      </c>
      <c r="AV65" s="320">
        <f t="shared" si="57"/>
        <v>946126.49938486097</v>
      </c>
      <c r="AW65" s="320">
        <f t="shared" si="57"/>
        <v>992091.40476013161</v>
      </c>
      <c r="AX65" s="320">
        <f t="shared" si="57"/>
        <v>1046121.9026603953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7.1908333333333338E-3</v>
      </c>
      <c r="F66" s="122">
        <f t="shared" si="58"/>
        <v>7.1908333333333338E-3</v>
      </c>
      <c r="G66" s="122">
        <f t="shared" si="58"/>
        <v>7.1908333333333338E-3</v>
      </c>
      <c r="H66" s="122">
        <f t="shared" si="58"/>
        <v>7.1908333333333338E-3</v>
      </c>
      <c r="I66" s="122">
        <f t="shared" si="58"/>
        <v>7.1908333333333338E-3</v>
      </c>
      <c r="J66" s="122">
        <f t="shared" si="58"/>
        <v>7.1908333333333338E-3</v>
      </c>
      <c r="K66" s="122">
        <f t="shared" si="58"/>
        <v>7.1908333333333338E-3</v>
      </c>
      <c r="L66" s="122">
        <f t="shared" si="58"/>
        <v>7.1908333333333338E-3</v>
      </c>
      <c r="M66" s="122">
        <f t="shared" si="58"/>
        <v>7.1908333333333338E-3</v>
      </c>
      <c r="N66" s="122">
        <f t="shared" si="58"/>
        <v>7.1908333333333338E-3</v>
      </c>
      <c r="O66" s="122">
        <f t="shared" si="58"/>
        <v>7.5075000000000003E-3</v>
      </c>
      <c r="P66" s="122">
        <f t="shared" si="58"/>
        <v>7.5075000000000003E-3</v>
      </c>
      <c r="Q66" s="122">
        <f t="shared" si="58"/>
        <v>7.5075000000000003E-3</v>
      </c>
      <c r="R66" s="122">
        <f t="shared" si="58"/>
        <v>7.5075000000000003E-3</v>
      </c>
      <c r="S66" s="122">
        <f t="shared" si="58"/>
        <v>7.5075000000000003E-3</v>
      </c>
      <c r="T66" s="122">
        <f t="shared" si="58"/>
        <v>7.5075000000000003E-3</v>
      </c>
      <c r="U66" s="122">
        <f t="shared" si="58"/>
        <v>7.5075000000000003E-3</v>
      </c>
      <c r="V66" s="122">
        <f t="shared" si="58"/>
        <v>7.5075000000000003E-3</v>
      </c>
      <c r="W66" s="122">
        <f t="shared" si="58"/>
        <v>7.5075000000000003E-3</v>
      </c>
      <c r="X66" s="122">
        <f t="shared" si="58"/>
        <v>7.5075000000000003E-3</v>
      </c>
      <c r="Y66" s="122">
        <f t="shared" si="58"/>
        <v>7.5075000000000003E-3</v>
      </c>
      <c r="Z66" s="122">
        <f t="shared" si="58"/>
        <v>7.5075000000000003E-3</v>
      </c>
      <c r="AA66" s="122">
        <f t="shared" ref="AA66:AL66" si="59">AA26</f>
        <v>7.5075000000000003E-3</v>
      </c>
      <c r="AB66" s="122">
        <f t="shared" si="59"/>
        <v>7.5075000000000003E-3</v>
      </c>
      <c r="AC66" s="122">
        <f t="shared" si="59"/>
        <v>7.5075000000000003E-3</v>
      </c>
      <c r="AD66" s="122">
        <f t="shared" si="59"/>
        <v>7.5075000000000003E-3</v>
      </c>
      <c r="AE66" s="122">
        <f t="shared" si="59"/>
        <v>7.5075000000000003E-3</v>
      </c>
      <c r="AF66" s="122">
        <f t="shared" si="59"/>
        <v>7.5233333333333333E-3</v>
      </c>
      <c r="AG66" s="122">
        <f t="shared" si="59"/>
        <v>7.5233333333333333E-3</v>
      </c>
      <c r="AH66" s="122">
        <f t="shared" si="59"/>
        <v>7.5233333333333333E-3</v>
      </c>
      <c r="AI66" s="122">
        <f t="shared" si="59"/>
        <v>7.5233333333333333E-3</v>
      </c>
      <c r="AJ66" s="122">
        <f t="shared" si="59"/>
        <v>7.5233333333333333E-3</v>
      </c>
      <c r="AK66" s="122">
        <f t="shared" si="59"/>
        <v>7.5233333333333333E-3</v>
      </c>
      <c r="AL66" s="122">
        <f t="shared" si="59"/>
        <v>7.5233333333333333E-3</v>
      </c>
      <c r="AM66" s="317">
        <f t="shared" ref="AM66:AX66" si="60">AM26</f>
        <v>7.4283333333333328E-3</v>
      </c>
      <c r="AN66" s="317">
        <f t="shared" si="60"/>
        <v>7.4283333333333328E-3</v>
      </c>
      <c r="AO66" s="317">
        <f t="shared" si="60"/>
        <v>7.4283333333333328E-3</v>
      </c>
      <c r="AP66" s="317">
        <f t="shared" si="60"/>
        <v>7.4283333333333328E-3</v>
      </c>
      <c r="AQ66" s="317">
        <f t="shared" si="60"/>
        <v>7.4283333333333328E-3</v>
      </c>
      <c r="AR66" s="317">
        <f t="shared" si="60"/>
        <v>7.4283333333333328E-3</v>
      </c>
      <c r="AS66" s="317">
        <f t="shared" si="60"/>
        <v>7.4283333333333328E-3</v>
      </c>
      <c r="AT66" s="317">
        <f t="shared" si="60"/>
        <v>7.4283333333333328E-3</v>
      </c>
      <c r="AU66" s="317">
        <f t="shared" si="60"/>
        <v>7.4283333333333328E-3</v>
      </c>
      <c r="AV66" s="317">
        <f t="shared" si="60"/>
        <v>7.4283333333333328E-3</v>
      </c>
      <c r="AW66" s="317">
        <f t="shared" si="60"/>
        <v>7.4283333333333328E-3</v>
      </c>
      <c r="AX66" s="317">
        <f t="shared" si="60"/>
        <v>7.4283333333333328E-3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412.15057862877273</v>
      </c>
      <c r="F67" s="60">
        <f t="shared" si="61"/>
        <v>473.00972973815135</v>
      </c>
      <c r="G67" s="60">
        <f t="shared" si="61"/>
        <v>544.90845880484392</v>
      </c>
      <c r="H67" s="60">
        <f t="shared" si="61"/>
        <v>659.1150147092327</v>
      </c>
      <c r="I67" s="60">
        <f t="shared" si="61"/>
        <v>777.96671609854582</v>
      </c>
      <c r="J67" s="60">
        <f t="shared" si="61"/>
        <v>900.82464093800286</v>
      </c>
      <c r="K67" s="60">
        <f t="shared" si="61"/>
        <v>1008.1624096365252</v>
      </c>
      <c r="L67" s="60">
        <f t="shared" si="61"/>
        <v>1131.124006052172</v>
      </c>
      <c r="M67" s="60">
        <f t="shared" si="61"/>
        <v>1248.5542449626212</v>
      </c>
      <c r="N67" s="60">
        <f t="shared" si="61"/>
        <v>1401.2923710286855</v>
      </c>
      <c r="O67" s="60">
        <f t="shared" ref="O67:Z67" si="62">O65*O66</f>
        <v>1614.5323103923515</v>
      </c>
      <c r="P67" s="60">
        <f t="shared" si="62"/>
        <v>1644.9076238384916</v>
      </c>
      <c r="Q67" s="60">
        <f t="shared" si="62"/>
        <v>1731.203579186094</v>
      </c>
      <c r="R67" s="60">
        <f t="shared" si="62"/>
        <v>1885.0018121631508</v>
      </c>
      <c r="S67" s="60">
        <f t="shared" si="62"/>
        <v>2068.0669317982897</v>
      </c>
      <c r="T67" s="60">
        <f t="shared" si="62"/>
        <v>2271.1115229892266</v>
      </c>
      <c r="U67" s="60">
        <f t="shared" si="62"/>
        <v>2467.4453084038187</v>
      </c>
      <c r="V67" s="60">
        <f t="shared" si="62"/>
        <v>2596.1208125633029</v>
      </c>
      <c r="W67" s="60">
        <f t="shared" si="62"/>
        <v>2708.9061898766095</v>
      </c>
      <c r="X67" s="60">
        <f t="shared" si="62"/>
        <v>2325.6160510181639</v>
      </c>
      <c r="Y67" s="60">
        <f t="shared" si="62"/>
        <v>1567.0166942520013</v>
      </c>
      <c r="Z67" s="60">
        <f t="shared" si="62"/>
        <v>1055.8223707599323</v>
      </c>
      <c r="AA67" s="60">
        <f t="shared" ref="AA67:AL67" si="63">AA65*AA66</f>
        <v>885.15764981109999</v>
      </c>
      <c r="AB67" s="60">
        <f t="shared" si="63"/>
        <v>1013.928090052632</v>
      </c>
      <c r="AC67" s="60">
        <f t="shared" si="63"/>
        <v>1153.9436108850437</v>
      </c>
      <c r="AD67" s="60">
        <f t="shared" si="63"/>
        <v>1316.1090035477243</v>
      </c>
      <c r="AE67" s="60">
        <f t="shared" si="63"/>
        <v>1543.0594962081977</v>
      </c>
      <c r="AF67" s="60">
        <f t="shared" si="63"/>
        <v>1762.6620465922522</v>
      </c>
      <c r="AG67" s="60">
        <f t="shared" si="63"/>
        <v>2068.0340709018742</v>
      </c>
      <c r="AH67" s="60">
        <f t="shared" si="63"/>
        <v>2414.347169935691</v>
      </c>
      <c r="AI67" s="60">
        <f t="shared" si="63"/>
        <v>2674.6298870848659</v>
      </c>
      <c r="AJ67" s="60">
        <f t="shared" si="63"/>
        <v>2944.3078533142921</v>
      </c>
      <c r="AK67" s="60">
        <f t="shared" si="63"/>
        <v>3307.4222843958705</v>
      </c>
      <c r="AL67" s="60">
        <f t="shared" si="63"/>
        <v>3887.230591062736</v>
      </c>
      <c r="AM67" s="474">
        <f>AM65*AM66</f>
        <v>4296.5179684151462</v>
      </c>
      <c r="AN67" s="474">
        <f t="shared" ref="AN67:AX67" si="64">AN65*AN66</f>
        <v>4570.1088545009334</v>
      </c>
      <c r="AO67" s="474">
        <f t="shared" si="64"/>
        <v>4939.7416745956589</v>
      </c>
      <c r="AP67" s="474">
        <f t="shared" si="64"/>
        <v>5306.2028401936313</v>
      </c>
      <c r="AQ67" s="474">
        <f t="shared" si="64"/>
        <v>5661.7894616543181</v>
      </c>
      <c r="AR67" s="474">
        <f t="shared" si="64"/>
        <v>5909.4991014286979</v>
      </c>
      <c r="AS67" s="474">
        <f t="shared" si="64"/>
        <v>6104.3795986462765</v>
      </c>
      <c r="AT67" s="474">
        <f t="shared" si="64"/>
        <v>6367.3435644079245</v>
      </c>
      <c r="AU67" s="474">
        <f t="shared" si="64"/>
        <v>6688.5343559360863</v>
      </c>
      <c r="AV67" s="474">
        <f t="shared" si="64"/>
        <v>7028.1430129305418</v>
      </c>
      <c r="AW67" s="474">
        <f t="shared" si="64"/>
        <v>7369.5856516931772</v>
      </c>
      <c r="AX67" s="474">
        <f t="shared" si="64"/>
        <v>7770.9422002623023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194.44490481265407</v>
      </c>
      <c r="F68" s="65">
        <f t="shared" si="65"/>
        <v>223.15713809127101</v>
      </c>
      <c r="G68" s="65">
        <f t="shared" si="65"/>
        <v>257.07761578362397</v>
      </c>
      <c r="H68" s="65">
        <f t="shared" si="65"/>
        <v>310.95814318795897</v>
      </c>
      <c r="I68" s="65">
        <f t="shared" si="65"/>
        <v>367.03012974125261</v>
      </c>
      <c r="J68" s="65">
        <f t="shared" si="65"/>
        <v>424.99220971510812</v>
      </c>
      <c r="K68" s="65">
        <f t="shared" si="65"/>
        <v>475.63212663619902</v>
      </c>
      <c r="L68" s="65">
        <f t="shared" si="65"/>
        <v>533.64313454604223</v>
      </c>
      <c r="M68" s="65">
        <f t="shared" si="65"/>
        <v>589.04447637973408</v>
      </c>
      <c r="N68" s="65">
        <f t="shared" si="65"/>
        <v>661.10351560907645</v>
      </c>
      <c r="O68" s="65">
        <f t="shared" si="65"/>
        <v>767.68062102956799</v>
      </c>
      <c r="P68" s="65">
        <f t="shared" si="65"/>
        <v>782.12353092637932</v>
      </c>
      <c r="Q68" s="65">
        <f t="shared" si="65"/>
        <v>823.1556659942263</v>
      </c>
      <c r="R68" s="65">
        <f t="shared" si="65"/>
        <v>896.28391655951555</v>
      </c>
      <c r="S68" s="65">
        <f t="shared" si="65"/>
        <v>983.32803195905262</v>
      </c>
      <c r="T68" s="65">
        <f t="shared" si="65"/>
        <v>1079.8720290402969</v>
      </c>
      <c r="U68" s="65">
        <f t="shared" si="65"/>
        <v>1173.2251603066049</v>
      </c>
      <c r="V68" s="65">
        <f t="shared" si="65"/>
        <v>1234.4080320978096</v>
      </c>
      <c r="W68" s="65">
        <f t="shared" si="65"/>
        <v>1288.0354085116996</v>
      </c>
      <c r="X68" s="65">
        <f t="shared" si="65"/>
        <v>1105.788097967883</v>
      </c>
      <c r="Y68" s="65">
        <f t="shared" si="65"/>
        <v>745.08790650876892</v>
      </c>
      <c r="Z68" s="65">
        <f t="shared" si="65"/>
        <v>502.02431646595358</v>
      </c>
      <c r="AA68" s="65">
        <f t="shared" ref="AA68:AL68" si="66">AA60</f>
        <v>421.68309724212259</v>
      </c>
      <c r="AB68" s="65">
        <f t="shared" si="66"/>
        <v>483.02951965686378</v>
      </c>
      <c r="AC68" s="65">
        <f t="shared" si="66"/>
        <v>549.73069361297917</v>
      </c>
      <c r="AD68" s="65">
        <f t="shared" si="66"/>
        <v>626.98656087536062</v>
      </c>
      <c r="AE68" s="65">
        <f t="shared" si="66"/>
        <v>735.10440030518271</v>
      </c>
      <c r="AF68" s="65">
        <f t="shared" si="66"/>
        <v>852.57002218218361</v>
      </c>
      <c r="AG68" s="65">
        <f t="shared" si="66"/>
        <v>1000.2771534994869</v>
      </c>
      <c r="AH68" s="65">
        <f t="shared" si="66"/>
        <v>1167.7792742457643</v>
      </c>
      <c r="AI68" s="65">
        <f t="shared" si="66"/>
        <v>1293.6725764024902</v>
      </c>
      <c r="AJ68" s="65">
        <f t="shared" si="66"/>
        <v>1424.111143183389</v>
      </c>
      <c r="AK68" s="65">
        <f t="shared" si="66"/>
        <v>1599.745339117942</v>
      </c>
      <c r="AL68" s="65">
        <f t="shared" si="66"/>
        <v>1880.1928630866209</v>
      </c>
      <c r="AM68" s="320">
        <f>AM60</f>
        <v>2098.9988407504025</v>
      </c>
      <c r="AN68" s="320">
        <f t="shared" ref="AN68:AX68" si="67">AN60</f>
        <v>2232.6565715937304</v>
      </c>
      <c r="AO68" s="320">
        <f t="shared" si="67"/>
        <v>2413.2348734363668</v>
      </c>
      <c r="AP68" s="320">
        <f t="shared" si="67"/>
        <v>2592.2647327712048</v>
      </c>
      <c r="AQ68" s="320">
        <f t="shared" si="67"/>
        <v>2765.9811875319183</v>
      </c>
      <c r="AR68" s="320">
        <f t="shared" si="67"/>
        <v>2886.9985389690964</v>
      </c>
      <c r="AS68" s="320">
        <f t="shared" si="67"/>
        <v>2982.2035991099442</v>
      </c>
      <c r="AT68" s="320">
        <f t="shared" si="67"/>
        <v>3110.6712200574543</v>
      </c>
      <c r="AU68" s="320">
        <f t="shared" si="67"/>
        <v>3267.583495898919</v>
      </c>
      <c r="AV68" s="320">
        <f t="shared" si="67"/>
        <v>3433.4954838783055</v>
      </c>
      <c r="AW68" s="320">
        <f t="shared" si="67"/>
        <v>3600.3018745938148</v>
      </c>
      <c r="AX68" s="320">
        <f t="shared" si="67"/>
        <v>3796.3788045792585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606.59548344142684</v>
      </c>
      <c r="F69" s="66">
        <f t="shared" si="68"/>
        <v>696.16686782942236</v>
      </c>
      <c r="G69" s="66">
        <f t="shared" si="68"/>
        <v>801.98607458846789</v>
      </c>
      <c r="H69" s="66">
        <f t="shared" si="68"/>
        <v>970.07315789719166</v>
      </c>
      <c r="I69" s="66">
        <f t="shared" si="68"/>
        <v>1144.9968458397984</v>
      </c>
      <c r="J69" s="66">
        <f t="shared" si="68"/>
        <v>1325.816850653111</v>
      </c>
      <c r="K69" s="66">
        <f t="shared" si="68"/>
        <v>1483.7945362727241</v>
      </c>
      <c r="L69" s="66">
        <f t="shared" si="68"/>
        <v>1664.7671405982142</v>
      </c>
      <c r="M69" s="66">
        <f t="shared" si="68"/>
        <v>1837.5987213423552</v>
      </c>
      <c r="N69" s="66">
        <f t="shared" si="68"/>
        <v>2062.395886637762</v>
      </c>
      <c r="O69" s="66">
        <f t="shared" ref="O69:Z69" si="69">O67+O68</f>
        <v>2382.2129314219196</v>
      </c>
      <c r="P69" s="66">
        <f t="shared" si="69"/>
        <v>2427.0311547648707</v>
      </c>
      <c r="Q69" s="66">
        <f t="shared" si="69"/>
        <v>2554.3592451803202</v>
      </c>
      <c r="R69" s="66">
        <f t="shared" si="69"/>
        <v>2781.2857287226661</v>
      </c>
      <c r="S69" s="66">
        <f t="shared" si="69"/>
        <v>3051.3949637573423</v>
      </c>
      <c r="T69" s="66">
        <f t="shared" si="69"/>
        <v>3350.9835520295237</v>
      </c>
      <c r="U69" s="66">
        <f t="shared" si="69"/>
        <v>3640.6704687104238</v>
      </c>
      <c r="V69" s="66">
        <f t="shared" si="69"/>
        <v>3830.5288446611125</v>
      </c>
      <c r="W69" s="66">
        <f t="shared" si="69"/>
        <v>3996.9415983883091</v>
      </c>
      <c r="X69" s="66">
        <f t="shared" si="69"/>
        <v>3431.4041489860469</v>
      </c>
      <c r="Y69" s="66">
        <f t="shared" si="69"/>
        <v>2312.1046007607702</v>
      </c>
      <c r="Z69" s="66">
        <f t="shared" si="69"/>
        <v>1557.8466872258859</v>
      </c>
      <c r="AA69" s="66">
        <f t="shared" ref="AA69:AL69" si="70">AA67+AA68</f>
        <v>1306.8407470532225</v>
      </c>
      <c r="AB69" s="66">
        <f t="shared" si="70"/>
        <v>1496.9576097094957</v>
      </c>
      <c r="AC69" s="66">
        <f t="shared" si="70"/>
        <v>1703.6743044980228</v>
      </c>
      <c r="AD69" s="66">
        <f t="shared" si="70"/>
        <v>1943.0955644230849</v>
      </c>
      <c r="AE69" s="66">
        <f t="shared" si="70"/>
        <v>2278.1638965133807</v>
      </c>
      <c r="AF69" s="66">
        <f t="shared" si="70"/>
        <v>2615.2320687744359</v>
      </c>
      <c r="AG69" s="66">
        <f t="shared" si="70"/>
        <v>3068.311224401361</v>
      </c>
      <c r="AH69" s="66">
        <f t="shared" si="70"/>
        <v>3582.1264441814556</v>
      </c>
      <c r="AI69" s="66">
        <f t="shared" si="70"/>
        <v>3968.3024634873564</v>
      </c>
      <c r="AJ69" s="66">
        <f t="shared" si="70"/>
        <v>4368.4189964976813</v>
      </c>
      <c r="AK69" s="66">
        <f t="shared" si="70"/>
        <v>4907.1676235138129</v>
      </c>
      <c r="AL69" s="66">
        <f t="shared" si="70"/>
        <v>5767.423454149357</v>
      </c>
      <c r="AM69" s="483">
        <f t="shared" ref="AM69:AX69" si="71">AM67+AM68</f>
        <v>6395.5168091655487</v>
      </c>
      <c r="AN69" s="483">
        <f t="shared" si="71"/>
        <v>6802.7654260946638</v>
      </c>
      <c r="AO69" s="483">
        <f t="shared" si="71"/>
        <v>7352.9765480320257</v>
      </c>
      <c r="AP69" s="483">
        <f t="shared" si="71"/>
        <v>7898.4675729648361</v>
      </c>
      <c r="AQ69" s="483">
        <f t="shared" si="71"/>
        <v>8427.7706491862373</v>
      </c>
      <c r="AR69" s="483">
        <f t="shared" si="71"/>
        <v>8796.4976403977944</v>
      </c>
      <c r="AS69" s="483">
        <f t="shared" si="71"/>
        <v>9086.5831977562211</v>
      </c>
      <c r="AT69" s="483">
        <f t="shared" si="71"/>
        <v>9478.0147844653784</v>
      </c>
      <c r="AU69" s="483">
        <f t="shared" si="71"/>
        <v>9956.1178518350061</v>
      </c>
      <c r="AV69" s="483">
        <f t="shared" si="71"/>
        <v>10461.638496808848</v>
      </c>
      <c r="AW69" s="483">
        <f t="shared" si="71"/>
        <v>10969.887526286991</v>
      </c>
      <c r="AX69" s="483">
        <f t="shared" si="71"/>
        <v>11567.32100484156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</sheetData>
  <mergeCells count="9">
    <mergeCell ref="AM16:AX16"/>
    <mergeCell ref="AA16:AL16"/>
    <mergeCell ref="C16:N16"/>
    <mergeCell ref="O16:Z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2" bottom="0.43" header="0.25" footer="0.23"/>
  <pageSetup scale="43" fitToHeight="0" orientation="portrait" r:id="rId1"/>
  <headerFooter alignWithMargins="0">
    <oddHeader>&amp;RAttachment 4
WP-Schedule 3
CWIP Balancing Acct 12-31-11 Balance
&amp;P of &amp;N</oddHeader>
    <oddFooter>&amp;R&amp;A</oddFooter>
  </headerFooter>
  <colBreaks count="1" manualBreakCount="1">
    <brk id="11" min="7" max="68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4"/>
    <pageSetUpPr fitToPage="1"/>
  </sheetPr>
  <dimension ref="A1:AX73"/>
  <sheetViews>
    <sheetView view="pageBreakPreview" zoomScale="60" zoomScaleNormal="100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AN13" sqref="AN13"/>
    </sheetView>
  </sheetViews>
  <sheetFormatPr defaultRowHeight="12.75" outlineLevelCol="2"/>
  <cols>
    <col min="1" max="1" width="5.28515625" style="74" customWidth="1"/>
    <col min="2" max="2" width="52.85546875" customWidth="1"/>
    <col min="3" max="3" width="7.42578125" hidden="1" customWidth="1" outlineLevel="1"/>
    <col min="4" max="4" width="8.28515625" hidden="1" customWidth="1" outlineLevel="1"/>
    <col min="5" max="5" width="9.28515625" hidden="1" customWidth="1" outlineLevel="1" collapsed="1"/>
    <col min="6" max="8" width="9.28515625" hidden="1" customWidth="1" outlineLevel="1"/>
    <col min="9" max="18" width="10.28515625" hidden="1" customWidth="1" outlineLevel="1"/>
    <col min="19" max="23" width="9.140625" hidden="1" customWidth="1" outlineLevel="1"/>
    <col min="24" max="25" width="9.140625" hidden="1" customWidth="1" outlineLevel="2"/>
    <col min="26" max="26" width="9.42578125" hidden="1" customWidth="1" outlineLevel="1"/>
    <col min="27" max="27" width="9.28515625" hidden="1" customWidth="1" outlineLevel="1" collapsed="1"/>
    <col min="28" max="34" width="9.28515625" hidden="1" customWidth="1" outlineLevel="1"/>
    <col min="35" max="35" width="10" hidden="1" customWidth="1" outlineLevel="1"/>
    <col min="36" max="36" width="9.28515625" bestFit="1" customWidth="1" collapsed="1"/>
    <col min="37" max="37" width="9.28515625" bestFit="1" customWidth="1"/>
    <col min="38" max="38" width="9.42578125" bestFit="1" customWidth="1"/>
    <col min="39" max="46" width="9.28515625" bestFit="1" customWidth="1"/>
    <col min="47" max="47" width="10" bestFit="1" customWidth="1"/>
    <col min="48" max="49" width="9.28515625" bestFit="1" customWidth="1"/>
    <col min="50" max="50" width="9.140625" customWidth="1"/>
  </cols>
  <sheetData>
    <row r="1" spans="1:50" ht="15.75" customHeight="1">
      <c r="A1" s="691" t="s">
        <v>0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1"/>
      <c r="N1" s="691"/>
      <c r="O1" s="691"/>
      <c r="P1" s="691"/>
      <c r="Q1" s="691"/>
      <c r="R1" s="691"/>
      <c r="S1" s="691"/>
      <c r="T1" s="691"/>
      <c r="U1" s="691"/>
      <c r="V1" s="691"/>
      <c r="W1" s="691"/>
      <c r="X1" s="691"/>
      <c r="Y1" s="691"/>
      <c r="Z1" s="691"/>
      <c r="AA1" s="691"/>
      <c r="AB1" s="691"/>
      <c r="AC1" s="691"/>
      <c r="AD1" s="691"/>
      <c r="AE1" s="691"/>
      <c r="AF1" s="691"/>
      <c r="AG1" s="691"/>
      <c r="AH1" s="691"/>
      <c r="AI1" s="691"/>
      <c r="AJ1" s="691"/>
      <c r="AK1" s="691"/>
      <c r="AL1" s="691"/>
      <c r="AM1" s="691"/>
      <c r="AN1" s="691"/>
      <c r="AO1" s="691"/>
      <c r="AP1" s="691"/>
      <c r="AQ1" s="691"/>
      <c r="AR1" s="691"/>
      <c r="AS1" s="691"/>
      <c r="AT1" s="691"/>
      <c r="AU1" s="691"/>
      <c r="AV1" s="691"/>
      <c r="AW1" s="691"/>
      <c r="AX1" s="691"/>
    </row>
    <row r="2" spans="1:50" ht="15" customHeight="1">
      <c r="A2" s="692" t="s">
        <v>6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</row>
    <row r="3" spans="1:50" ht="15" customHeight="1">
      <c r="A3" s="706" t="s">
        <v>275</v>
      </c>
      <c r="B3" s="706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6"/>
      <c r="AA3" s="706"/>
      <c r="AB3" s="706"/>
      <c r="AC3" s="706"/>
      <c r="AD3" s="706"/>
      <c r="AE3" s="706"/>
      <c r="AF3" s="706"/>
      <c r="AG3" s="706"/>
      <c r="AH3" s="706"/>
      <c r="AI3" s="706"/>
      <c r="AJ3" s="706"/>
      <c r="AK3" s="706"/>
      <c r="AL3" s="706"/>
      <c r="AM3" s="706"/>
      <c r="AN3" s="706"/>
      <c r="AO3" s="706"/>
      <c r="AP3" s="706"/>
      <c r="AQ3" s="706"/>
      <c r="AR3" s="706"/>
      <c r="AS3" s="706"/>
      <c r="AT3" s="706"/>
      <c r="AU3" s="706"/>
      <c r="AV3" s="706"/>
      <c r="AW3" s="706"/>
      <c r="AX3" s="706"/>
    </row>
    <row r="4" spans="1:50">
      <c r="A4" s="693" t="s">
        <v>1</v>
      </c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3"/>
      <c r="AJ4" s="693"/>
      <c r="AK4" s="693"/>
      <c r="AL4" s="693"/>
      <c r="AM4" s="693"/>
      <c r="AN4" s="693"/>
      <c r="AO4" s="693"/>
      <c r="AP4" s="693"/>
      <c r="AQ4" s="693"/>
      <c r="AR4" s="693"/>
      <c r="AS4" s="693"/>
      <c r="AT4" s="693"/>
      <c r="AU4" s="693"/>
      <c r="AV4" s="693"/>
      <c r="AW4" s="693"/>
      <c r="AX4" s="693"/>
    </row>
    <row r="5" spans="1:50" ht="15.75" customHeight="1">
      <c r="A5" s="691" t="s">
        <v>7</v>
      </c>
      <c r="B5" s="691"/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691"/>
      <c r="R5" s="691"/>
      <c r="S5" s="691"/>
      <c r="T5" s="691"/>
      <c r="U5" s="691"/>
      <c r="V5" s="691"/>
      <c r="W5" s="691"/>
      <c r="X5" s="691"/>
      <c r="Y5" s="691"/>
      <c r="Z5" s="691"/>
      <c r="AA5" s="691"/>
      <c r="AB5" s="691"/>
      <c r="AC5" s="691"/>
      <c r="AD5" s="691"/>
      <c r="AE5" s="691"/>
      <c r="AF5" s="691"/>
      <c r="AG5" s="691"/>
      <c r="AH5" s="691"/>
      <c r="AI5" s="691"/>
      <c r="AJ5" s="691"/>
      <c r="AK5" s="691"/>
      <c r="AL5" s="691"/>
      <c r="AM5" s="691"/>
      <c r="AN5" s="691"/>
      <c r="AO5" s="691"/>
      <c r="AP5" s="691"/>
      <c r="AQ5" s="691"/>
      <c r="AR5" s="691"/>
      <c r="AS5" s="691"/>
      <c r="AT5" s="691"/>
      <c r="AU5" s="691"/>
      <c r="AV5" s="691"/>
      <c r="AW5" s="691"/>
      <c r="AX5" s="691"/>
    </row>
    <row r="6" spans="1:50">
      <c r="A6" s="72"/>
    </row>
    <row r="7" spans="1:50">
      <c r="A7" s="72"/>
    </row>
    <row r="8" spans="1:50">
      <c r="A8" s="75" t="s">
        <v>2</v>
      </c>
      <c r="B8" s="3"/>
    </row>
    <row r="9" spans="1:50">
      <c r="A9" s="72">
        <v>1</v>
      </c>
      <c r="B9" s="67" t="s">
        <v>110</v>
      </c>
    </row>
    <row r="10" spans="1:50">
      <c r="A10" s="73">
        <v>2</v>
      </c>
      <c r="B10" t="s">
        <v>61</v>
      </c>
    </row>
    <row r="11" spans="1:50" ht="15.75">
      <c r="A11" s="72">
        <v>3</v>
      </c>
      <c r="B11" s="1" t="s">
        <v>96</v>
      </c>
    </row>
    <row r="12" spans="1:50">
      <c r="A12" s="73">
        <v>4</v>
      </c>
    </row>
    <row r="13" spans="1:50">
      <c r="A13" s="72">
        <v>5</v>
      </c>
      <c r="B13" s="64" t="s">
        <v>62</v>
      </c>
    </row>
    <row r="14" spans="1:50" ht="15.75">
      <c r="A14" s="73">
        <v>6</v>
      </c>
      <c r="B14" s="1" t="s">
        <v>66</v>
      </c>
    </row>
    <row r="15" spans="1:50">
      <c r="A15" s="72">
        <v>7</v>
      </c>
      <c r="B15" s="64"/>
    </row>
    <row r="16" spans="1:50" ht="15.75">
      <c r="A16" s="73">
        <v>8</v>
      </c>
      <c r="B16" s="81" t="s">
        <v>97</v>
      </c>
      <c r="C16" s="687">
        <v>2008</v>
      </c>
      <c r="D16" s="688"/>
      <c r="E16" s="688"/>
      <c r="F16" s="688"/>
      <c r="G16" s="688"/>
      <c r="H16" s="688"/>
      <c r="I16" s="688"/>
      <c r="J16" s="688"/>
      <c r="K16" s="688"/>
      <c r="L16" s="688"/>
      <c r="M16" s="688"/>
      <c r="N16" s="689"/>
      <c r="O16" s="687">
        <v>2009</v>
      </c>
      <c r="P16" s="688"/>
      <c r="Q16" s="688"/>
      <c r="R16" s="688"/>
      <c r="S16" s="688"/>
      <c r="T16" s="688"/>
      <c r="U16" s="688"/>
      <c r="V16" s="688"/>
      <c r="W16" s="688"/>
      <c r="X16" s="688"/>
      <c r="Y16" s="688"/>
      <c r="Z16" s="689"/>
      <c r="AA16" s="687">
        <v>2010</v>
      </c>
      <c r="AB16" s="688"/>
      <c r="AC16" s="688"/>
      <c r="AD16" s="688"/>
      <c r="AE16" s="688"/>
      <c r="AF16" s="688"/>
      <c r="AG16" s="688"/>
      <c r="AH16" s="688"/>
      <c r="AI16" s="688"/>
      <c r="AJ16" s="688"/>
      <c r="AK16" s="688"/>
      <c r="AL16" s="689"/>
      <c r="AM16" s="687">
        <v>2011</v>
      </c>
      <c r="AN16" s="688"/>
      <c r="AO16" s="688"/>
      <c r="AP16" s="688"/>
      <c r="AQ16" s="688"/>
      <c r="AR16" s="688"/>
      <c r="AS16" s="688"/>
      <c r="AT16" s="688"/>
      <c r="AU16" s="688"/>
      <c r="AV16" s="688"/>
      <c r="AW16" s="688"/>
      <c r="AX16" s="689"/>
    </row>
    <row r="17" spans="1:50" ht="21" thickBot="1">
      <c r="A17" s="72">
        <v>9</v>
      </c>
      <c r="B17" s="102" t="s">
        <v>331</v>
      </c>
      <c r="C17" s="119" t="s">
        <v>100</v>
      </c>
      <c r="D17" s="119" t="s">
        <v>76</v>
      </c>
      <c r="E17" s="119" t="s">
        <v>77</v>
      </c>
      <c r="F17" s="119" t="s">
        <v>78</v>
      </c>
      <c r="G17" s="119" t="s">
        <v>75</v>
      </c>
      <c r="H17" s="119" t="s">
        <v>79</v>
      </c>
      <c r="I17" s="119" t="s">
        <v>80</v>
      </c>
      <c r="J17" s="119" t="s">
        <v>81</v>
      </c>
      <c r="K17" s="119" t="s">
        <v>82</v>
      </c>
      <c r="L17" s="119" t="s">
        <v>83</v>
      </c>
      <c r="M17" s="119" t="s">
        <v>84</v>
      </c>
      <c r="N17" s="119" t="s">
        <v>101</v>
      </c>
      <c r="O17" s="119" t="s">
        <v>100</v>
      </c>
      <c r="P17" s="119" t="s">
        <v>76</v>
      </c>
      <c r="Q17" s="119" t="s">
        <v>77</v>
      </c>
      <c r="R17" s="119" t="s">
        <v>78</v>
      </c>
      <c r="S17" s="119" t="s">
        <v>75</v>
      </c>
      <c r="T17" s="119" t="s">
        <v>79</v>
      </c>
      <c r="U17" s="119" t="s">
        <v>80</v>
      </c>
      <c r="V17" s="119" t="s">
        <v>81</v>
      </c>
      <c r="W17" s="119" t="s">
        <v>82</v>
      </c>
      <c r="X17" s="119" t="s">
        <v>83</v>
      </c>
      <c r="Y17" s="119" t="s">
        <v>84</v>
      </c>
      <c r="Z17" s="119" t="s">
        <v>101</v>
      </c>
      <c r="AA17" s="269" t="s">
        <v>100</v>
      </c>
      <c r="AB17" s="119" t="s">
        <v>76</v>
      </c>
      <c r="AC17" s="119" t="s">
        <v>77</v>
      </c>
      <c r="AD17" s="119" t="s">
        <v>78</v>
      </c>
      <c r="AE17" s="119" t="s">
        <v>75</v>
      </c>
      <c r="AF17" s="119" t="s">
        <v>79</v>
      </c>
      <c r="AG17" s="119" t="s">
        <v>80</v>
      </c>
      <c r="AH17" s="119" t="s">
        <v>81</v>
      </c>
      <c r="AI17" s="119" t="s">
        <v>82</v>
      </c>
      <c r="AJ17" s="119" t="s">
        <v>83</v>
      </c>
      <c r="AK17" s="119" t="s">
        <v>84</v>
      </c>
      <c r="AL17" s="119" t="s">
        <v>101</v>
      </c>
      <c r="AM17" s="269" t="s">
        <v>100</v>
      </c>
      <c r="AN17" s="119" t="s">
        <v>76</v>
      </c>
      <c r="AO17" s="119" t="s">
        <v>77</v>
      </c>
      <c r="AP17" s="119" t="s">
        <v>78</v>
      </c>
      <c r="AQ17" s="119" t="s">
        <v>75</v>
      </c>
      <c r="AR17" s="119" t="s">
        <v>79</v>
      </c>
      <c r="AS17" s="119" t="s">
        <v>80</v>
      </c>
      <c r="AT17" s="119" t="s">
        <v>81</v>
      </c>
      <c r="AU17" s="119" t="s">
        <v>82</v>
      </c>
      <c r="AV17" s="119" t="s">
        <v>83</v>
      </c>
      <c r="AW17" s="119" t="s">
        <v>84</v>
      </c>
      <c r="AX17" s="119" t="s">
        <v>101</v>
      </c>
    </row>
    <row r="18" spans="1:50" ht="34.5" customHeight="1" thickTop="1">
      <c r="A18" s="73">
        <v>10</v>
      </c>
      <c r="B18" s="52" t="s">
        <v>17</v>
      </c>
      <c r="C18" s="4"/>
    </row>
    <row r="19" spans="1:50">
      <c r="A19" s="72">
        <v>11</v>
      </c>
      <c r="B19" s="5" t="s">
        <v>146</v>
      </c>
      <c r="C19" s="7"/>
      <c r="D19" s="7"/>
      <c r="E19" s="164">
        <f>'Rancho Vista CWIP Balance'!E17+'Def Tax'!F495</f>
        <v>32412.308204956902</v>
      </c>
      <c r="F19" s="164">
        <f>E20</f>
        <v>67495.440043455194</v>
      </c>
      <c r="G19" s="164">
        <f>F20</f>
        <v>73767.044690082344</v>
      </c>
      <c r="H19" s="164">
        <f t="shared" ref="H19:N19" si="0">IF(H20=0,0,G20)</f>
        <v>78026.531792136826</v>
      </c>
      <c r="I19" s="164">
        <f t="shared" si="0"/>
        <v>103005.08123178093</v>
      </c>
      <c r="J19" s="164">
        <f t="shared" si="0"/>
        <v>144979.87475713683</v>
      </c>
      <c r="K19" s="164">
        <f t="shared" si="0"/>
        <v>120540.40930103771</v>
      </c>
      <c r="L19" s="164">
        <f t="shared" si="0"/>
        <v>122708.010845688</v>
      </c>
      <c r="M19" s="164">
        <f t="shared" si="0"/>
        <v>126845.18057833715</v>
      </c>
      <c r="N19" s="164">
        <f t="shared" si="0"/>
        <v>140349.09369114865</v>
      </c>
      <c r="O19" s="164">
        <f t="shared" ref="O19:Z19" si="1">IF(O20=0,0,N20)</f>
        <v>153853.93868114863</v>
      </c>
      <c r="P19" s="164">
        <f t="shared" si="1"/>
        <v>156684.60030253354</v>
      </c>
      <c r="Q19" s="164">
        <f t="shared" si="1"/>
        <v>162653.73940338005</v>
      </c>
      <c r="R19" s="164">
        <f t="shared" si="1"/>
        <v>163224.09962026865</v>
      </c>
      <c r="S19" s="164">
        <f t="shared" si="1"/>
        <v>0</v>
      </c>
      <c r="T19" s="164">
        <f t="shared" si="1"/>
        <v>0</v>
      </c>
      <c r="U19" s="164">
        <f t="shared" si="1"/>
        <v>0</v>
      </c>
      <c r="V19" s="164">
        <f t="shared" si="1"/>
        <v>0</v>
      </c>
      <c r="W19" s="164">
        <f t="shared" si="1"/>
        <v>0</v>
      </c>
      <c r="X19" s="164">
        <f t="shared" si="1"/>
        <v>0</v>
      </c>
      <c r="Y19" s="164">
        <f t="shared" si="1"/>
        <v>0</v>
      </c>
      <c r="Z19" s="164">
        <f t="shared" si="1"/>
        <v>0</v>
      </c>
      <c r="AA19" s="164">
        <f t="shared" ref="AA19:AL19" si="2">IF(AA20=0,0,Z20)</f>
        <v>0</v>
      </c>
      <c r="AB19" s="164">
        <f t="shared" si="2"/>
        <v>0</v>
      </c>
      <c r="AC19" s="164">
        <f t="shared" si="2"/>
        <v>0</v>
      </c>
      <c r="AD19" s="164">
        <f t="shared" si="2"/>
        <v>0</v>
      </c>
      <c r="AE19" s="164">
        <f t="shared" si="2"/>
        <v>0</v>
      </c>
      <c r="AF19" s="164">
        <f t="shared" si="2"/>
        <v>0</v>
      </c>
      <c r="AG19" s="164">
        <f t="shared" si="2"/>
        <v>0</v>
      </c>
      <c r="AH19" s="164">
        <f t="shared" si="2"/>
        <v>0</v>
      </c>
      <c r="AI19" s="164">
        <f t="shared" si="2"/>
        <v>0</v>
      </c>
      <c r="AJ19" s="164">
        <f t="shared" si="2"/>
        <v>0</v>
      </c>
      <c r="AK19" s="164">
        <f t="shared" si="2"/>
        <v>0</v>
      </c>
      <c r="AL19" s="164">
        <f t="shared" si="2"/>
        <v>0</v>
      </c>
      <c r="AM19" s="485">
        <f t="shared" ref="AM19" si="3">IF(AM20=0,0,AL20)</f>
        <v>0</v>
      </c>
      <c r="AN19" s="485">
        <f t="shared" ref="AN19" si="4">IF(AN20=0,0,AM20)</f>
        <v>0</v>
      </c>
      <c r="AO19" s="485">
        <f t="shared" ref="AO19" si="5">IF(AO20=0,0,AN20)</f>
        <v>0</v>
      </c>
      <c r="AP19" s="485">
        <f t="shared" ref="AP19" si="6">IF(AP20=0,0,AO20)</f>
        <v>0</v>
      </c>
      <c r="AQ19" s="485">
        <f t="shared" ref="AQ19" si="7">IF(AQ20=0,0,AP20)</f>
        <v>0</v>
      </c>
      <c r="AR19" s="485">
        <f t="shared" ref="AR19" si="8">IF(AR20=0,0,AQ20)</f>
        <v>0</v>
      </c>
      <c r="AS19" s="485">
        <f t="shared" ref="AS19" si="9">IF(AS20=0,0,AR20)</f>
        <v>0</v>
      </c>
      <c r="AT19" s="485">
        <f t="shared" ref="AT19" si="10">IF(AT20=0,0,AS20)</f>
        <v>0</v>
      </c>
      <c r="AU19" s="485">
        <f t="shared" ref="AU19" si="11">IF(AU20=0,0,AT20)</f>
        <v>0</v>
      </c>
      <c r="AV19" s="485">
        <f t="shared" ref="AV19" si="12">IF(AV20=0,0,AU20)</f>
        <v>0</v>
      </c>
      <c r="AW19" s="485">
        <f t="shared" ref="AW19" si="13">IF(AW20=0,0,AV20)</f>
        <v>0</v>
      </c>
      <c r="AX19" s="485">
        <f t="shared" ref="AX19" si="14">IF(AX20=0,0,AW20)</f>
        <v>0</v>
      </c>
    </row>
    <row r="20" spans="1:50">
      <c r="A20" s="73">
        <v>12</v>
      </c>
      <c r="B20" s="5" t="s">
        <v>147</v>
      </c>
      <c r="C20" s="8"/>
      <c r="D20" s="8"/>
      <c r="E20" s="196">
        <f>'Rancho Vista CWIP Balance'!$E$18+'Def Tax'!F496</f>
        <v>67495.440043455194</v>
      </c>
      <c r="F20" s="196">
        <f>'Rancho Vista CWIP Balance'!$E$19+'Def Tax'!F497</f>
        <v>73767.044690082344</v>
      </c>
      <c r="G20" s="196">
        <f>'Rancho Vista CWIP Balance'!$E$20+'Def Tax'!F498</f>
        <v>78026.531792136826</v>
      </c>
      <c r="H20" s="196">
        <f>'Rancho Vista CWIP Balance'!$E$21+'Def Tax'!F499</f>
        <v>103005.08123178093</v>
      </c>
      <c r="I20" s="196">
        <f>'Rancho Vista CWIP Balance'!$E$22+'Def Tax'!F500</f>
        <v>144979.87475713683</v>
      </c>
      <c r="J20" s="328">
        <f>'Rancho Vista CWIP Balance'!$E$23+'Def Tax'!F504</f>
        <v>120540.40930103771</v>
      </c>
      <c r="K20" s="196">
        <f>'Rancho Vista CWIP Balance'!$E$24+'Def Tax'!F506</f>
        <v>122708.010845688</v>
      </c>
      <c r="L20" s="196">
        <f>'Rancho Vista CWIP Balance'!$E$25+'Def Tax'!F507</f>
        <v>126845.18057833715</v>
      </c>
      <c r="M20" s="196">
        <f>'Rancho Vista CWIP Balance'!$E$26+'Def Tax'!F508</f>
        <v>140349.09369114865</v>
      </c>
      <c r="N20" s="196">
        <f>'Rancho Vista CWIP Balance'!$E$27+'Def Tax'!F509</f>
        <v>153853.93868114863</v>
      </c>
      <c r="O20" s="196">
        <f>'Rancho Vista CWIP Balance'!$E$28+'Def Tax'!F512</f>
        <v>156684.60030253354</v>
      </c>
      <c r="P20" s="196">
        <f>'Rancho Vista CWIP Balance'!$E$29+'Def Tax'!F513</f>
        <v>162653.73940338005</v>
      </c>
      <c r="Q20" s="196">
        <f>'Rancho Vista CWIP Balance'!$E$30+'Def Tax'!F514</f>
        <v>163224.09962026865</v>
      </c>
      <c r="R20" s="196">
        <f>'Rancho Vista CWIP Balance'!$E$31+'Def Tax'!F515</f>
        <v>174747.61289581927</v>
      </c>
      <c r="S20" s="328">
        <f>'Rancho Vista CWIP Balance'!$E$32+'Def Tax'!F519</f>
        <v>0</v>
      </c>
      <c r="T20" s="196">
        <f>'Rancho Vista CWIP Balance'!$E$33+'Def Tax'!F521</f>
        <v>0</v>
      </c>
      <c r="U20" s="196">
        <f>'Rancho Vista CWIP Balance'!$E$34+'Def Tax'!F522</f>
        <v>0</v>
      </c>
      <c r="V20" s="196">
        <f>'Rancho Vista CWIP Balance'!$E$35+'Def Tax'!F523</f>
        <v>0</v>
      </c>
      <c r="W20" s="196">
        <f>'Rancho Vista CWIP Balance'!$E$36+'Def Tax'!F524</f>
        <v>0</v>
      </c>
      <c r="X20" s="196">
        <f>'Rancho Vista CWIP Balance'!$E$37+'Def Tax'!F525</f>
        <v>0</v>
      </c>
      <c r="Y20" s="196">
        <f>'Rancho Vista CWIP Balance'!$E$38+'Def Tax'!F526</f>
        <v>0</v>
      </c>
      <c r="Z20" s="196">
        <f>'Rancho Vista CWIP Balance'!$E$39+'Def Tax'!F527</f>
        <v>0</v>
      </c>
      <c r="AA20" s="196">
        <f>'Rancho Vista CWIP Balance'!$E$40+'Def Tax'!F530</f>
        <v>0</v>
      </c>
      <c r="AB20" s="196">
        <f>'Rancho Vista CWIP Balance'!$E$41+'Def Tax'!F531</f>
        <v>0</v>
      </c>
      <c r="AC20" s="196">
        <f>'Rancho Vista CWIP Balance'!$E$42+'Def Tax'!F532</f>
        <v>0</v>
      </c>
      <c r="AD20" s="196">
        <f>'Rancho Vista CWIP Balance'!$E$43+'Def Tax'!F533</f>
        <v>0</v>
      </c>
      <c r="AE20" s="196">
        <f>'Rancho Vista CWIP Balance'!$E$44+'Def Tax'!F534</f>
        <v>0</v>
      </c>
      <c r="AF20" s="196">
        <f>'Rancho Vista CWIP Balance'!$E$45+'Def Tax'!F535</f>
        <v>0</v>
      </c>
      <c r="AG20" s="196">
        <f>'Rancho Vista CWIP Balance'!$E$46+'Def Tax'!F536</f>
        <v>0</v>
      </c>
      <c r="AH20" s="196">
        <f>'Rancho Vista CWIP Balance'!$E$47+'Def Tax'!F537</f>
        <v>0</v>
      </c>
      <c r="AI20" s="196">
        <f>'Rancho Vista CWIP Balance'!$E$48+'Def Tax'!F538</f>
        <v>0</v>
      </c>
      <c r="AJ20" s="196">
        <f>'Rancho Vista CWIP Balance'!$E$49+'Def Tax'!F539</f>
        <v>0</v>
      </c>
      <c r="AK20" s="196">
        <f>'Rancho Vista CWIP Balance'!$E$50+'Def Tax'!F540</f>
        <v>0</v>
      </c>
      <c r="AL20" s="196">
        <f>'Rancho Vista CWIP Balance'!$E$51+'Def Tax'!$F$541</f>
        <v>0</v>
      </c>
      <c r="AM20" s="328">
        <f>'Rancho Vista CWIP Balance'!$E$52+'Def Tax'!$F$544</f>
        <v>0</v>
      </c>
      <c r="AN20" s="328">
        <f>'Rancho Vista CWIP Balance'!$E$53+'Def Tax'!$F$545</f>
        <v>0</v>
      </c>
      <c r="AO20" s="328">
        <f>'Rancho Vista CWIP Balance'!$E$54+'Def Tax'!$F$546</f>
        <v>0</v>
      </c>
      <c r="AP20" s="328">
        <f>'Rancho Vista CWIP Balance'!$E$55+'Def Tax'!$F$547</f>
        <v>0</v>
      </c>
      <c r="AQ20" s="328">
        <f>'Rancho Vista CWIP Balance'!$E$56+'Def Tax'!$F$548</f>
        <v>0</v>
      </c>
      <c r="AR20" s="328">
        <f>'Rancho Vista CWIP Balance'!$E$57+'Def Tax'!$F$549</f>
        <v>0</v>
      </c>
      <c r="AS20" s="328">
        <f>'Rancho Vista CWIP Balance'!$E$58+'Def Tax'!$F$550</f>
        <v>0</v>
      </c>
      <c r="AT20" s="328">
        <f>'Rancho Vista CWIP Balance'!$E$59+'Def Tax'!$F$551</f>
        <v>0</v>
      </c>
      <c r="AU20" s="328">
        <f>'Rancho Vista CWIP Balance'!$E$60+'Def Tax'!$F$552</f>
        <v>0</v>
      </c>
      <c r="AV20" s="328">
        <f>'Rancho Vista CWIP Balance'!$E$61+'Def Tax'!$F$553</f>
        <v>0</v>
      </c>
      <c r="AW20" s="328">
        <f>'Rancho Vista CWIP Balance'!$E$62+'Def Tax'!$F$554</f>
        <v>0</v>
      </c>
      <c r="AX20" s="328">
        <f>'Rancho Vista CWIP Balance'!$E$63+'Def Tax'!$F$555</f>
        <v>0</v>
      </c>
    </row>
    <row r="21" spans="1:50">
      <c r="A21" s="72">
        <v>13</v>
      </c>
      <c r="B21" s="5" t="s">
        <v>12</v>
      </c>
      <c r="C21" s="76"/>
      <c r="D21" s="9"/>
      <c r="E21" s="9">
        <f t="shared" ref="E21:N21" si="15">SUM(E19:E20)</f>
        <v>99907.748248412099</v>
      </c>
      <c r="F21" s="9">
        <f t="shared" si="15"/>
        <v>141262.48473353754</v>
      </c>
      <c r="G21" s="9">
        <f t="shared" si="15"/>
        <v>151793.57648221916</v>
      </c>
      <c r="H21" s="9">
        <f t="shared" si="15"/>
        <v>181031.61302391777</v>
      </c>
      <c r="I21" s="9">
        <f t="shared" si="15"/>
        <v>247984.95598891776</v>
      </c>
      <c r="J21" s="9">
        <f t="shared" si="15"/>
        <v>265520.28405817453</v>
      </c>
      <c r="K21" s="9">
        <f t="shared" si="15"/>
        <v>243248.42014672572</v>
      </c>
      <c r="L21" s="9">
        <f t="shared" si="15"/>
        <v>249553.19142402516</v>
      </c>
      <c r="M21" s="9">
        <f t="shared" si="15"/>
        <v>267194.27426948579</v>
      </c>
      <c r="N21" s="9">
        <f t="shared" si="15"/>
        <v>294203.03237229725</v>
      </c>
      <c r="O21" s="9">
        <f t="shared" ref="O21:Z21" si="16">SUM(O19:O20)</f>
        <v>310538.53898368217</v>
      </c>
      <c r="P21" s="9">
        <f t="shared" si="16"/>
        <v>319338.33970591356</v>
      </c>
      <c r="Q21" s="9">
        <f t="shared" si="16"/>
        <v>325877.8390236487</v>
      </c>
      <c r="R21" s="9">
        <f t="shared" si="16"/>
        <v>337971.71251608792</v>
      </c>
      <c r="S21" s="9">
        <f t="shared" si="16"/>
        <v>0</v>
      </c>
      <c r="T21" s="9">
        <f t="shared" si="16"/>
        <v>0</v>
      </c>
      <c r="U21" s="9">
        <f t="shared" si="16"/>
        <v>0</v>
      </c>
      <c r="V21" s="9">
        <f t="shared" si="16"/>
        <v>0</v>
      </c>
      <c r="W21" s="9">
        <f t="shared" si="16"/>
        <v>0</v>
      </c>
      <c r="X21" s="9">
        <f t="shared" si="16"/>
        <v>0</v>
      </c>
      <c r="Y21" s="9">
        <f t="shared" si="16"/>
        <v>0</v>
      </c>
      <c r="Z21" s="9">
        <f t="shared" si="16"/>
        <v>0</v>
      </c>
      <c r="AA21" s="9">
        <f t="shared" ref="AA21:AL21" si="17">SUM(AA19:AA20)</f>
        <v>0</v>
      </c>
      <c r="AB21" s="9">
        <f t="shared" si="17"/>
        <v>0</v>
      </c>
      <c r="AC21" s="9">
        <f t="shared" si="17"/>
        <v>0</v>
      </c>
      <c r="AD21" s="9">
        <f t="shared" si="17"/>
        <v>0</v>
      </c>
      <c r="AE21" s="9">
        <f t="shared" si="17"/>
        <v>0</v>
      </c>
      <c r="AF21" s="9">
        <f t="shared" si="17"/>
        <v>0</v>
      </c>
      <c r="AG21" s="9">
        <f t="shared" si="17"/>
        <v>0</v>
      </c>
      <c r="AH21" s="9">
        <f t="shared" si="17"/>
        <v>0</v>
      </c>
      <c r="AI21" s="9">
        <f t="shared" si="17"/>
        <v>0</v>
      </c>
      <c r="AJ21" s="9">
        <f t="shared" si="17"/>
        <v>0</v>
      </c>
      <c r="AK21" s="9">
        <f t="shared" si="17"/>
        <v>0</v>
      </c>
      <c r="AL21" s="9">
        <f t="shared" si="17"/>
        <v>0</v>
      </c>
      <c r="AM21" s="472">
        <f t="shared" ref="AM21:AX21" si="18">SUM(AM19:AM20)</f>
        <v>0</v>
      </c>
      <c r="AN21" s="472">
        <f t="shared" si="18"/>
        <v>0</v>
      </c>
      <c r="AO21" s="472">
        <f t="shared" si="18"/>
        <v>0</v>
      </c>
      <c r="AP21" s="472">
        <f t="shared" si="18"/>
        <v>0</v>
      </c>
      <c r="AQ21" s="472">
        <f t="shared" si="18"/>
        <v>0</v>
      </c>
      <c r="AR21" s="472">
        <f t="shared" si="18"/>
        <v>0</v>
      </c>
      <c r="AS21" s="472">
        <f t="shared" si="18"/>
        <v>0</v>
      </c>
      <c r="AT21" s="472">
        <f t="shared" si="18"/>
        <v>0</v>
      </c>
      <c r="AU21" s="472">
        <f t="shared" si="18"/>
        <v>0</v>
      </c>
      <c r="AV21" s="472">
        <f t="shared" si="18"/>
        <v>0</v>
      </c>
      <c r="AW21" s="472">
        <f t="shared" si="18"/>
        <v>0</v>
      </c>
      <c r="AX21" s="472">
        <f t="shared" si="18"/>
        <v>0</v>
      </c>
    </row>
    <row r="22" spans="1:50">
      <c r="A22" s="73">
        <v>14</v>
      </c>
      <c r="B22" s="61" t="s">
        <v>13</v>
      </c>
      <c r="C22" s="77"/>
      <c r="D22" s="62"/>
      <c r="E22" s="62">
        <f t="shared" ref="E22:N22" si="19">E21/2</f>
        <v>49953.87412420605</v>
      </c>
      <c r="F22" s="62">
        <f t="shared" si="19"/>
        <v>70631.242366768769</v>
      </c>
      <c r="G22" s="62">
        <f t="shared" si="19"/>
        <v>75896.788241109578</v>
      </c>
      <c r="H22" s="62">
        <f t="shared" si="19"/>
        <v>90515.806511958886</v>
      </c>
      <c r="I22" s="62">
        <f t="shared" si="19"/>
        <v>123992.47799445888</v>
      </c>
      <c r="J22" s="62">
        <f t="shared" si="19"/>
        <v>132760.14202908726</v>
      </c>
      <c r="K22" s="62">
        <f t="shared" si="19"/>
        <v>121624.21007336286</v>
      </c>
      <c r="L22" s="62">
        <f t="shared" si="19"/>
        <v>124776.59571201258</v>
      </c>
      <c r="M22" s="62">
        <f t="shared" si="19"/>
        <v>133597.13713474289</v>
      </c>
      <c r="N22" s="62">
        <f t="shared" si="19"/>
        <v>147101.51618614863</v>
      </c>
      <c r="O22" s="62">
        <f t="shared" ref="O22:Z22" si="20">O21/2</f>
        <v>155269.26949184109</v>
      </c>
      <c r="P22" s="62">
        <f t="shared" si="20"/>
        <v>159669.16985295678</v>
      </c>
      <c r="Q22" s="62">
        <f t="shared" si="20"/>
        <v>162938.91951182435</v>
      </c>
      <c r="R22" s="62">
        <f t="shared" si="20"/>
        <v>168985.85625804396</v>
      </c>
      <c r="S22" s="62">
        <f t="shared" si="20"/>
        <v>0</v>
      </c>
      <c r="T22" s="62">
        <f t="shared" si="20"/>
        <v>0</v>
      </c>
      <c r="U22" s="62">
        <f t="shared" si="20"/>
        <v>0</v>
      </c>
      <c r="V22" s="62">
        <f t="shared" si="20"/>
        <v>0</v>
      </c>
      <c r="W22" s="62">
        <f t="shared" si="20"/>
        <v>0</v>
      </c>
      <c r="X22" s="62">
        <f t="shared" si="20"/>
        <v>0</v>
      </c>
      <c r="Y22" s="62">
        <f t="shared" si="20"/>
        <v>0</v>
      </c>
      <c r="Z22" s="62">
        <f t="shared" si="20"/>
        <v>0</v>
      </c>
      <c r="AA22" s="62">
        <f t="shared" ref="AA22:AL22" si="21">AA21/2</f>
        <v>0</v>
      </c>
      <c r="AB22" s="62">
        <f t="shared" si="21"/>
        <v>0</v>
      </c>
      <c r="AC22" s="62">
        <f t="shared" si="21"/>
        <v>0</v>
      </c>
      <c r="AD22" s="62">
        <f t="shared" si="21"/>
        <v>0</v>
      </c>
      <c r="AE22" s="62">
        <f t="shared" si="21"/>
        <v>0</v>
      </c>
      <c r="AF22" s="62">
        <f t="shared" si="21"/>
        <v>0</v>
      </c>
      <c r="AG22" s="62">
        <f t="shared" si="21"/>
        <v>0</v>
      </c>
      <c r="AH22" s="62">
        <f t="shared" si="21"/>
        <v>0</v>
      </c>
      <c r="AI22" s="62">
        <f t="shared" si="21"/>
        <v>0</v>
      </c>
      <c r="AJ22" s="62">
        <f t="shared" si="21"/>
        <v>0</v>
      </c>
      <c r="AK22" s="62">
        <f t="shared" si="21"/>
        <v>0</v>
      </c>
      <c r="AL22" s="62">
        <f t="shared" si="21"/>
        <v>0</v>
      </c>
      <c r="AM22" s="477">
        <f>AM21/2</f>
        <v>0</v>
      </c>
      <c r="AN22" s="477">
        <f t="shared" ref="AN22:AX22" si="22">AN21/2</f>
        <v>0</v>
      </c>
      <c r="AO22" s="477">
        <f t="shared" si="22"/>
        <v>0</v>
      </c>
      <c r="AP22" s="477">
        <f t="shared" si="22"/>
        <v>0</v>
      </c>
      <c r="AQ22" s="477">
        <f t="shared" si="22"/>
        <v>0</v>
      </c>
      <c r="AR22" s="477">
        <f t="shared" si="22"/>
        <v>0</v>
      </c>
      <c r="AS22" s="477">
        <f t="shared" si="22"/>
        <v>0</v>
      </c>
      <c r="AT22" s="477">
        <f t="shared" si="22"/>
        <v>0</v>
      </c>
      <c r="AU22" s="477">
        <f t="shared" si="22"/>
        <v>0</v>
      </c>
      <c r="AV22" s="477">
        <f t="shared" si="22"/>
        <v>0</v>
      </c>
      <c r="AW22" s="477">
        <f t="shared" si="22"/>
        <v>0</v>
      </c>
      <c r="AX22" s="477">
        <f t="shared" si="22"/>
        <v>0</v>
      </c>
    </row>
    <row r="23" spans="1:50">
      <c r="A23" s="72">
        <v>15</v>
      </c>
      <c r="B23" s="5"/>
      <c r="AM23" s="355"/>
      <c r="AN23" s="355"/>
      <c r="AO23" s="355"/>
      <c r="AP23" s="355"/>
      <c r="AQ23" s="355"/>
      <c r="AR23" s="355"/>
      <c r="AS23" s="355"/>
      <c r="AT23" s="355"/>
      <c r="AU23" s="355"/>
      <c r="AV23" s="355"/>
      <c r="AW23" s="355"/>
      <c r="AX23" s="355"/>
    </row>
    <row r="24" spans="1:50" ht="28.5">
      <c r="A24" s="73">
        <v>16</v>
      </c>
      <c r="B24" s="52" t="s">
        <v>14</v>
      </c>
      <c r="AM24" s="355"/>
      <c r="AN24" s="355"/>
      <c r="AO24" s="355"/>
      <c r="AP24" s="355"/>
      <c r="AQ24" s="355"/>
      <c r="AR24" s="355"/>
      <c r="AS24" s="355"/>
      <c r="AT24" s="355"/>
      <c r="AU24" s="355"/>
      <c r="AV24" s="355"/>
      <c r="AW24" s="355"/>
      <c r="AX24" s="355"/>
    </row>
    <row r="25" spans="1:50">
      <c r="A25" s="72">
        <v>17</v>
      </c>
      <c r="B25" s="51" t="s">
        <v>47</v>
      </c>
      <c r="C25" s="89"/>
      <c r="D25" s="89"/>
      <c r="E25" s="89">
        <f>'Cost of Capital'!$D$28</f>
        <v>8.3889999999999992E-2</v>
      </c>
      <c r="F25" s="89">
        <f>'Cost of Capital'!$D$28</f>
        <v>8.3889999999999992E-2</v>
      </c>
      <c r="G25" s="89">
        <f>'Cost of Capital'!$D$28</f>
        <v>8.3889999999999992E-2</v>
      </c>
      <c r="H25" s="89">
        <f>'Cost of Capital'!$D$28</f>
        <v>8.3889999999999992E-2</v>
      </c>
      <c r="I25" s="89">
        <f>'Cost of Capital'!$D$28</f>
        <v>8.3889999999999992E-2</v>
      </c>
      <c r="J25" s="89">
        <f>'Cost of Capital'!$D$28</f>
        <v>8.3889999999999992E-2</v>
      </c>
      <c r="K25" s="89">
        <f>'Cost of Capital'!$D$28</f>
        <v>8.3889999999999992E-2</v>
      </c>
      <c r="L25" s="89">
        <f>'Cost of Capital'!$D$28</f>
        <v>8.3889999999999992E-2</v>
      </c>
      <c r="M25" s="89">
        <f>'Cost of Capital'!$D$28</f>
        <v>8.3889999999999992E-2</v>
      </c>
      <c r="N25" s="89">
        <f>'Cost of Capital'!$D$28</f>
        <v>8.3889999999999992E-2</v>
      </c>
      <c r="O25" s="89">
        <f>'Cost of Capital'!$D$54</f>
        <v>8.7690000000000004E-2</v>
      </c>
      <c r="P25" s="89">
        <f>'Cost of Capital'!$D$54</f>
        <v>8.7690000000000004E-2</v>
      </c>
      <c r="Q25" s="89">
        <f>'Cost of Capital'!$D$54</f>
        <v>8.7690000000000004E-2</v>
      </c>
      <c r="R25" s="89">
        <f>'Cost of Capital'!$D$54</f>
        <v>8.7690000000000004E-2</v>
      </c>
      <c r="S25" s="89">
        <f>'Cost of Capital'!$D$54</f>
        <v>8.7690000000000004E-2</v>
      </c>
      <c r="T25" s="89">
        <f>'Cost of Capital'!$D$54</f>
        <v>8.7690000000000004E-2</v>
      </c>
      <c r="U25" s="89">
        <f>'Cost of Capital'!$D$54</f>
        <v>8.7690000000000004E-2</v>
      </c>
      <c r="V25" s="89">
        <f>'Cost of Capital'!$D$54</f>
        <v>8.7690000000000004E-2</v>
      </c>
      <c r="W25" s="89">
        <f>'Cost of Capital'!$D$54</f>
        <v>8.7690000000000004E-2</v>
      </c>
      <c r="X25" s="89">
        <f>'Cost of Capital'!$D$54</f>
        <v>8.7690000000000004E-2</v>
      </c>
      <c r="Y25" s="89">
        <f>'Cost of Capital'!$D$54</f>
        <v>8.7690000000000004E-2</v>
      </c>
      <c r="Z25" s="89">
        <f>'Cost of Capital'!$D$54</f>
        <v>8.7690000000000004E-2</v>
      </c>
      <c r="AA25" s="89">
        <f>'Cost of Capital'!$D$54</f>
        <v>8.7690000000000004E-2</v>
      </c>
      <c r="AB25" s="89">
        <f>'Cost of Capital'!$D$54</f>
        <v>8.7690000000000004E-2</v>
      </c>
      <c r="AC25" s="89">
        <f>'Cost of Capital'!$D$54</f>
        <v>8.7690000000000004E-2</v>
      </c>
      <c r="AD25" s="89">
        <f>'Cost of Capital'!$D$54</f>
        <v>8.7690000000000004E-2</v>
      </c>
      <c r="AE25" s="89">
        <f>'Cost of Capital'!$D$54</f>
        <v>8.7690000000000004E-2</v>
      </c>
      <c r="AF25" s="89">
        <f>'Cost of Capital'!$D$82</f>
        <v>8.788E-2</v>
      </c>
      <c r="AG25" s="89">
        <f>'Cost of Capital'!$D$82</f>
        <v>8.788E-2</v>
      </c>
      <c r="AH25" s="89">
        <f>'Cost of Capital'!$D$82</f>
        <v>8.788E-2</v>
      </c>
      <c r="AI25" s="89">
        <f>'Cost of Capital'!$D$82</f>
        <v>8.788E-2</v>
      </c>
      <c r="AJ25" s="89">
        <f>'Cost of Capital'!$D$82</f>
        <v>8.788E-2</v>
      </c>
      <c r="AK25" s="89">
        <f>'Cost of Capital'!$D$82</f>
        <v>8.788E-2</v>
      </c>
      <c r="AL25" s="89">
        <f>'Cost of Capital'!$D$82</f>
        <v>8.788E-2</v>
      </c>
      <c r="AM25" s="318">
        <f>'Cost of Capital'!$D$136</f>
        <v>8.6740000000000012E-2</v>
      </c>
      <c r="AN25" s="318">
        <f>'Cost of Capital'!$D$136</f>
        <v>8.6740000000000012E-2</v>
      </c>
      <c r="AO25" s="318">
        <f>'Cost of Capital'!$D$136</f>
        <v>8.6740000000000012E-2</v>
      </c>
      <c r="AP25" s="318">
        <f>'Cost of Capital'!$D$136</f>
        <v>8.6740000000000012E-2</v>
      </c>
      <c r="AQ25" s="318">
        <f>'Cost of Capital'!$D$136</f>
        <v>8.6740000000000012E-2</v>
      </c>
      <c r="AR25" s="318">
        <f>'Cost of Capital'!$D$136</f>
        <v>8.6740000000000012E-2</v>
      </c>
      <c r="AS25" s="318">
        <f>'Cost of Capital'!$D$136</f>
        <v>8.6740000000000012E-2</v>
      </c>
      <c r="AT25" s="318">
        <f>'Cost of Capital'!$D$136</f>
        <v>8.6740000000000012E-2</v>
      </c>
      <c r="AU25" s="318">
        <f>'Cost of Capital'!$D$136</f>
        <v>8.6740000000000012E-2</v>
      </c>
      <c r="AV25" s="318">
        <f>'Cost of Capital'!$D$136</f>
        <v>8.6740000000000012E-2</v>
      </c>
      <c r="AW25" s="318">
        <f>'Cost of Capital'!$D$136</f>
        <v>8.6740000000000012E-2</v>
      </c>
      <c r="AX25" s="318">
        <f>'Cost of Capital'!$D$136</f>
        <v>8.6740000000000012E-2</v>
      </c>
    </row>
    <row r="26" spans="1:50">
      <c r="A26" s="73">
        <v>18</v>
      </c>
      <c r="B26" s="61" t="s">
        <v>48</v>
      </c>
      <c r="C26" s="85"/>
      <c r="D26" s="85"/>
      <c r="E26" s="85">
        <f>'Cost of Capital'!$D$29</f>
        <v>6.9908333333333324E-3</v>
      </c>
      <c r="F26" s="85">
        <f>'Cost of Capital'!$D$29</f>
        <v>6.9908333333333324E-3</v>
      </c>
      <c r="G26" s="85">
        <f>'Cost of Capital'!$D$29</f>
        <v>6.9908333333333324E-3</v>
      </c>
      <c r="H26" s="85">
        <f>'Cost of Capital'!$D$29</f>
        <v>6.9908333333333324E-3</v>
      </c>
      <c r="I26" s="85">
        <f>'Cost of Capital'!$D$29</f>
        <v>6.9908333333333324E-3</v>
      </c>
      <c r="J26" s="85">
        <f>'Cost of Capital'!$D$29</f>
        <v>6.9908333333333324E-3</v>
      </c>
      <c r="K26" s="85">
        <f>'Cost of Capital'!$D$29</f>
        <v>6.9908333333333324E-3</v>
      </c>
      <c r="L26" s="85">
        <f>'Cost of Capital'!$D$29</f>
        <v>6.9908333333333324E-3</v>
      </c>
      <c r="M26" s="85">
        <f>'Cost of Capital'!$D$29</f>
        <v>6.9908333333333324E-3</v>
      </c>
      <c r="N26" s="85">
        <f>'Cost of Capital'!$D$29</f>
        <v>6.9908333333333324E-3</v>
      </c>
      <c r="O26" s="85">
        <f>'Cost of Capital'!$D$55</f>
        <v>7.3075000000000006E-3</v>
      </c>
      <c r="P26" s="85">
        <f>'Cost of Capital'!$D$55</f>
        <v>7.3075000000000006E-3</v>
      </c>
      <c r="Q26" s="85">
        <f>'Cost of Capital'!$D$55</f>
        <v>7.3075000000000006E-3</v>
      </c>
      <c r="R26" s="85">
        <f>'Cost of Capital'!$D$55</f>
        <v>7.3075000000000006E-3</v>
      </c>
      <c r="S26" s="85">
        <f>'Cost of Capital'!$D$55</f>
        <v>7.3075000000000006E-3</v>
      </c>
      <c r="T26" s="85">
        <f>'Cost of Capital'!$D$55</f>
        <v>7.3075000000000006E-3</v>
      </c>
      <c r="U26" s="85">
        <f>'Cost of Capital'!$D$55</f>
        <v>7.3075000000000006E-3</v>
      </c>
      <c r="V26" s="85">
        <f>'Cost of Capital'!$D$55</f>
        <v>7.3075000000000006E-3</v>
      </c>
      <c r="W26" s="85">
        <f>'Cost of Capital'!$D$55</f>
        <v>7.3075000000000006E-3</v>
      </c>
      <c r="X26" s="85">
        <f>'Cost of Capital'!$D$55</f>
        <v>7.3075000000000006E-3</v>
      </c>
      <c r="Y26" s="85">
        <f>'Cost of Capital'!$D$55</f>
        <v>7.3075000000000006E-3</v>
      </c>
      <c r="Z26" s="85">
        <f>'Cost of Capital'!$D$55</f>
        <v>7.3075000000000006E-3</v>
      </c>
      <c r="AA26" s="85">
        <f>'Cost of Capital'!$D$55</f>
        <v>7.3075000000000006E-3</v>
      </c>
      <c r="AB26" s="85">
        <f>'Cost of Capital'!$D$55</f>
        <v>7.3075000000000006E-3</v>
      </c>
      <c r="AC26" s="85">
        <f>'Cost of Capital'!$D$55</f>
        <v>7.3075000000000006E-3</v>
      </c>
      <c r="AD26" s="85">
        <f>'Cost of Capital'!$D$55</f>
        <v>7.3075000000000006E-3</v>
      </c>
      <c r="AE26" s="85">
        <f>'Cost of Capital'!$D$55</f>
        <v>7.3075000000000006E-3</v>
      </c>
      <c r="AF26" s="85">
        <f>'Cost of Capital'!$D$83</f>
        <v>7.3233333333333336E-3</v>
      </c>
      <c r="AG26" s="85">
        <f>'Cost of Capital'!$D$83</f>
        <v>7.3233333333333336E-3</v>
      </c>
      <c r="AH26" s="85">
        <f>'Cost of Capital'!$D$83</f>
        <v>7.3233333333333336E-3</v>
      </c>
      <c r="AI26" s="85">
        <f>'Cost of Capital'!$D$83</f>
        <v>7.3233333333333336E-3</v>
      </c>
      <c r="AJ26" s="85">
        <f>'Cost of Capital'!$D$83</f>
        <v>7.3233333333333336E-3</v>
      </c>
      <c r="AK26" s="85">
        <f>'Cost of Capital'!$D$83</f>
        <v>7.3233333333333336E-3</v>
      </c>
      <c r="AL26" s="85">
        <f>'Cost of Capital'!$D$83</f>
        <v>7.3233333333333336E-3</v>
      </c>
      <c r="AM26" s="484">
        <f>'Cost of Capital'!$D$137</f>
        <v>7.228333333333334E-3</v>
      </c>
      <c r="AN26" s="484">
        <f>'Cost of Capital'!$D$137</f>
        <v>7.228333333333334E-3</v>
      </c>
      <c r="AO26" s="484">
        <f>'Cost of Capital'!$D$137</f>
        <v>7.228333333333334E-3</v>
      </c>
      <c r="AP26" s="484">
        <f>'Cost of Capital'!$D$137</f>
        <v>7.228333333333334E-3</v>
      </c>
      <c r="AQ26" s="484">
        <f>'Cost of Capital'!$D$137</f>
        <v>7.228333333333334E-3</v>
      </c>
      <c r="AR26" s="484">
        <f>'Cost of Capital'!$D$137</f>
        <v>7.228333333333334E-3</v>
      </c>
      <c r="AS26" s="484">
        <f>'Cost of Capital'!$D$137</f>
        <v>7.228333333333334E-3</v>
      </c>
      <c r="AT26" s="484">
        <f>'Cost of Capital'!$D$137</f>
        <v>7.228333333333334E-3</v>
      </c>
      <c r="AU26" s="484">
        <f>'Cost of Capital'!$D$137</f>
        <v>7.228333333333334E-3</v>
      </c>
      <c r="AV26" s="484">
        <f>'Cost of Capital'!$D$137</f>
        <v>7.228333333333334E-3</v>
      </c>
      <c r="AW26" s="484">
        <f>'Cost of Capital'!$D$137</f>
        <v>7.228333333333334E-3</v>
      </c>
      <c r="AX26" s="484">
        <f>'Cost of Capital'!$D$137</f>
        <v>7.228333333333334E-3</v>
      </c>
    </row>
    <row r="27" spans="1:50">
      <c r="A27" s="72">
        <v>19</v>
      </c>
      <c r="B27" s="5"/>
      <c r="AM27" s="355"/>
      <c r="AN27" s="355"/>
      <c r="AO27" s="355"/>
      <c r="AP27" s="355"/>
      <c r="AQ27" s="355"/>
      <c r="AR27" s="355"/>
      <c r="AS27" s="355"/>
      <c r="AT27" s="355"/>
      <c r="AU27" s="355"/>
      <c r="AV27" s="355"/>
      <c r="AW27" s="355"/>
      <c r="AX27" s="355"/>
    </row>
    <row r="28" spans="1:50" ht="15.75">
      <c r="A28" s="73">
        <v>20</v>
      </c>
      <c r="B28" s="53" t="s">
        <v>65</v>
      </c>
      <c r="AM28" s="355"/>
      <c r="AN28" s="355"/>
      <c r="AO28" s="355"/>
      <c r="AP28" s="355"/>
      <c r="AQ28" s="355"/>
      <c r="AR28" s="355"/>
      <c r="AS28" s="355"/>
      <c r="AT28" s="355"/>
      <c r="AU28" s="355"/>
      <c r="AV28" s="355"/>
      <c r="AW28" s="355"/>
      <c r="AX28" s="355"/>
    </row>
    <row r="29" spans="1:50">
      <c r="A29" s="72">
        <v>21</v>
      </c>
      <c r="B29" s="69" t="s">
        <v>91</v>
      </c>
      <c r="AM29" s="355"/>
      <c r="AN29" s="355"/>
      <c r="AO29" s="355"/>
      <c r="AP29" s="355"/>
      <c r="AQ29" s="355"/>
      <c r="AR29" s="355"/>
      <c r="AS29" s="355"/>
      <c r="AT29" s="355"/>
      <c r="AU29" s="355"/>
      <c r="AV29" s="355"/>
      <c r="AW29" s="355"/>
      <c r="AX29" s="355"/>
    </row>
    <row r="30" spans="1:50">
      <c r="A30" s="73">
        <v>22</v>
      </c>
      <c r="B30" s="11" t="s">
        <v>15</v>
      </c>
      <c r="AM30" s="355"/>
      <c r="AN30" s="355"/>
      <c r="AO30" s="355"/>
      <c r="AP30" s="355"/>
      <c r="AQ30" s="355"/>
      <c r="AR30" s="355"/>
      <c r="AS30" s="355"/>
      <c r="AT30" s="355"/>
      <c r="AU30" s="355"/>
      <c r="AV30" s="355"/>
      <c r="AW30" s="355"/>
      <c r="AX30" s="355"/>
    </row>
    <row r="31" spans="1:50" ht="25.5">
      <c r="A31" s="72">
        <v>23</v>
      </c>
      <c r="B31" s="101" t="s">
        <v>92</v>
      </c>
      <c r="AM31" s="355"/>
      <c r="AN31" s="355"/>
      <c r="AO31" s="355"/>
      <c r="AP31" s="355"/>
      <c r="AQ31" s="355"/>
      <c r="AR31" s="355"/>
      <c r="AS31" s="355"/>
      <c r="AT31" s="355"/>
      <c r="AU31" s="355"/>
      <c r="AV31" s="355"/>
      <c r="AW31" s="355"/>
      <c r="AX31" s="355"/>
    </row>
    <row r="32" spans="1:50" ht="25.5">
      <c r="A32" s="73">
        <v>24</v>
      </c>
      <c r="B32" s="12" t="s">
        <v>19</v>
      </c>
      <c r="AM32" s="355"/>
      <c r="AN32" s="355"/>
      <c r="AO32" s="355"/>
      <c r="AP32" s="355"/>
      <c r="AQ32" s="355"/>
      <c r="AR32" s="355"/>
      <c r="AS32" s="355"/>
      <c r="AT32" s="355"/>
      <c r="AU32" s="355"/>
      <c r="AV32" s="355"/>
      <c r="AW32" s="355"/>
      <c r="AX32" s="355"/>
    </row>
    <row r="33" spans="1:50">
      <c r="A33" s="72">
        <v>25</v>
      </c>
      <c r="B33" s="5" t="s">
        <v>20</v>
      </c>
      <c r="C33" s="87"/>
      <c r="D33" s="87"/>
      <c r="E33" s="87">
        <f>'Cost of Capital'!$D$25</f>
        <v>2.6699999999999998E-2</v>
      </c>
      <c r="F33" s="87">
        <f>'Cost of Capital'!$D$25</f>
        <v>2.6699999999999998E-2</v>
      </c>
      <c r="G33" s="87">
        <f>'Cost of Capital'!$D$25</f>
        <v>2.6699999999999998E-2</v>
      </c>
      <c r="H33" s="87">
        <f>'Cost of Capital'!$D$25</f>
        <v>2.6699999999999998E-2</v>
      </c>
      <c r="I33" s="87">
        <f>'Cost of Capital'!$D$25</f>
        <v>2.6699999999999998E-2</v>
      </c>
      <c r="J33" s="87">
        <f>'Cost of Capital'!$D$25</f>
        <v>2.6699999999999998E-2</v>
      </c>
      <c r="K33" s="87">
        <f>'Cost of Capital'!$D$25</f>
        <v>2.6699999999999998E-2</v>
      </c>
      <c r="L33" s="87">
        <f>'Cost of Capital'!$D$25</f>
        <v>2.6699999999999998E-2</v>
      </c>
      <c r="M33" s="87">
        <f>'Cost of Capital'!$D$25</f>
        <v>2.6699999999999998E-2</v>
      </c>
      <c r="N33" s="87">
        <f>'Cost of Capital'!$D$25</f>
        <v>2.6699999999999998E-2</v>
      </c>
      <c r="O33" s="87">
        <f>'Cost of Capital'!$D$51</f>
        <v>2.76E-2</v>
      </c>
      <c r="P33" s="87">
        <f>'Cost of Capital'!$D$51</f>
        <v>2.76E-2</v>
      </c>
      <c r="Q33" s="87">
        <f>'Cost of Capital'!$D$51</f>
        <v>2.76E-2</v>
      </c>
      <c r="R33" s="87">
        <f>'Cost of Capital'!$D$51</f>
        <v>2.76E-2</v>
      </c>
      <c r="S33" s="87">
        <f>'Cost of Capital'!$D$51</f>
        <v>2.76E-2</v>
      </c>
      <c r="T33" s="87">
        <f>'Cost of Capital'!$D$51</f>
        <v>2.76E-2</v>
      </c>
      <c r="U33" s="87">
        <f>'Cost of Capital'!$D$51</f>
        <v>2.76E-2</v>
      </c>
      <c r="V33" s="87">
        <f>'Cost of Capital'!$D$51</f>
        <v>2.76E-2</v>
      </c>
      <c r="W33" s="87">
        <f>'Cost of Capital'!$D$51</f>
        <v>2.76E-2</v>
      </c>
      <c r="X33" s="87">
        <f>'Cost of Capital'!$D$51</f>
        <v>2.76E-2</v>
      </c>
      <c r="Y33" s="87">
        <f>'Cost of Capital'!$D$51</f>
        <v>2.76E-2</v>
      </c>
      <c r="Z33" s="87">
        <f>'Cost of Capital'!$D$51</f>
        <v>2.76E-2</v>
      </c>
      <c r="AA33" s="319">
        <f>'Cost of Capital'!$D$51</f>
        <v>2.76E-2</v>
      </c>
      <c r="AB33" s="87">
        <f>'Cost of Capital'!$D$51</f>
        <v>2.76E-2</v>
      </c>
      <c r="AC33" s="87">
        <f>'Cost of Capital'!$D$51</f>
        <v>2.76E-2</v>
      </c>
      <c r="AD33" s="87">
        <f>'Cost of Capital'!$D$51</f>
        <v>2.76E-2</v>
      </c>
      <c r="AE33" s="87">
        <f>'Cost of Capital'!$D$51</f>
        <v>2.76E-2</v>
      </c>
      <c r="AF33" s="319">
        <f>'Cost of Capital'!$D$79</f>
        <v>2.6700000000000002E-2</v>
      </c>
      <c r="AG33" s="319">
        <f>'Cost of Capital'!$D$79</f>
        <v>2.6700000000000002E-2</v>
      </c>
      <c r="AH33" s="319">
        <f>'Cost of Capital'!$D$79</f>
        <v>2.6700000000000002E-2</v>
      </c>
      <c r="AI33" s="319">
        <f>'Cost of Capital'!$D$79</f>
        <v>2.6700000000000002E-2</v>
      </c>
      <c r="AJ33" s="319">
        <f>'Cost of Capital'!$D$79</f>
        <v>2.6700000000000002E-2</v>
      </c>
      <c r="AK33" s="319">
        <f>'Cost of Capital'!$D$79</f>
        <v>2.6700000000000002E-2</v>
      </c>
      <c r="AL33" s="319">
        <f>'Cost of Capital'!$D$79</f>
        <v>2.6700000000000002E-2</v>
      </c>
      <c r="AM33" s="319">
        <f>'Cost of Capital'!$D$133</f>
        <v>2.58E-2</v>
      </c>
      <c r="AN33" s="319">
        <f>'Cost of Capital'!$D$133</f>
        <v>2.58E-2</v>
      </c>
      <c r="AO33" s="319">
        <f>'Cost of Capital'!$D$133</f>
        <v>2.58E-2</v>
      </c>
      <c r="AP33" s="319">
        <f>'Cost of Capital'!$D$133</f>
        <v>2.58E-2</v>
      </c>
      <c r="AQ33" s="319">
        <f>'Cost of Capital'!$D$133</f>
        <v>2.58E-2</v>
      </c>
      <c r="AR33" s="319">
        <f>'Cost of Capital'!$D$133</f>
        <v>2.58E-2</v>
      </c>
      <c r="AS33" s="319">
        <f>'Cost of Capital'!$D$133</f>
        <v>2.58E-2</v>
      </c>
      <c r="AT33" s="319">
        <f>'Cost of Capital'!$D$133</f>
        <v>2.58E-2</v>
      </c>
      <c r="AU33" s="319">
        <f>'Cost of Capital'!$D$133</f>
        <v>2.58E-2</v>
      </c>
      <c r="AV33" s="319">
        <f>'Cost of Capital'!$D$133</f>
        <v>2.58E-2</v>
      </c>
      <c r="AW33" s="319">
        <f>'Cost of Capital'!$D$133</f>
        <v>2.58E-2</v>
      </c>
      <c r="AX33" s="319">
        <f>'Cost of Capital'!$D$133</f>
        <v>2.58E-2</v>
      </c>
    </row>
    <row r="34" spans="1:50">
      <c r="A34" s="73">
        <v>26</v>
      </c>
      <c r="B34" s="5" t="s">
        <v>21</v>
      </c>
      <c r="C34" s="100"/>
      <c r="D34" s="100"/>
      <c r="E34" s="100">
        <f t="shared" ref="E34:N34" si="23">E33/12</f>
        <v>2.225E-3</v>
      </c>
      <c r="F34" s="100">
        <f t="shared" si="23"/>
        <v>2.225E-3</v>
      </c>
      <c r="G34" s="100">
        <f t="shared" si="23"/>
        <v>2.225E-3</v>
      </c>
      <c r="H34" s="100">
        <f t="shared" si="23"/>
        <v>2.225E-3</v>
      </c>
      <c r="I34" s="100">
        <f t="shared" si="23"/>
        <v>2.225E-3</v>
      </c>
      <c r="J34" s="100">
        <f t="shared" si="23"/>
        <v>2.225E-3</v>
      </c>
      <c r="K34" s="100">
        <f t="shared" si="23"/>
        <v>2.225E-3</v>
      </c>
      <c r="L34" s="100">
        <f t="shared" si="23"/>
        <v>2.225E-3</v>
      </c>
      <c r="M34" s="100">
        <f t="shared" si="23"/>
        <v>2.225E-3</v>
      </c>
      <c r="N34" s="100">
        <f t="shared" si="23"/>
        <v>2.225E-3</v>
      </c>
      <c r="O34" s="100">
        <f t="shared" ref="O34:Z34" si="24">O33/12</f>
        <v>2.3E-3</v>
      </c>
      <c r="P34" s="100">
        <f t="shared" si="24"/>
        <v>2.3E-3</v>
      </c>
      <c r="Q34" s="100">
        <f t="shared" si="24"/>
        <v>2.3E-3</v>
      </c>
      <c r="R34" s="100">
        <f t="shared" si="24"/>
        <v>2.3E-3</v>
      </c>
      <c r="S34" s="100">
        <f t="shared" si="24"/>
        <v>2.3E-3</v>
      </c>
      <c r="T34" s="100">
        <f t="shared" si="24"/>
        <v>2.3E-3</v>
      </c>
      <c r="U34" s="100">
        <f t="shared" si="24"/>
        <v>2.3E-3</v>
      </c>
      <c r="V34" s="100">
        <f t="shared" si="24"/>
        <v>2.3E-3</v>
      </c>
      <c r="W34" s="100">
        <f t="shared" si="24"/>
        <v>2.3E-3</v>
      </c>
      <c r="X34" s="100">
        <f t="shared" si="24"/>
        <v>2.3E-3</v>
      </c>
      <c r="Y34" s="100">
        <f t="shared" si="24"/>
        <v>2.3E-3</v>
      </c>
      <c r="Z34" s="100">
        <f t="shared" si="24"/>
        <v>2.3E-3</v>
      </c>
      <c r="AA34" s="100">
        <f t="shared" ref="AA34:AL34" si="25">AA33/12</f>
        <v>2.3E-3</v>
      </c>
      <c r="AB34" s="100">
        <f t="shared" si="25"/>
        <v>2.3E-3</v>
      </c>
      <c r="AC34" s="100">
        <f t="shared" si="25"/>
        <v>2.3E-3</v>
      </c>
      <c r="AD34" s="100">
        <f t="shared" si="25"/>
        <v>2.3E-3</v>
      </c>
      <c r="AE34" s="100">
        <f t="shared" si="25"/>
        <v>2.3E-3</v>
      </c>
      <c r="AF34" s="100">
        <f t="shared" si="25"/>
        <v>2.225E-3</v>
      </c>
      <c r="AG34" s="100">
        <f t="shared" si="25"/>
        <v>2.225E-3</v>
      </c>
      <c r="AH34" s="100">
        <f t="shared" si="25"/>
        <v>2.225E-3</v>
      </c>
      <c r="AI34" s="100">
        <f t="shared" si="25"/>
        <v>2.225E-3</v>
      </c>
      <c r="AJ34" s="100">
        <f t="shared" si="25"/>
        <v>2.225E-3</v>
      </c>
      <c r="AK34" s="100">
        <f t="shared" si="25"/>
        <v>2.225E-3</v>
      </c>
      <c r="AL34" s="100">
        <f t="shared" si="25"/>
        <v>2.225E-3</v>
      </c>
      <c r="AM34" s="487">
        <f t="shared" ref="AM34:AX34" si="26">AM33/12</f>
        <v>2.15E-3</v>
      </c>
      <c r="AN34" s="487">
        <f t="shared" si="26"/>
        <v>2.15E-3</v>
      </c>
      <c r="AO34" s="487">
        <f t="shared" si="26"/>
        <v>2.15E-3</v>
      </c>
      <c r="AP34" s="487">
        <f t="shared" si="26"/>
        <v>2.15E-3</v>
      </c>
      <c r="AQ34" s="487">
        <f t="shared" si="26"/>
        <v>2.15E-3</v>
      </c>
      <c r="AR34" s="487">
        <f t="shared" si="26"/>
        <v>2.15E-3</v>
      </c>
      <c r="AS34" s="487">
        <f t="shared" si="26"/>
        <v>2.15E-3</v>
      </c>
      <c r="AT34" s="487">
        <f t="shared" si="26"/>
        <v>2.15E-3</v>
      </c>
      <c r="AU34" s="487">
        <f t="shared" si="26"/>
        <v>2.15E-3</v>
      </c>
      <c r="AV34" s="487">
        <f t="shared" si="26"/>
        <v>2.15E-3</v>
      </c>
      <c r="AW34" s="487">
        <f t="shared" si="26"/>
        <v>2.15E-3</v>
      </c>
      <c r="AX34" s="487">
        <f t="shared" si="26"/>
        <v>2.15E-3</v>
      </c>
    </row>
    <row r="35" spans="1:50" ht="25.5">
      <c r="A35" s="72">
        <v>27</v>
      </c>
      <c r="B35" s="12" t="s">
        <v>22</v>
      </c>
      <c r="AM35" s="355"/>
      <c r="AN35" s="355"/>
      <c r="AO35" s="355"/>
      <c r="AP35" s="355"/>
      <c r="AQ35" s="355"/>
      <c r="AR35" s="355"/>
      <c r="AS35" s="355"/>
      <c r="AT35" s="355"/>
      <c r="AU35" s="355"/>
      <c r="AV35" s="355"/>
      <c r="AW35" s="355"/>
      <c r="AX35" s="355"/>
    </row>
    <row r="36" spans="1:50">
      <c r="A36" s="73">
        <v>28</v>
      </c>
      <c r="B36" s="5" t="s">
        <v>18</v>
      </c>
      <c r="C36" s="159"/>
      <c r="D36" s="158"/>
      <c r="E36" s="158">
        <f>'Def Tax'!$E425</f>
        <v>165.19423412916666</v>
      </c>
      <c r="F36" s="158">
        <f>'Def Tax'!$E426</f>
        <v>307.39641704809196</v>
      </c>
      <c r="G36" s="158">
        <f>'Def Tax'!$E427</f>
        <v>337.16893948456237</v>
      </c>
      <c r="H36" s="158">
        <f>'Def Tax'!$E428</f>
        <v>357.87105961136672</v>
      </c>
      <c r="I36" s="158">
        <f>'Def Tax'!$E429</f>
        <v>473.66344698875213</v>
      </c>
      <c r="J36" s="158">
        <f>'Def Tax'!$E431</f>
        <v>667.85172697495045</v>
      </c>
      <c r="K36" s="158">
        <f>'Def Tax'!$E435</f>
        <v>556.15736209981765</v>
      </c>
      <c r="L36" s="158">
        <f>'Def Tax'!$E436</f>
        <v>568.38260260944173</v>
      </c>
      <c r="M36" s="158">
        <f>'Def Tax'!$E437</f>
        <v>589.77349072973493</v>
      </c>
      <c r="N36" s="158">
        <f>'Def Tax'!$E438</f>
        <v>654.27812483724631</v>
      </c>
      <c r="O36" s="158">
        <f>'Def Tax'!$E441</f>
        <v>805.47499847388031</v>
      </c>
      <c r="P36" s="158">
        <f>'Def Tax'!$E442</f>
        <v>822.59902333271293</v>
      </c>
      <c r="Q36" s="158">
        <f>'Def Tax'!$E443</f>
        <v>856.0321449178208</v>
      </c>
      <c r="R36" s="158">
        <f>'Def Tax'!$E444</f>
        <v>862.01392228306577</v>
      </c>
      <c r="S36" s="158">
        <f>'Def Tax'!$E446</f>
        <v>924.39319627745203</v>
      </c>
      <c r="T36" s="158">
        <f>'Def Tax'!$E450</f>
        <v>0</v>
      </c>
      <c r="U36" s="158">
        <f>'Def Tax'!$E451</f>
        <v>0</v>
      </c>
      <c r="V36" s="158">
        <f>'Def Tax'!$E452</f>
        <v>0</v>
      </c>
      <c r="W36" s="158">
        <f>'Def Tax'!$E453</f>
        <v>0</v>
      </c>
      <c r="X36" s="158">
        <f>'Def Tax'!$E454</f>
        <v>0</v>
      </c>
      <c r="Y36" s="158">
        <f>'Def Tax'!$E455</f>
        <v>0</v>
      </c>
      <c r="Z36" s="158">
        <f>'Def Tax'!$E456</f>
        <v>0</v>
      </c>
      <c r="AA36" s="158">
        <f>'Def Tax'!$E460</f>
        <v>0</v>
      </c>
      <c r="AB36" s="158">
        <f>'Def Tax'!$E461</f>
        <v>0</v>
      </c>
      <c r="AC36" s="158">
        <f>'Def Tax'!$E462</f>
        <v>0</v>
      </c>
      <c r="AD36" s="158">
        <f>'Def Tax'!$E463</f>
        <v>0</v>
      </c>
      <c r="AE36" s="158">
        <f>'Def Tax'!$E464</f>
        <v>0</v>
      </c>
      <c r="AF36" s="158">
        <f>'Def Tax'!$E465</f>
        <v>0</v>
      </c>
      <c r="AG36" s="158">
        <f>'Def Tax'!$E466</f>
        <v>0</v>
      </c>
      <c r="AH36" s="158">
        <f>'Def Tax'!$E467</f>
        <v>0</v>
      </c>
      <c r="AI36" s="158">
        <f>'Def Tax'!$E468</f>
        <v>0</v>
      </c>
      <c r="AJ36" s="158">
        <f>'Def Tax'!$E469</f>
        <v>0</v>
      </c>
      <c r="AK36" s="158">
        <f>'Def Tax'!$E470</f>
        <v>0</v>
      </c>
      <c r="AL36" s="158">
        <f>'Def Tax'!$E471</f>
        <v>0</v>
      </c>
      <c r="AM36" s="480">
        <f>'Def Tax'!$E474</f>
        <v>0</v>
      </c>
      <c r="AN36" s="480">
        <f>'Def Tax'!$E475</f>
        <v>0</v>
      </c>
      <c r="AO36" s="480">
        <f>'Def Tax'!$E476</f>
        <v>0</v>
      </c>
      <c r="AP36" s="480">
        <f>'Def Tax'!$E477</f>
        <v>0</v>
      </c>
      <c r="AQ36" s="480">
        <f>'Def Tax'!$E478</f>
        <v>0</v>
      </c>
      <c r="AR36" s="480">
        <f>'Def Tax'!$E479</f>
        <v>0</v>
      </c>
      <c r="AS36" s="480">
        <f>'Def Tax'!$E480</f>
        <v>0</v>
      </c>
      <c r="AT36" s="480">
        <f>'Def Tax'!$E481</f>
        <v>0</v>
      </c>
      <c r="AU36" s="480">
        <f>'Def Tax'!$E482</f>
        <v>0</v>
      </c>
      <c r="AV36" s="480">
        <f>'Def Tax'!$E483</f>
        <v>0</v>
      </c>
      <c r="AW36" s="480">
        <f>'Def Tax'!$E484</f>
        <v>0</v>
      </c>
      <c r="AX36" s="480">
        <f>'Def Tax'!$E485</f>
        <v>0</v>
      </c>
    </row>
    <row r="37" spans="1:50">
      <c r="A37" s="72">
        <v>29</v>
      </c>
      <c r="B37" s="16" t="s">
        <v>23</v>
      </c>
      <c r="AM37" s="355"/>
      <c r="AN37" s="355"/>
      <c r="AO37" s="355"/>
      <c r="AP37" s="355"/>
      <c r="AQ37" s="355"/>
      <c r="AR37" s="355"/>
      <c r="AS37" s="355"/>
      <c r="AT37" s="355"/>
      <c r="AU37" s="355"/>
      <c r="AV37" s="355"/>
      <c r="AW37" s="355"/>
      <c r="AX37" s="355"/>
    </row>
    <row r="38" spans="1:50">
      <c r="A38" s="73">
        <v>30</v>
      </c>
      <c r="B38" s="5" t="s">
        <v>16</v>
      </c>
      <c r="C38" s="78"/>
      <c r="D38" s="78"/>
      <c r="E38" s="78">
        <f>'Income Tax Rates'!$E$16</f>
        <v>8.5972999999999994E-2</v>
      </c>
      <c r="F38" s="78">
        <f>'Income Tax Rates'!$E$16</f>
        <v>8.5972999999999994E-2</v>
      </c>
      <c r="G38" s="78">
        <f>'Income Tax Rates'!$E$16</f>
        <v>8.5972999999999994E-2</v>
      </c>
      <c r="H38" s="78">
        <f>'Income Tax Rates'!$E$16</f>
        <v>8.5972999999999994E-2</v>
      </c>
      <c r="I38" s="78">
        <f>'Income Tax Rates'!$E$16</f>
        <v>8.5972999999999994E-2</v>
      </c>
      <c r="J38" s="78">
        <f>'Income Tax Rates'!$E$16</f>
        <v>8.5972999999999994E-2</v>
      </c>
      <c r="K38" s="78">
        <f>'Income Tax Rates'!$E$16</f>
        <v>8.5972999999999994E-2</v>
      </c>
      <c r="L38" s="78">
        <f>'Income Tax Rates'!$E$16</f>
        <v>8.5972999999999994E-2</v>
      </c>
      <c r="M38" s="78">
        <f>'Income Tax Rates'!$E$16</f>
        <v>8.5972999999999994E-2</v>
      </c>
      <c r="N38" s="78">
        <f>'Income Tax Rates'!$E$16</f>
        <v>8.5972999999999994E-2</v>
      </c>
      <c r="O38" s="78">
        <f>'Income Tax Rates'!$E$33</f>
        <v>8.7230769299999997E-2</v>
      </c>
      <c r="P38" s="78">
        <f>'Income Tax Rates'!$E$33</f>
        <v>8.7230769299999997E-2</v>
      </c>
      <c r="Q38" s="78">
        <f>'Income Tax Rates'!$E$33</f>
        <v>8.7230769299999997E-2</v>
      </c>
      <c r="R38" s="78">
        <f>'Income Tax Rates'!$E$33</f>
        <v>8.7230769299999997E-2</v>
      </c>
      <c r="S38" s="78">
        <f>'Income Tax Rates'!$E$33</f>
        <v>8.7230769299999997E-2</v>
      </c>
      <c r="T38" s="78">
        <f>'Income Tax Rates'!$E$33</f>
        <v>8.7230769299999997E-2</v>
      </c>
      <c r="U38" s="78">
        <f>'Income Tax Rates'!$E$33</f>
        <v>8.7230769299999997E-2</v>
      </c>
      <c r="V38" s="78">
        <f>'Income Tax Rates'!$E$33</f>
        <v>8.7230769299999997E-2</v>
      </c>
      <c r="W38" s="78">
        <f>'Income Tax Rates'!$E$33</f>
        <v>8.7230769299999997E-2</v>
      </c>
      <c r="X38" s="78">
        <f>'Income Tax Rates'!$E$33</f>
        <v>8.7230769299999997E-2</v>
      </c>
      <c r="Y38" s="78">
        <f>'Income Tax Rates'!$E$33</f>
        <v>8.7230769299999997E-2</v>
      </c>
      <c r="Z38" s="78">
        <f>'Income Tax Rates'!$E$33</f>
        <v>8.7230769299999997E-2</v>
      </c>
      <c r="AA38" s="333">
        <f>'Income Tax Rates'!$E$52</f>
        <v>8.795E-2</v>
      </c>
      <c r="AB38" s="333">
        <f>'Income Tax Rates'!$E$52</f>
        <v>8.795E-2</v>
      </c>
      <c r="AC38" s="333">
        <f>'Income Tax Rates'!$E$52</f>
        <v>8.795E-2</v>
      </c>
      <c r="AD38" s="333">
        <f>'Income Tax Rates'!$E$52</f>
        <v>8.795E-2</v>
      </c>
      <c r="AE38" s="333">
        <f>'Income Tax Rates'!$E$52</f>
        <v>8.795E-2</v>
      </c>
      <c r="AF38" s="333">
        <f>'Income Tax Rates'!$E$52</f>
        <v>8.795E-2</v>
      </c>
      <c r="AG38" s="333">
        <f>'Income Tax Rates'!$E$52</f>
        <v>8.795E-2</v>
      </c>
      <c r="AH38" s="333">
        <f>'Income Tax Rates'!$E$52</f>
        <v>8.795E-2</v>
      </c>
      <c r="AI38" s="333">
        <f>'Income Tax Rates'!$E$52</f>
        <v>8.795E-2</v>
      </c>
      <c r="AJ38" s="333">
        <f>'Income Tax Rates'!$E$52</f>
        <v>8.795E-2</v>
      </c>
      <c r="AK38" s="333">
        <f>'Income Tax Rates'!$E$52</f>
        <v>8.795E-2</v>
      </c>
      <c r="AL38" s="333">
        <f>'Income Tax Rates'!$E$52</f>
        <v>8.795E-2</v>
      </c>
      <c r="AM38" s="333">
        <f>'Income Tax Rates'!$E$72</f>
        <v>8.8330000000000006E-2</v>
      </c>
      <c r="AN38" s="333">
        <f>'Income Tax Rates'!$E$72</f>
        <v>8.8330000000000006E-2</v>
      </c>
      <c r="AO38" s="333">
        <f>'Income Tax Rates'!$E$72</f>
        <v>8.8330000000000006E-2</v>
      </c>
      <c r="AP38" s="333">
        <f>'Income Tax Rates'!$E$72</f>
        <v>8.8330000000000006E-2</v>
      </c>
      <c r="AQ38" s="333">
        <f>'Income Tax Rates'!$E$72</f>
        <v>8.8330000000000006E-2</v>
      </c>
      <c r="AR38" s="333">
        <f>'Income Tax Rates'!$E$72</f>
        <v>8.8330000000000006E-2</v>
      </c>
      <c r="AS38" s="333">
        <f>'Income Tax Rates'!$E$72</f>
        <v>8.8330000000000006E-2</v>
      </c>
      <c r="AT38" s="333">
        <f>'Income Tax Rates'!$E$72</f>
        <v>8.8330000000000006E-2</v>
      </c>
      <c r="AU38" s="333">
        <f>'Income Tax Rates'!$E$72</f>
        <v>8.8330000000000006E-2</v>
      </c>
      <c r="AV38" s="333">
        <f>'Income Tax Rates'!$E$72</f>
        <v>8.8330000000000006E-2</v>
      </c>
      <c r="AW38" s="333">
        <f>'Income Tax Rates'!$E$72</f>
        <v>8.8330000000000006E-2</v>
      </c>
      <c r="AX38" s="333">
        <f>'Income Tax Rates'!$E$72</f>
        <v>8.8330000000000006E-2</v>
      </c>
    </row>
    <row r="39" spans="1:50">
      <c r="A39" s="72">
        <v>31</v>
      </c>
      <c r="B39" s="5" t="s">
        <v>49</v>
      </c>
      <c r="C39" s="88"/>
      <c r="D39" s="88"/>
      <c r="E39" s="88">
        <f t="shared" ref="E39:N39" si="27">((E22*(E26-E34))+E36)*E38</f>
        <v>34.669994056153186</v>
      </c>
      <c r="F39" s="88">
        <f t="shared" si="27"/>
        <v>55.367742226367071</v>
      </c>
      <c r="G39" s="88">
        <f t="shared" si="27"/>
        <v>60.084843148485611</v>
      </c>
      <c r="H39" s="88">
        <f t="shared" si="27"/>
        <v>67.85456057694455</v>
      </c>
      <c r="I39" s="88">
        <f t="shared" si="27"/>
        <v>91.526076170815742</v>
      </c>
      <c r="J39" s="88">
        <f t="shared" si="27"/>
        <v>111.81342635898655</v>
      </c>
      <c r="K39" s="88">
        <f t="shared" si="27"/>
        <v>97.647968040201178</v>
      </c>
      <c r="L39" s="88">
        <f t="shared" si="27"/>
        <v>99.99064503326511</v>
      </c>
      <c r="M39" s="88">
        <f t="shared" si="27"/>
        <v>105.44375066083477</v>
      </c>
      <c r="N39" s="88">
        <f t="shared" si="27"/>
        <v>116.52259716453203</v>
      </c>
      <c r="O39" s="88">
        <f t="shared" ref="O39:Z39" si="28">((O22*(O26-O34))+O36)*O38</f>
        <v>138.08507483460266</v>
      </c>
      <c r="P39" s="88">
        <f t="shared" si="28"/>
        <v>141.50072871346839</v>
      </c>
      <c r="Q39" s="88">
        <f t="shared" si="28"/>
        <v>145.84537869108115</v>
      </c>
      <c r="R39" s="88">
        <f t="shared" si="28"/>
        <v>149.00852454592078</v>
      </c>
      <c r="S39" s="88">
        <f t="shared" si="28"/>
        <v>80.635529646968038</v>
      </c>
      <c r="T39" s="88">
        <f t="shared" si="28"/>
        <v>0</v>
      </c>
      <c r="U39" s="88">
        <f t="shared" si="28"/>
        <v>0</v>
      </c>
      <c r="V39" s="88">
        <f t="shared" si="28"/>
        <v>0</v>
      </c>
      <c r="W39" s="88">
        <f t="shared" si="28"/>
        <v>0</v>
      </c>
      <c r="X39" s="88">
        <f t="shared" si="28"/>
        <v>0</v>
      </c>
      <c r="Y39" s="88">
        <f t="shared" si="28"/>
        <v>0</v>
      </c>
      <c r="Z39" s="88">
        <f t="shared" si="28"/>
        <v>0</v>
      </c>
      <c r="AA39" s="88">
        <f t="shared" ref="AA39:AL39" si="29">((AA22*(AA26-AA34))+AA36)*AA38</f>
        <v>0</v>
      </c>
      <c r="AB39" s="88">
        <f t="shared" si="29"/>
        <v>0</v>
      </c>
      <c r="AC39" s="88">
        <f t="shared" si="29"/>
        <v>0</v>
      </c>
      <c r="AD39" s="88">
        <f t="shared" si="29"/>
        <v>0</v>
      </c>
      <c r="AE39" s="88">
        <f t="shared" si="29"/>
        <v>0</v>
      </c>
      <c r="AF39" s="88">
        <f t="shared" si="29"/>
        <v>0</v>
      </c>
      <c r="AG39" s="88">
        <f t="shared" si="29"/>
        <v>0</v>
      </c>
      <c r="AH39" s="88">
        <f t="shared" si="29"/>
        <v>0</v>
      </c>
      <c r="AI39" s="88">
        <f t="shared" si="29"/>
        <v>0</v>
      </c>
      <c r="AJ39" s="88">
        <f t="shared" si="29"/>
        <v>0</v>
      </c>
      <c r="AK39" s="88">
        <f t="shared" si="29"/>
        <v>0</v>
      </c>
      <c r="AL39" s="88">
        <f t="shared" si="29"/>
        <v>0</v>
      </c>
      <c r="AM39" s="481">
        <f t="shared" ref="AM39:AX39" si="30">((AM22*(AM26-AM34))+AM36)*AM38</f>
        <v>0</v>
      </c>
      <c r="AN39" s="481">
        <f t="shared" si="30"/>
        <v>0</v>
      </c>
      <c r="AO39" s="481">
        <f t="shared" si="30"/>
        <v>0</v>
      </c>
      <c r="AP39" s="481">
        <f t="shared" si="30"/>
        <v>0</v>
      </c>
      <c r="AQ39" s="481">
        <f t="shared" si="30"/>
        <v>0</v>
      </c>
      <c r="AR39" s="481">
        <f t="shared" si="30"/>
        <v>0</v>
      </c>
      <c r="AS39" s="481">
        <f t="shared" si="30"/>
        <v>0</v>
      </c>
      <c r="AT39" s="481">
        <f t="shared" si="30"/>
        <v>0</v>
      </c>
      <c r="AU39" s="481">
        <f t="shared" si="30"/>
        <v>0</v>
      </c>
      <c r="AV39" s="481">
        <f t="shared" si="30"/>
        <v>0</v>
      </c>
      <c r="AW39" s="481">
        <f t="shared" si="30"/>
        <v>0</v>
      </c>
      <c r="AX39" s="481">
        <f t="shared" si="30"/>
        <v>0</v>
      </c>
    </row>
    <row r="40" spans="1:50">
      <c r="A40" s="73">
        <v>32</v>
      </c>
      <c r="B40" s="5"/>
      <c r="AM40" s="355"/>
      <c r="AN40" s="355"/>
      <c r="AO40" s="355"/>
      <c r="AP40" s="355"/>
      <c r="AQ40" s="355"/>
      <c r="AR40" s="355"/>
      <c r="AS40" s="355"/>
      <c r="AT40" s="355"/>
      <c r="AU40" s="355"/>
      <c r="AV40" s="355"/>
      <c r="AW40" s="355"/>
      <c r="AX40" s="355"/>
    </row>
    <row r="41" spans="1:50">
      <c r="A41" s="72">
        <v>33</v>
      </c>
      <c r="B41" s="11" t="s">
        <v>50</v>
      </c>
      <c r="AM41" s="355"/>
      <c r="AN41" s="355"/>
      <c r="AO41" s="355"/>
      <c r="AP41" s="355"/>
      <c r="AQ41" s="355"/>
      <c r="AR41" s="355"/>
      <c r="AS41" s="355"/>
      <c r="AT41" s="355"/>
      <c r="AU41" s="355"/>
      <c r="AV41" s="355"/>
      <c r="AW41" s="355"/>
      <c r="AX41" s="355"/>
    </row>
    <row r="42" spans="1:50" ht="32.25" customHeight="1">
      <c r="A42" s="73">
        <v>34</v>
      </c>
      <c r="B42" s="121" t="s">
        <v>109</v>
      </c>
      <c r="AM42" s="355"/>
      <c r="AN42" s="355"/>
      <c r="AO42" s="355"/>
      <c r="AP42" s="355"/>
      <c r="AQ42" s="355"/>
      <c r="AR42" s="355"/>
      <c r="AS42" s="355"/>
      <c r="AT42" s="355"/>
      <c r="AU42" s="355"/>
      <c r="AV42" s="355"/>
      <c r="AW42" s="355"/>
      <c r="AX42" s="355"/>
    </row>
    <row r="43" spans="1:50">
      <c r="A43" s="72">
        <v>35</v>
      </c>
      <c r="B43" s="5" t="s">
        <v>51</v>
      </c>
      <c r="C43" s="14"/>
      <c r="D43" s="14"/>
      <c r="E43" s="14">
        <f>'Income Tax Rates'!$C$17</f>
        <v>0.35</v>
      </c>
      <c r="F43" s="14">
        <f>'Income Tax Rates'!$C$17</f>
        <v>0.35</v>
      </c>
      <c r="G43" s="14">
        <f>'Income Tax Rates'!$C$17</f>
        <v>0.35</v>
      </c>
      <c r="H43" s="14">
        <f>'Income Tax Rates'!$C$17</f>
        <v>0.35</v>
      </c>
      <c r="I43" s="14">
        <f>'Income Tax Rates'!$C$17</f>
        <v>0.35</v>
      </c>
      <c r="J43" s="14">
        <f>'Income Tax Rates'!$C$17</f>
        <v>0.35</v>
      </c>
      <c r="K43" s="14">
        <f>'Income Tax Rates'!$C$17</f>
        <v>0.35</v>
      </c>
      <c r="L43" s="14">
        <f>'Income Tax Rates'!$C$17</f>
        <v>0.35</v>
      </c>
      <c r="M43" s="14">
        <f>'Income Tax Rates'!$C$17</f>
        <v>0.35</v>
      </c>
      <c r="N43" s="14">
        <f>'Income Tax Rates'!$C$17</f>
        <v>0.35</v>
      </c>
      <c r="O43" s="14">
        <f>'Income Tax Rates'!$C$17</f>
        <v>0.35</v>
      </c>
      <c r="P43" s="14">
        <f>'Income Tax Rates'!$C$17</f>
        <v>0.35</v>
      </c>
      <c r="Q43" s="14">
        <f>'Income Tax Rates'!$C$17</f>
        <v>0.35</v>
      </c>
      <c r="R43" s="14">
        <f>'Income Tax Rates'!$C$17</f>
        <v>0.35</v>
      </c>
      <c r="S43" s="14">
        <f>'Income Tax Rates'!$C$17</f>
        <v>0.35</v>
      </c>
      <c r="T43" s="14">
        <f>'Income Tax Rates'!$C$17</f>
        <v>0.35</v>
      </c>
      <c r="U43" s="14">
        <f>'Income Tax Rates'!$C$17</f>
        <v>0.35</v>
      </c>
      <c r="V43" s="14">
        <f>'Income Tax Rates'!$C$17</f>
        <v>0.35</v>
      </c>
      <c r="W43" s="14">
        <f>'Income Tax Rates'!$C$17</f>
        <v>0.35</v>
      </c>
      <c r="X43" s="14">
        <f>'Income Tax Rates'!$C$17</f>
        <v>0.35</v>
      </c>
      <c r="Y43" s="14">
        <f>'Income Tax Rates'!$C$17</f>
        <v>0.35</v>
      </c>
      <c r="Z43" s="14">
        <f>'Income Tax Rates'!$C$17</f>
        <v>0.35</v>
      </c>
      <c r="AA43" s="332">
        <f>'Income Tax Rates'!$E$53</f>
        <v>0.35</v>
      </c>
      <c r="AB43" s="332">
        <f>'Income Tax Rates'!$E$53</f>
        <v>0.35</v>
      </c>
      <c r="AC43" s="332">
        <f>'Income Tax Rates'!$E$53</f>
        <v>0.35</v>
      </c>
      <c r="AD43" s="332">
        <f>'Income Tax Rates'!$E$53</f>
        <v>0.35</v>
      </c>
      <c r="AE43" s="332">
        <f>'Income Tax Rates'!$E$53</f>
        <v>0.35</v>
      </c>
      <c r="AF43" s="332">
        <f>'Income Tax Rates'!$E$53</f>
        <v>0.35</v>
      </c>
      <c r="AG43" s="332">
        <f>'Income Tax Rates'!$E$53</f>
        <v>0.35</v>
      </c>
      <c r="AH43" s="332">
        <f>'Income Tax Rates'!$E$53</f>
        <v>0.35</v>
      </c>
      <c r="AI43" s="332">
        <f>'Income Tax Rates'!$E$53</f>
        <v>0.35</v>
      </c>
      <c r="AJ43" s="332">
        <f>'Income Tax Rates'!$E$53</f>
        <v>0.35</v>
      </c>
      <c r="AK43" s="332">
        <f>'Income Tax Rates'!$E$53</f>
        <v>0.35</v>
      </c>
      <c r="AL43" s="332">
        <f>'Income Tax Rates'!$E$53</f>
        <v>0.35</v>
      </c>
      <c r="AM43" s="332">
        <f>'Income Tax Rates'!$E$73</f>
        <v>0.35</v>
      </c>
      <c r="AN43" s="332">
        <f>'Income Tax Rates'!$E$73</f>
        <v>0.35</v>
      </c>
      <c r="AO43" s="332">
        <f>'Income Tax Rates'!$E$73</f>
        <v>0.35</v>
      </c>
      <c r="AP43" s="332">
        <f>'Income Tax Rates'!$E$73</f>
        <v>0.35</v>
      </c>
      <c r="AQ43" s="332">
        <f>'Income Tax Rates'!$E$73</f>
        <v>0.35</v>
      </c>
      <c r="AR43" s="332">
        <f>'Income Tax Rates'!$E$73</f>
        <v>0.35</v>
      </c>
      <c r="AS43" s="332">
        <f>'Income Tax Rates'!$E$73</f>
        <v>0.35</v>
      </c>
      <c r="AT43" s="332">
        <f>'Income Tax Rates'!$E$73</f>
        <v>0.35</v>
      </c>
      <c r="AU43" s="332">
        <f>'Income Tax Rates'!$E$73</f>
        <v>0.35</v>
      </c>
      <c r="AV43" s="332">
        <f>'Income Tax Rates'!$E$73</f>
        <v>0.35</v>
      </c>
      <c r="AW43" s="332">
        <f>'Income Tax Rates'!$E$73</f>
        <v>0.35</v>
      </c>
      <c r="AX43" s="332">
        <f>'Income Tax Rates'!$E$73</f>
        <v>0.35</v>
      </c>
    </row>
    <row r="44" spans="1:50">
      <c r="A44" s="73">
        <v>36</v>
      </c>
      <c r="B44" s="5" t="s">
        <v>52</v>
      </c>
      <c r="C44" s="88"/>
      <c r="D44" s="88"/>
      <c r="E44" s="88">
        <f t="shared" ref="E44:N44" si="31">((E22*(E26-E34))-E39+E36)*E43</f>
        <v>129.00862747615221</v>
      </c>
      <c r="F44" s="88">
        <f t="shared" si="31"/>
        <v>206.02589142380589</v>
      </c>
      <c r="G44" s="88">
        <f t="shared" si="31"/>
        <v>223.57843886997432</v>
      </c>
      <c r="H44" s="88">
        <f t="shared" si="31"/>
        <v>252.48991141593311</v>
      </c>
      <c r="I44" s="88">
        <f t="shared" si="31"/>
        <v>340.57269943428486</v>
      </c>
      <c r="J44" s="88">
        <f t="shared" si="31"/>
        <v>416.06285379268934</v>
      </c>
      <c r="K44" s="88">
        <f t="shared" si="31"/>
        <v>363.35253799865467</v>
      </c>
      <c r="L44" s="88">
        <f t="shared" si="31"/>
        <v>372.06974582412005</v>
      </c>
      <c r="M44" s="88">
        <f t="shared" si="31"/>
        <v>392.3610003122468</v>
      </c>
      <c r="N44" s="88">
        <f t="shared" si="31"/>
        <v>433.58589291378684</v>
      </c>
      <c r="O44" s="88">
        <f t="shared" ref="O44:Z44" si="32">((O22*(O26-O34))-O39+O36)*O43</f>
        <v>505.71527671688517</v>
      </c>
      <c r="P44" s="88">
        <f t="shared" si="32"/>
        <v>518.22458193027398</v>
      </c>
      <c r="Q44" s="88">
        <f t="shared" si="32"/>
        <v>534.13619198877007</v>
      </c>
      <c r="R44" s="88">
        <f t="shared" si="32"/>
        <v>545.72072553225496</v>
      </c>
      <c r="S44" s="88">
        <f t="shared" si="32"/>
        <v>295.31518332066935</v>
      </c>
      <c r="T44" s="88">
        <f t="shared" si="32"/>
        <v>0</v>
      </c>
      <c r="U44" s="88">
        <f t="shared" si="32"/>
        <v>0</v>
      </c>
      <c r="V44" s="88">
        <f t="shared" si="32"/>
        <v>0</v>
      </c>
      <c r="W44" s="88">
        <f t="shared" si="32"/>
        <v>0</v>
      </c>
      <c r="X44" s="88">
        <f t="shared" si="32"/>
        <v>0</v>
      </c>
      <c r="Y44" s="88">
        <f t="shared" si="32"/>
        <v>0</v>
      </c>
      <c r="Z44" s="88">
        <f t="shared" si="32"/>
        <v>0</v>
      </c>
      <c r="AA44" s="88">
        <f t="shared" ref="AA44:AL44" si="33">((AA22*(AA26-AA34))-AA39+AA36)*AA43</f>
        <v>0</v>
      </c>
      <c r="AB44" s="88">
        <f t="shared" si="33"/>
        <v>0</v>
      </c>
      <c r="AC44" s="88">
        <f t="shared" si="33"/>
        <v>0</v>
      </c>
      <c r="AD44" s="88">
        <f t="shared" si="33"/>
        <v>0</v>
      </c>
      <c r="AE44" s="88">
        <f t="shared" si="33"/>
        <v>0</v>
      </c>
      <c r="AF44" s="88">
        <f t="shared" si="33"/>
        <v>0</v>
      </c>
      <c r="AG44" s="88">
        <f t="shared" si="33"/>
        <v>0</v>
      </c>
      <c r="AH44" s="88">
        <f t="shared" si="33"/>
        <v>0</v>
      </c>
      <c r="AI44" s="88">
        <f t="shared" si="33"/>
        <v>0</v>
      </c>
      <c r="AJ44" s="88">
        <f t="shared" si="33"/>
        <v>0</v>
      </c>
      <c r="AK44" s="88">
        <f t="shared" si="33"/>
        <v>0</v>
      </c>
      <c r="AL44" s="88">
        <f t="shared" si="33"/>
        <v>0</v>
      </c>
      <c r="AM44" s="481">
        <f t="shared" ref="AM44:AX44" si="34">((AM22*(AM26-AM34))-AM39+AM36)*AM43</f>
        <v>0</v>
      </c>
      <c r="AN44" s="481">
        <f t="shared" si="34"/>
        <v>0</v>
      </c>
      <c r="AO44" s="481">
        <f t="shared" si="34"/>
        <v>0</v>
      </c>
      <c r="AP44" s="481">
        <f t="shared" si="34"/>
        <v>0</v>
      </c>
      <c r="AQ44" s="481">
        <f t="shared" si="34"/>
        <v>0</v>
      </c>
      <c r="AR44" s="481">
        <f t="shared" si="34"/>
        <v>0</v>
      </c>
      <c r="AS44" s="481">
        <f t="shared" si="34"/>
        <v>0</v>
      </c>
      <c r="AT44" s="481">
        <f t="shared" si="34"/>
        <v>0</v>
      </c>
      <c r="AU44" s="481">
        <f t="shared" si="34"/>
        <v>0</v>
      </c>
      <c r="AV44" s="481">
        <f t="shared" si="34"/>
        <v>0</v>
      </c>
      <c r="AW44" s="481">
        <f t="shared" si="34"/>
        <v>0</v>
      </c>
      <c r="AX44" s="481">
        <f t="shared" si="34"/>
        <v>0</v>
      </c>
    </row>
    <row r="45" spans="1:50">
      <c r="A45" s="72">
        <v>37</v>
      </c>
      <c r="B45" s="5"/>
      <c r="AM45" s="355"/>
      <c r="AN45" s="355"/>
      <c r="AO45" s="355"/>
      <c r="AP45" s="355"/>
      <c r="AQ45" s="355"/>
      <c r="AR45" s="355"/>
      <c r="AS45" s="355"/>
      <c r="AT45" s="355"/>
      <c r="AU45" s="355"/>
      <c r="AV45" s="355"/>
      <c r="AW45" s="355"/>
      <c r="AX45" s="355"/>
    </row>
    <row r="46" spans="1:50" ht="25.5">
      <c r="A46" s="73">
        <v>38</v>
      </c>
      <c r="B46" s="12" t="s">
        <v>53</v>
      </c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AM46" s="355"/>
      <c r="AN46" s="355"/>
      <c r="AO46" s="355"/>
      <c r="AP46" s="355"/>
      <c r="AQ46" s="355"/>
      <c r="AR46" s="355"/>
      <c r="AS46" s="355"/>
      <c r="AT46" s="355"/>
      <c r="AU46" s="355"/>
      <c r="AV46" s="355"/>
      <c r="AW46" s="355"/>
      <c r="AX46" s="355"/>
    </row>
    <row r="47" spans="1:50">
      <c r="A47" s="72">
        <v>39</v>
      </c>
      <c r="B47" s="5" t="s">
        <v>58</v>
      </c>
      <c r="C47" s="158"/>
      <c r="D47" s="158"/>
      <c r="E47" s="158">
        <f>-'Def Tax'!$F425</f>
        <v>-67.049531331048541</v>
      </c>
      <c r="F47" s="158">
        <f>-'Def Tax'!$F426</f>
        <v>-124.76697994073069</v>
      </c>
      <c r="G47" s="158">
        <f>-'Def Tax'!$F427</f>
        <v>-136.85114066481262</v>
      </c>
      <c r="H47" s="158">
        <f>-'Def Tax'!$F428</f>
        <v>-145.25377928824034</v>
      </c>
      <c r="I47" s="158">
        <f>-'Def Tax'!$F429</f>
        <v>-192.25194085413565</v>
      </c>
      <c r="J47" s="158">
        <f>-'Def Tax'!$F431</f>
        <v>-271.06966249977376</v>
      </c>
      <c r="K47" s="158">
        <f>-'Def Tax'!$F435</f>
        <v>-225.73481860116024</v>
      </c>
      <c r="L47" s="158">
        <f>-'Def Tax'!$F436</f>
        <v>-230.696835894928</v>
      </c>
      <c r="M47" s="158">
        <f>-'Def Tax'!$F437</f>
        <v>-239.37903373785696</v>
      </c>
      <c r="N47" s="158">
        <f>-'Def Tax'!$F438</f>
        <v>-265.560368143316</v>
      </c>
      <c r="O47" s="158">
        <f>-'Def Tax'!$F441</f>
        <v>-327.58649605624498</v>
      </c>
      <c r="P47" s="158">
        <f>-'Def Tax'!$F442</f>
        <v>-334.55083301581971</v>
      </c>
      <c r="Q47" s="158">
        <f>-'Def Tax'!$F443</f>
        <v>-348.1480758514619</v>
      </c>
      <c r="R47" s="158">
        <f>-'Def Tax'!$F444</f>
        <v>-350.58086332591097</v>
      </c>
      <c r="S47" s="158">
        <f>-'Def Tax'!$F446</f>
        <v>-375.95049966852935</v>
      </c>
      <c r="T47" s="158">
        <f>-'Def Tax'!$F450</f>
        <v>0</v>
      </c>
      <c r="U47" s="158">
        <f>-'Def Tax'!$F451</f>
        <v>0</v>
      </c>
      <c r="V47" s="158">
        <f>-'Def Tax'!$F452</f>
        <v>0</v>
      </c>
      <c r="W47" s="158">
        <f>-'Def Tax'!$F453</f>
        <v>0</v>
      </c>
      <c r="X47" s="158">
        <f>-'Def Tax'!$F454</f>
        <v>0</v>
      </c>
      <c r="Y47" s="158">
        <f>-'Def Tax'!$F455</f>
        <v>0</v>
      </c>
      <c r="Z47" s="158">
        <f>-'Def Tax'!$F456</f>
        <v>0</v>
      </c>
      <c r="AA47" s="158">
        <f>-'Def Tax'!$F460</f>
        <v>0</v>
      </c>
      <c r="AB47" s="158">
        <f>-'Def Tax'!$F461</f>
        <v>0</v>
      </c>
      <c r="AC47" s="158">
        <f>-'Def Tax'!$F462</f>
        <v>0</v>
      </c>
      <c r="AD47" s="158">
        <f>-'Def Tax'!$F463</f>
        <v>0</v>
      </c>
      <c r="AE47" s="158">
        <f>-'Def Tax'!$F464</f>
        <v>0</v>
      </c>
      <c r="AF47" s="158">
        <f>-'Def Tax'!$F465</f>
        <v>0</v>
      </c>
      <c r="AG47" s="158">
        <f>-'Def Tax'!$F466</f>
        <v>0</v>
      </c>
      <c r="AH47" s="158">
        <f>-'Def Tax'!$F467</f>
        <v>0</v>
      </c>
      <c r="AI47" s="158">
        <f>-'Def Tax'!$F468</f>
        <v>0</v>
      </c>
      <c r="AJ47" s="158">
        <f>-'Def Tax'!$F469</f>
        <v>0</v>
      </c>
      <c r="AK47" s="158">
        <f>-'Def Tax'!$F470</f>
        <v>0</v>
      </c>
      <c r="AL47" s="158">
        <f>-'Def Tax'!$F471</f>
        <v>0</v>
      </c>
      <c r="AM47" s="480">
        <f>-'Def Tax'!$F474</f>
        <v>0</v>
      </c>
      <c r="AN47" s="480">
        <f>-'Def Tax'!$F475</f>
        <v>0</v>
      </c>
      <c r="AO47" s="480">
        <f>-'Def Tax'!$F476</f>
        <v>0</v>
      </c>
      <c r="AP47" s="480">
        <f>-'Def Tax'!$F477</f>
        <v>0</v>
      </c>
      <c r="AQ47" s="480">
        <f>-'Def Tax'!$F478</f>
        <v>0</v>
      </c>
      <c r="AR47" s="480">
        <f>-'Def Tax'!$F479</f>
        <v>0</v>
      </c>
      <c r="AS47" s="480">
        <f>-'Def Tax'!$F480</f>
        <v>0</v>
      </c>
      <c r="AT47" s="480">
        <f>-'Def Tax'!$F481</f>
        <v>0</v>
      </c>
      <c r="AU47" s="480">
        <f>-'Def Tax'!$F482</f>
        <v>0</v>
      </c>
      <c r="AV47" s="480">
        <f>-'Def Tax'!$F483</f>
        <v>0</v>
      </c>
      <c r="AW47" s="480">
        <f>-'Def Tax'!$F484</f>
        <v>0</v>
      </c>
      <c r="AX47" s="480">
        <f>-'Def Tax'!$F485</f>
        <v>0</v>
      </c>
    </row>
    <row r="48" spans="1:50">
      <c r="A48" s="73">
        <v>40</v>
      </c>
      <c r="B48" s="5"/>
      <c r="AM48" s="355"/>
      <c r="AN48" s="355"/>
      <c r="AO48" s="355"/>
      <c r="AP48" s="355"/>
      <c r="AQ48" s="355"/>
      <c r="AR48" s="355"/>
      <c r="AS48" s="355"/>
      <c r="AT48" s="355"/>
      <c r="AU48" s="355"/>
      <c r="AV48" s="355"/>
      <c r="AW48" s="355"/>
      <c r="AX48" s="355"/>
    </row>
    <row r="49" spans="1:50">
      <c r="A49" s="72">
        <v>41</v>
      </c>
      <c r="B49" s="11" t="s">
        <v>54</v>
      </c>
      <c r="AM49" s="355"/>
      <c r="AN49" s="355"/>
      <c r="AO49" s="355"/>
      <c r="AP49" s="355"/>
      <c r="AQ49" s="355"/>
      <c r="AR49" s="355"/>
      <c r="AS49" s="355"/>
      <c r="AT49" s="355"/>
      <c r="AU49" s="355"/>
      <c r="AV49" s="355"/>
      <c r="AW49" s="355"/>
      <c r="AX49" s="355"/>
    </row>
    <row r="50" spans="1:50">
      <c r="A50" s="73">
        <v>42</v>
      </c>
      <c r="B50" s="11" t="s">
        <v>55</v>
      </c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</row>
    <row r="51" spans="1:50" ht="25.5">
      <c r="A51" s="72">
        <v>43</v>
      </c>
      <c r="B51" s="12" t="s">
        <v>56</v>
      </c>
      <c r="AM51" s="355"/>
      <c r="AN51" s="355"/>
      <c r="AO51" s="355"/>
      <c r="AP51" s="355"/>
      <c r="AQ51" s="355"/>
      <c r="AR51" s="355"/>
      <c r="AS51" s="355"/>
      <c r="AT51" s="355"/>
      <c r="AU51" s="355"/>
      <c r="AV51" s="355"/>
      <c r="AW51" s="355"/>
      <c r="AX51" s="355"/>
    </row>
    <row r="52" spans="1:50">
      <c r="A52" s="73">
        <v>44</v>
      </c>
      <c r="B52" s="5" t="s">
        <v>57</v>
      </c>
      <c r="C52" s="79"/>
      <c r="D52" s="79"/>
      <c r="E52" s="79">
        <f>'Income Tax Rates'!$D$19</f>
        <v>0.40588299999999994</v>
      </c>
      <c r="F52" s="79">
        <f>'Income Tax Rates'!$D$19</f>
        <v>0.40588299999999994</v>
      </c>
      <c r="G52" s="79">
        <f>'Income Tax Rates'!$D$19</f>
        <v>0.40588299999999994</v>
      </c>
      <c r="H52" s="79">
        <f>'Income Tax Rates'!$D$19</f>
        <v>0.40588299999999994</v>
      </c>
      <c r="I52" s="79">
        <f>'Income Tax Rates'!$D$19</f>
        <v>0.40588299999999994</v>
      </c>
      <c r="J52" s="79">
        <f>'Income Tax Rates'!$D$19</f>
        <v>0.40588299999999994</v>
      </c>
      <c r="K52" s="79">
        <f>'Income Tax Rates'!$D$19</f>
        <v>0.40588299999999994</v>
      </c>
      <c r="L52" s="79">
        <f>'Income Tax Rates'!$D$19</f>
        <v>0.40588299999999994</v>
      </c>
      <c r="M52" s="79">
        <f>'Income Tax Rates'!$D$19</f>
        <v>0.40588299999999994</v>
      </c>
      <c r="N52" s="79">
        <f>'Income Tax Rates'!$D$19</f>
        <v>0.40588299999999994</v>
      </c>
      <c r="O52" s="79">
        <f>'Income Tax Rates'!$D$36</f>
        <v>0.40669976930000001</v>
      </c>
      <c r="P52" s="79">
        <f>'Income Tax Rates'!$D$36</f>
        <v>0.40669976930000001</v>
      </c>
      <c r="Q52" s="79">
        <f>'Income Tax Rates'!$D$36</f>
        <v>0.40669976930000001</v>
      </c>
      <c r="R52" s="79">
        <f>'Income Tax Rates'!$D$36</f>
        <v>0.40669976930000001</v>
      </c>
      <c r="S52" s="79">
        <f>'Income Tax Rates'!$D$36</f>
        <v>0.40669976930000001</v>
      </c>
      <c r="T52" s="79">
        <f>'Income Tax Rates'!$D$36</f>
        <v>0.40669976930000001</v>
      </c>
      <c r="U52" s="79">
        <f>'Income Tax Rates'!$D$36</f>
        <v>0.40669976930000001</v>
      </c>
      <c r="V52" s="79">
        <f>'Income Tax Rates'!$D$36</f>
        <v>0.40669976930000001</v>
      </c>
      <c r="W52" s="79">
        <f>'Income Tax Rates'!$D$36</f>
        <v>0.40669976930000001</v>
      </c>
      <c r="X52" s="79">
        <f>'Income Tax Rates'!$D$36</f>
        <v>0.40669976930000001</v>
      </c>
      <c r="Y52" s="79">
        <f>'Income Tax Rates'!$D$36</f>
        <v>0.40669976930000001</v>
      </c>
      <c r="Z52" s="79">
        <f>'Income Tax Rates'!$D$36</f>
        <v>0.40669976930000001</v>
      </c>
      <c r="AA52" s="79">
        <f>'Income Tax Rates'!$E$56</f>
        <v>0.40720000000000001</v>
      </c>
      <c r="AB52" s="79">
        <f>'Income Tax Rates'!$E$56</f>
        <v>0.40720000000000001</v>
      </c>
      <c r="AC52" s="79">
        <f>'Income Tax Rates'!$E$56</f>
        <v>0.40720000000000001</v>
      </c>
      <c r="AD52" s="79">
        <f>'Income Tax Rates'!$E$56</f>
        <v>0.40720000000000001</v>
      </c>
      <c r="AE52" s="79">
        <f>'Income Tax Rates'!$E$56</f>
        <v>0.40720000000000001</v>
      </c>
      <c r="AF52" s="79">
        <f>'Income Tax Rates'!$E$56</f>
        <v>0.40720000000000001</v>
      </c>
      <c r="AG52" s="79">
        <f>'Income Tax Rates'!$E$56</f>
        <v>0.40720000000000001</v>
      </c>
      <c r="AH52" s="79">
        <f>'Income Tax Rates'!$E$56</f>
        <v>0.40720000000000001</v>
      </c>
      <c r="AI52" s="79">
        <f>'Income Tax Rates'!$E$56</f>
        <v>0.40720000000000001</v>
      </c>
      <c r="AJ52" s="79">
        <f>'Income Tax Rates'!$E$56</f>
        <v>0.40720000000000001</v>
      </c>
      <c r="AK52" s="79">
        <f>'Income Tax Rates'!$E$56</f>
        <v>0.40720000000000001</v>
      </c>
      <c r="AL52" s="79">
        <f>'Income Tax Rates'!$E$56</f>
        <v>0.40720000000000001</v>
      </c>
      <c r="AM52" s="79">
        <f>'Income Tax Rates'!$E$76</f>
        <v>0.40739999999999998</v>
      </c>
      <c r="AN52" s="79">
        <f>'Income Tax Rates'!$E$76</f>
        <v>0.40739999999999998</v>
      </c>
      <c r="AO52" s="79">
        <f>'Income Tax Rates'!$E$76</f>
        <v>0.40739999999999998</v>
      </c>
      <c r="AP52" s="79">
        <f>'Income Tax Rates'!$E$76</f>
        <v>0.40739999999999998</v>
      </c>
      <c r="AQ52" s="79">
        <f>'Income Tax Rates'!$E$76</f>
        <v>0.40739999999999998</v>
      </c>
      <c r="AR52" s="79">
        <f>'Income Tax Rates'!$E$76</f>
        <v>0.40739999999999998</v>
      </c>
      <c r="AS52" s="79">
        <f>'Income Tax Rates'!$E$76</f>
        <v>0.40739999999999998</v>
      </c>
      <c r="AT52" s="79">
        <f>'Income Tax Rates'!$E$76</f>
        <v>0.40739999999999998</v>
      </c>
      <c r="AU52" s="79">
        <f>'Income Tax Rates'!$E$76</f>
        <v>0.40739999999999998</v>
      </c>
      <c r="AV52" s="79">
        <f>'Income Tax Rates'!$E$76</f>
        <v>0.40739999999999998</v>
      </c>
      <c r="AW52" s="79">
        <f>'Income Tax Rates'!$E$76</f>
        <v>0.40739999999999998</v>
      </c>
      <c r="AX52" s="79">
        <f>'Income Tax Rates'!$E$76</f>
        <v>0.40739999999999998</v>
      </c>
    </row>
    <row r="53" spans="1:50">
      <c r="A53" s="72">
        <v>45</v>
      </c>
      <c r="B53" s="5" t="s">
        <v>59</v>
      </c>
      <c r="C53" s="80"/>
      <c r="D53" s="80"/>
      <c r="E53" s="80">
        <f t="shared" ref="E53:N53" si="35">1/(1-E52)</f>
        <v>1.683170149987292</v>
      </c>
      <c r="F53" s="80">
        <f t="shared" si="35"/>
        <v>1.683170149987292</v>
      </c>
      <c r="G53" s="80">
        <f t="shared" si="35"/>
        <v>1.683170149987292</v>
      </c>
      <c r="H53" s="80">
        <f t="shared" si="35"/>
        <v>1.683170149987292</v>
      </c>
      <c r="I53" s="80">
        <f t="shared" si="35"/>
        <v>1.683170149987292</v>
      </c>
      <c r="J53" s="80">
        <f t="shared" si="35"/>
        <v>1.683170149987292</v>
      </c>
      <c r="K53" s="80">
        <f t="shared" si="35"/>
        <v>1.683170149987292</v>
      </c>
      <c r="L53" s="80">
        <f t="shared" si="35"/>
        <v>1.683170149987292</v>
      </c>
      <c r="M53" s="80">
        <f t="shared" si="35"/>
        <v>1.683170149987292</v>
      </c>
      <c r="N53" s="80">
        <f t="shared" si="35"/>
        <v>1.683170149987292</v>
      </c>
      <c r="O53" s="80">
        <f t="shared" ref="O53:Z53" si="36">1/(1-O52)</f>
        <v>1.6854872933727989</v>
      </c>
      <c r="P53" s="80">
        <f t="shared" si="36"/>
        <v>1.6854872933727989</v>
      </c>
      <c r="Q53" s="80">
        <f t="shared" si="36"/>
        <v>1.6854872933727989</v>
      </c>
      <c r="R53" s="80">
        <f t="shared" si="36"/>
        <v>1.6854872933727989</v>
      </c>
      <c r="S53" s="80">
        <f t="shared" si="36"/>
        <v>1.6854872933727989</v>
      </c>
      <c r="T53" s="80">
        <f t="shared" si="36"/>
        <v>1.6854872933727989</v>
      </c>
      <c r="U53" s="80">
        <f t="shared" si="36"/>
        <v>1.6854872933727989</v>
      </c>
      <c r="V53" s="80">
        <f t="shared" si="36"/>
        <v>1.6854872933727989</v>
      </c>
      <c r="W53" s="80">
        <f t="shared" si="36"/>
        <v>1.6854872933727989</v>
      </c>
      <c r="X53" s="80">
        <f t="shared" si="36"/>
        <v>1.6854872933727989</v>
      </c>
      <c r="Y53" s="80">
        <f t="shared" si="36"/>
        <v>1.6854872933727989</v>
      </c>
      <c r="Z53" s="80">
        <f t="shared" si="36"/>
        <v>1.6854872933727989</v>
      </c>
      <c r="AA53" s="80">
        <f t="shared" ref="AA53:AL53" si="37">1/(1-AA52)</f>
        <v>1.6869095816464237</v>
      </c>
      <c r="AB53" s="80">
        <f t="shared" si="37"/>
        <v>1.6869095816464237</v>
      </c>
      <c r="AC53" s="80">
        <f t="shared" si="37"/>
        <v>1.6869095816464237</v>
      </c>
      <c r="AD53" s="80">
        <f t="shared" si="37"/>
        <v>1.6869095816464237</v>
      </c>
      <c r="AE53" s="80">
        <f t="shared" si="37"/>
        <v>1.6869095816464237</v>
      </c>
      <c r="AF53" s="80">
        <f t="shared" si="37"/>
        <v>1.6869095816464237</v>
      </c>
      <c r="AG53" s="80">
        <f t="shared" si="37"/>
        <v>1.6869095816464237</v>
      </c>
      <c r="AH53" s="80">
        <f t="shared" si="37"/>
        <v>1.6869095816464237</v>
      </c>
      <c r="AI53" s="80">
        <f t="shared" si="37"/>
        <v>1.6869095816464237</v>
      </c>
      <c r="AJ53" s="80">
        <f t="shared" si="37"/>
        <v>1.6869095816464237</v>
      </c>
      <c r="AK53" s="80">
        <f t="shared" si="37"/>
        <v>1.6869095816464237</v>
      </c>
      <c r="AL53" s="80">
        <f t="shared" si="37"/>
        <v>1.6869095816464237</v>
      </c>
      <c r="AM53" s="488">
        <f t="shared" ref="AM53:AX53" si="38">1/(1-AM52)</f>
        <v>1.6874789065136686</v>
      </c>
      <c r="AN53" s="488">
        <f t="shared" si="38"/>
        <v>1.6874789065136686</v>
      </c>
      <c r="AO53" s="488">
        <f t="shared" si="38"/>
        <v>1.6874789065136686</v>
      </c>
      <c r="AP53" s="488">
        <f t="shared" si="38"/>
        <v>1.6874789065136686</v>
      </c>
      <c r="AQ53" s="488">
        <f t="shared" si="38"/>
        <v>1.6874789065136686</v>
      </c>
      <c r="AR53" s="488">
        <f t="shared" si="38"/>
        <v>1.6874789065136686</v>
      </c>
      <c r="AS53" s="488">
        <f t="shared" si="38"/>
        <v>1.6874789065136686</v>
      </c>
      <c r="AT53" s="488">
        <f t="shared" si="38"/>
        <v>1.6874789065136686</v>
      </c>
      <c r="AU53" s="488">
        <f t="shared" si="38"/>
        <v>1.6874789065136686</v>
      </c>
      <c r="AV53" s="488">
        <f t="shared" si="38"/>
        <v>1.6874789065136686</v>
      </c>
      <c r="AW53" s="488">
        <f t="shared" si="38"/>
        <v>1.6874789065136686</v>
      </c>
      <c r="AX53" s="488">
        <f t="shared" si="38"/>
        <v>1.6874789065136686</v>
      </c>
    </row>
    <row r="54" spans="1:50">
      <c r="A54" s="73">
        <v>46</v>
      </c>
      <c r="B54" s="5"/>
      <c r="C54" s="79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AM54" s="355"/>
      <c r="AN54" s="355"/>
      <c r="AO54" s="355"/>
      <c r="AP54" s="355"/>
      <c r="AQ54" s="355"/>
      <c r="AR54" s="355"/>
      <c r="AS54" s="355"/>
      <c r="AT54" s="355"/>
      <c r="AU54" s="355"/>
      <c r="AV54" s="355"/>
      <c r="AW54" s="355"/>
      <c r="AX54" s="355"/>
    </row>
    <row r="55" spans="1:50" ht="15.75">
      <c r="A55" s="72">
        <v>47</v>
      </c>
      <c r="B55" s="53" t="s">
        <v>94</v>
      </c>
      <c r="C55" s="79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AM55" s="355"/>
      <c r="AN55" s="355"/>
      <c r="AO55" s="355"/>
      <c r="AP55" s="355"/>
      <c r="AQ55" s="355"/>
      <c r="AR55" s="355"/>
      <c r="AS55" s="355"/>
      <c r="AT55" s="355"/>
      <c r="AU55" s="355"/>
      <c r="AV55" s="355"/>
      <c r="AW55" s="355"/>
      <c r="AX55" s="355"/>
    </row>
    <row r="56" spans="1:50">
      <c r="A56" s="73">
        <v>48</v>
      </c>
      <c r="B56" s="5" t="s">
        <v>49</v>
      </c>
      <c r="C56" s="90"/>
      <c r="D56" s="90"/>
      <c r="E56" s="90">
        <f t="shared" ref="E56:Z56" si="39">E39</f>
        <v>34.669994056153186</v>
      </c>
      <c r="F56" s="90">
        <f t="shared" si="39"/>
        <v>55.367742226367071</v>
      </c>
      <c r="G56" s="90">
        <f t="shared" si="39"/>
        <v>60.084843148485611</v>
      </c>
      <c r="H56" s="90">
        <f t="shared" si="39"/>
        <v>67.85456057694455</v>
      </c>
      <c r="I56" s="90">
        <f t="shared" si="39"/>
        <v>91.526076170815742</v>
      </c>
      <c r="J56" s="90">
        <f t="shared" si="39"/>
        <v>111.81342635898655</v>
      </c>
      <c r="K56" s="90">
        <f t="shared" si="39"/>
        <v>97.647968040201178</v>
      </c>
      <c r="L56" s="90">
        <f t="shared" si="39"/>
        <v>99.99064503326511</v>
      </c>
      <c r="M56" s="90">
        <f t="shared" si="39"/>
        <v>105.44375066083477</v>
      </c>
      <c r="N56" s="90">
        <f t="shared" si="39"/>
        <v>116.52259716453203</v>
      </c>
      <c r="O56" s="90">
        <f t="shared" si="39"/>
        <v>138.08507483460266</v>
      </c>
      <c r="P56" s="90">
        <f t="shared" si="39"/>
        <v>141.50072871346839</v>
      </c>
      <c r="Q56" s="90">
        <f t="shared" si="39"/>
        <v>145.84537869108115</v>
      </c>
      <c r="R56" s="90">
        <f t="shared" si="39"/>
        <v>149.00852454592078</v>
      </c>
      <c r="S56" s="90">
        <f t="shared" si="39"/>
        <v>80.635529646968038</v>
      </c>
      <c r="T56" s="90">
        <f t="shared" si="39"/>
        <v>0</v>
      </c>
      <c r="U56" s="90">
        <f t="shared" si="39"/>
        <v>0</v>
      </c>
      <c r="V56" s="90">
        <f t="shared" si="39"/>
        <v>0</v>
      </c>
      <c r="W56" s="90">
        <f t="shared" si="39"/>
        <v>0</v>
      </c>
      <c r="X56" s="90">
        <f t="shared" si="39"/>
        <v>0</v>
      </c>
      <c r="Y56" s="90">
        <f t="shared" si="39"/>
        <v>0</v>
      </c>
      <c r="Z56" s="90">
        <f t="shared" si="39"/>
        <v>0</v>
      </c>
      <c r="AA56" s="90">
        <f t="shared" ref="AA56:AL56" si="40">AA39</f>
        <v>0</v>
      </c>
      <c r="AB56" s="90">
        <f t="shared" si="40"/>
        <v>0</v>
      </c>
      <c r="AC56" s="90">
        <f t="shared" si="40"/>
        <v>0</v>
      </c>
      <c r="AD56" s="90">
        <f t="shared" si="40"/>
        <v>0</v>
      </c>
      <c r="AE56" s="90">
        <f t="shared" si="40"/>
        <v>0</v>
      </c>
      <c r="AF56" s="90">
        <f t="shared" si="40"/>
        <v>0</v>
      </c>
      <c r="AG56" s="90">
        <f t="shared" si="40"/>
        <v>0</v>
      </c>
      <c r="AH56" s="90">
        <f t="shared" si="40"/>
        <v>0</v>
      </c>
      <c r="AI56" s="90">
        <f t="shared" si="40"/>
        <v>0</v>
      </c>
      <c r="AJ56" s="90">
        <f t="shared" si="40"/>
        <v>0</v>
      </c>
      <c r="AK56" s="90">
        <f t="shared" si="40"/>
        <v>0</v>
      </c>
      <c r="AL56" s="90">
        <f t="shared" si="40"/>
        <v>0</v>
      </c>
      <c r="AM56" s="90">
        <f t="shared" ref="AM56:AX56" si="41">AM39</f>
        <v>0</v>
      </c>
      <c r="AN56" s="90">
        <f t="shared" si="41"/>
        <v>0</v>
      </c>
      <c r="AO56" s="90">
        <f t="shared" si="41"/>
        <v>0</v>
      </c>
      <c r="AP56" s="90">
        <f t="shared" si="41"/>
        <v>0</v>
      </c>
      <c r="AQ56" s="90">
        <f t="shared" si="41"/>
        <v>0</v>
      </c>
      <c r="AR56" s="90">
        <f t="shared" si="41"/>
        <v>0</v>
      </c>
      <c r="AS56" s="90">
        <f t="shared" si="41"/>
        <v>0</v>
      </c>
      <c r="AT56" s="90">
        <f t="shared" si="41"/>
        <v>0</v>
      </c>
      <c r="AU56" s="90">
        <f t="shared" si="41"/>
        <v>0</v>
      </c>
      <c r="AV56" s="90">
        <f t="shared" si="41"/>
        <v>0</v>
      </c>
      <c r="AW56" s="90">
        <f t="shared" si="41"/>
        <v>0</v>
      </c>
      <c r="AX56" s="90">
        <f t="shared" si="41"/>
        <v>0</v>
      </c>
    </row>
    <row r="57" spans="1:50">
      <c r="A57" s="72">
        <v>49</v>
      </c>
      <c r="B57" s="5" t="s">
        <v>52</v>
      </c>
      <c r="C57" s="90"/>
      <c r="D57" s="90"/>
      <c r="E57" s="90">
        <f t="shared" ref="E57:Z57" si="42">E44</f>
        <v>129.00862747615221</v>
      </c>
      <c r="F57" s="90">
        <f t="shared" si="42"/>
        <v>206.02589142380589</v>
      </c>
      <c r="G57" s="90">
        <f t="shared" si="42"/>
        <v>223.57843886997432</v>
      </c>
      <c r="H57" s="90">
        <f t="shared" si="42"/>
        <v>252.48991141593311</v>
      </c>
      <c r="I57" s="90">
        <f t="shared" si="42"/>
        <v>340.57269943428486</v>
      </c>
      <c r="J57" s="90">
        <f t="shared" si="42"/>
        <v>416.06285379268934</v>
      </c>
      <c r="K57" s="90">
        <f t="shared" si="42"/>
        <v>363.35253799865467</v>
      </c>
      <c r="L57" s="90">
        <f t="shared" si="42"/>
        <v>372.06974582412005</v>
      </c>
      <c r="M57" s="90">
        <f t="shared" si="42"/>
        <v>392.3610003122468</v>
      </c>
      <c r="N57" s="90">
        <f t="shared" si="42"/>
        <v>433.58589291378684</v>
      </c>
      <c r="O57" s="90">
        <f t="shared" si="42"/>
        <v>505.71527671688517</v>
      </c>
      <c r="P57" s="90">
        <f t="shared" si="42"/>
        <v>518.22458193027398</v>
      </c>
      <c r="Q57" s="90">
        <f t="shared" si="42"/>
        <v>534.13619198877007</v>
      </c>
      <c r="R57" s="90">
        <f t="shared" si="42"/>
        <v>545.72072553225496</v>
      </c>
      <c r="S57" s="90">
        <f t="shared" si="42"/>
        <v>295.31518332066935</v>
      </c>
      <c r="T57" s="90">
        <f t="shared" si="42"/>
        <v>0</v>
      </c>
      <c r="U57" s="90">
        <f t="shared" si="42"/>
        <v>0</v>
      </c>
      <c r="V57" s="90">
        <f t="shared" si="42"/>
        <v>0</v>
      </c>
      <c r="W57" s="90">
        <f t="shared" si="42"/>
        <v>0</v>
      </c>
      <c r="X57" s="90">
        <f t="shared" si="42"/>
        <v>0</v>
      </c>
      <c r="Y57" s="90">
        <f t="shared" si="42"/>
        <v>0</v>
      </c>
      <c r="Z57" s="90">
        <f t="shared" si="42"/>
        <v>0</v>
      </c>
      <c r="AA57" s="90">
        <f t="shared" ref="AA57:AL57" si="43">AA44</f>
        <v>0</v>
      </c>
      <c r="AB57" s="90">
        <f t="shared" si="43"/>
        <v>0</v>
      </c>
      <c r="AC57" s="90">
        <f t="shared" si="43"/>
        <v>0</v>
      </c>
      <c r="AD57" s="90">
        <f t="shared" si="43"/>
        <v>0</v>
      </c>
      <c r="AE57" s="90">
        <f t="shared" si="43"/>
        <v>0</v>
      </c>
      <c r="AF57" s="90">
        <f t="shared" si="43"/>
        <v>0</v>
      </c>
      <c r="AG57" s="90">
        <f t="shared" si="43"/>
        <v>0</v>
      </c>
      <c r="AH57" s="90">
        <f t="shared" si="43"/>
        <v>0</v>
      </c>
      <c r="AI57" s="90">
        <f t="shared" si="43"/>
        <v>0</v>
      </c>
      <c r="AJ57" s="90">
        <f t="shared" si="43"/>
        <v>0</v>
      </c>
      <c r="AK57" s="90">
        <f t="shared" si="43"/>
        <v>0</v>
      </c>
      <c r="AL57" s="90">
        <f t="shared" si="43"/>
        <v>0</v>
      </c>
      <c r="AM57" s="90">
        <f t="shared" ref="AM57:AX57" si="44">AM44</f>
        <v>0</v>
      </c>
      <c r="AN57" s="90">
        <f t="shared" si="44"/>
        <v>0</v>
      </c>
      <c r="AO57" s="90">
        <f t="shared" si="44"/>
        <v>0</v>
      </c>
      <c r="AP57" s="90">
        <f t="shared" si="44"/>
        <v>0</v>
      </c>
      <c r="AQ57" s="90">
        <f t="shared" si="44"/>
        <v>0</v>
      </c>
      <c r="AR57" s="90">
        <f t="shared" si="44"/>
        <v>0</v>
      </c>
      <c r="AS57" s="90">
        <f t="shared" si="44"/>
        <v>0</v>
      </c>
      <c r="AT57" s="90">
        <f t="shared" si="44"/>
        <v>0</v>
      </c>
      <c r="AU57" s="90">
        <f t="shared" si="44"/>
        <v>0</v>
      </c>
      <c r="AV57" s="90">
        <f t="shared" si="44"/>
        <v>0</v>
      </c>
      <c r="AW57" s="90">
        <f t="shared" si="44"/>
        <v>0</v>
      </c>
      <c r="AX57" s="90">
        <f t="shared" si="44"/>
        <v>0</v>
      </c>
    </row>
    <row r="58" spans="1:50">
      <c r="A58" s="73">
        <v>50</v>
      </c>
      <c r="B58" s="5" t="s">
        <v>58</v>
      </c>
      <c r="C58" s="91"/>
      <c r="D58" s="91"/>
      <c r="E58" s="91">
        <f t="shared" ref="E58:Z58" si="45">E47</f>
        <v>-67.049531331048541</v>
      </c>
      <c r="F58" s="91">
        <f t="shared" si="45"/>
        <v>-124.76697994073069</v>
      </c>
      <c r="G58" s="91">
        <f t="shared" si="45"/>
        <v>-136.85114066481262</v>
      </c>
      <c r="H58" s="91">
        <f t="shared" si="45"/>
        <v>-145.25377928824034</v>
      </c>
      <c r="I58" s="91">
        <f t="shared" si="45"/>
        <v>-192.25194085413565</v>
      </c>
      <c r="J58" s="91">
        <f t="shared" si="45"/>
        <v>-271.06966249977376</v>
      </c>
      <c r="K58" s="91">
        <f t="shared" si="45"/>
        <v>-225.73481860116024</v>
      </c>
      <c r="L58" s="91">
        <f t="shared" si="45"/>
        <v>-230.696835894928</v>
      </c>
      <c r="M58" s="91">
        <f t="shared" si="45"/>
        <v>-239.37903373785696</v>
      </c>
      <c r="N58" s="91">
        <f t="shared" si="45"/>
        <v>-265.560368143316</v>
      </c>
      <c r="O58" s="91">
        <f t="shared" si="45"/>
        <v>-327.58649605624498</v>
      </c>
      <c r="P58" s="91">
        <f t="shared" si="45"/>
        <v>-334.55083301581971</v>
      </c>
      <c r="Q58" s="91">
        <f t="shared" si="45"/>
        <v>-348.1480758514619</v>
      </c>
      <c r="R58" s="91">
        <f t="shared" si="45"/>
        <v>-350.58086332591097</v>
      </c>
      <c r="S58" s="91">
        <f t="shared" si="45"/>
        <v>-375.95049966852935</v>
      </c>
      <c r="T58" s="91">
        <f t="shared" si="45"/>
        <v>0</v>
      </c>
      <c r="U58" s="91">
        <f t="shared" si="45"/>
        <v>0</v>
      </c>
      <c r="V58" s="91">
        <f t="shared" si="45"/>
        <v>0</v>
      </c>
      <c r="W58" s="91">
        <f t="shared" si="45"/>
        <v>0</v>
      </c>
      <c r="X58" s="91">
        <f t="shared" si="45"/>
        <v>0</v>
      </c>
      <c r="Y58" s="91">
        <f t="shared" si="45"/>
        <v>0</v>
      </c>
      <c r="Z58" s="91">
        <f t="shared" si="45"/>
        <v>0</v>
      </c>
      <c r="AA58" s="91">
        <f t="shared" ref="AA58:AL58" si="46">AA47</f>
        <v>0</v>
      </c>
      <c r="AB58" s="91">
        <f t="shared" si="46"/>
        <v>0</v>
      </c>
      <c r="AC58" s="91">
        <f t="shared" si="46"/>
        <v>0</v>
      </c>
      <c r="AD58" s="91">
        <f t="shared" si="46"/>
        <v>0</v>
      </c>
      <c r="AE58" s="91">
        <f t="shared" si="46"/>
        <v>0</v>
      </c>
      <c r="AF58" s="91">
        <f t="shared" si="46"/>
        <v>0</v>
      </c>
      <c r="AG58" s="91">
        <f t="shared" si="46"/>
        <v>0</v>
      </c>
      <c r="AH58" s="91">
        <f t="shared" si="46"/>
        <v>0</v>
      </c>
      <c r="AI58" s="91">
        <f t="shared" si="46"/>
        <v>0</v>
      </c>
      <c r="AJ58" s="91">
        <f t="shared" si="46"/>
        <v>0</v>
      </c>
      <c r="AK58" s="91">
        <f t="shared" si="46"/>
        <v>0</v>
      </c>
      <c r="AL58" s="91">
        <f t="shared" si="46"/>
        <v>0</v>
      </c>
      <c r="AM58" s="486">
        <f t="shared" ref="AM58:AX58" si="47">AM47</f>
        <v>0</v>
      </c>
      <c r="AN58" s="486">
        <f t="shared" si="47"/>
        <v>0</v>
      </c>
      <c r="AO58" s="486">
        <f t="shared" si="47"/>
        <v>0</v>
      </c>
      <c r="AP58" s="486">
        <f t="shared" si="47"/>
        <v>0</v>
      </c>
      <c r="AQ58" s="486">
        <f t="shared" si="47"/>
        <v>0</v>
      </c>
      <c r="AR58" s="486">
        <f t="shared" si="47"/>
        <v>0</v>
      </c>
      <c r="AS58" s="486">
        <f t="shared" si="47"/>
        <v>0</v>
      </c>
      <c r="AT58" s="486">
        <f t="shared" si="47"/>
        <v>0</v>
      </c>
      <c r="AU58" s="486">
        <f t="shared" si="47"/>
        <v>0</v>
      </c>
      <c r="AV58" s="486">
        <f t="shared" si="47"/>
        <v>0</v>
      </c>
      <c r="AW58" s="486">
        <f t="shared" si="47"/>
        <v>0</v>
      </c>
      <c r="AX58" s="486">
        <f t="shared" si="47"/>
        <v>0</v>
      </c>
    </row>
    <row r="59" spans="1:50">
      <c r="A59" s="72">
        <v>51</v>
      </c>
      <c r="B59" s="5" t="s">
        <v>59</v>
      </c>
      <c r="C59" s="57"/>
      <c r="D59" s="57"/>
      <c r="E59" s="57">
        <f t="shared" ref="E59:Z59" si="48">E53</f>
        <v>1.683170149987292</v>
      </c>
      <c r="F59" s="57">
        <f t="shared" si="48"/>
        <v>1.683170149987292</v>
      </c>
      <c r="G59" s="57">
        <f t="shared" si="48"/>
        <v>1.683170149987292</v>
      </c>
      <c r="H59" s="57">
        <f t="shared" si="48"/>
        <v>1.683170149987292</v>
      </c>
      <c r="I59" s="57">
        <f t="shared" si="48"/>
        <v>1.683170149987292</v>
      </c>
      <c r="J59" s="57">
        <f t="shared" si="48"/>
        <v>1.683170149987292</v>
      </c>
      <c r="K59" s="57">
        <f t="shared" si="48"/>
        <v>1.683170149987292</v>
      </c>
      <c r="L59" s="57">
        <f t="shared" si="48"/>
        <v>1.683170149987292</v>
      </c>
      <c r="M59" s="57">
        <f t="shared" si="48"/>
        <v>1.683170149987292</v>
      </c>
      <c r="N59" s="57">
        <f t="shared" si="48"/>
        <v>1.683170149987292</v>
      </c>
      <c r="O59" s="57">
        <f t="shared" si="48"/>
        <v>1.6854872933727989</v>
      </c>
      <c r="P59" s="57">
        <f t="shared" si="48"/>
        <v>1.6854872933727989</v>
      </c>
      <c r="Q59" s="57">
        <f t="shared" si="48"/>
        <v>1.6854872933727989</v>
      </c>
      <c r="R59" s="57">
        <f t="shared" si="48"/>
        <v>1.6854872933727989</v>
      </c>
      <c r="S59" s="57">
        <f t="shared" si="48"/>
        <v>1.6854872933727989</v>
      </c>
      <c r="T59" s="57">
        <f t="shared" si="48"/>
        <v>1.6854872933727989</v>
      </c>
      <c r="U59" s="57">
        <f t="shared" si="48"/>
        <v>1.6854872933727989</v>
      </c>
      <c r="V59" s="57">
        <f t="shared" si="48"/>
        <v>1.6854872933727989</v>
      </c>
      <c r="W59" s="57">
        <f t="shared" si="48"/>
        <v>1.6854872933727989</v>
      </c>
      <c r="X59" s="57">
        <f t="shared" si="48"/>
        <v>1.6854872933727989</v>
      </c>
      <c r="Y59" s="57">
        <f t="shared" si="48"/>
        <v>1.6854872933727989</v>
      </c>
      <c r="Z59" s="57">
        <f t="shared" si="48"/>
        <v>1.6854872933727989</v>
      </c>
      <c r="AA59" s="57">
        <f t="shared" ref="AA59:AL59" si="49">AA53</f>
        <v>1.6869095816464237</v>
      </c>
      <c r="AB59" s="57">
        <f t="shared" si="49"/>
        <v>1.6869095816464237</v>
      </c>
      <c r="AC59" s="57">
        <f t="shared" si="49"/>
        <v>1.6869095816464237</v>
      </c>
      <c r="AD59" s="57">
        <f t="shared" si="49"/>
        <v>1.6869095816464237</v>
      </c>
      <c r="AE59" s="57">
        <f t="shared" si="49"/>
        <v>1.6869095816464237</v>
      </c>
      <c r="AF59" s="57">
        <f t="shared" si="49"/>
        <v>1.6869095816464237</v>
      </c>
      <c r="AG59" s="57">
        <f t="shared" si="49"/>
        <v>1.6869095816464237</v>
      </c>
      <c r="AH59" s="57">
        <f t="shared" si="49"/>
        <v>1.6869095816464237</v>
      </c>
      <c r="AI59" s="57">
        <f t="shared" si="49"/>
        <v>1.6869095816464237</v>
      </c>
      <c r="AJ59" s="57">
        <f t="shared" si="49"/>
        <v>1.6869095816464237</v>
      </c>
      <c r="AK59" s="57">
        <f t="shared" si="49"/>
        <v>1.6869095816464237</v>
      </c>
      <c r="AL59" s="57">
        <f t="shared" si="49"/>
        <v>1.6869095816464237</v>
      </c>
      <c r="AM59" s="475">
        <f t="shared" ref="AM59:AX59" si="50">AM53</f>
        <v>1.6874789065136686</v>
      </c>
      <c r="AN59" s="475">
        <f t="shared" si="50"/>
        <v>1.6874789065136686</v>
      </c>
      <c r="AO59" s="475">
        <f t="shared" si="50"/>
        <v>1.6874789065136686</v>
      </c>
      <c r="AP59" s="475">
        <f t="shared" si="50"/>
        <v>1.6874789065136686</v>
      </c>
      <c r="AQ59" s="475">
        <f t="shared" si="50"/>
        <v>1.6874789065136686</v>
      </c>
      <c r="AR59" s="475">
        <f t="shared" si="50"/>
        <v>1.6874789065136686</v>
      </c>
      <c r="AS59" s="475">
        <f t="shared" si="50"/>
        <v>1.6874789065136686</v>
      </c>
      <c r="AT59" s="475">
        <f t="shared" si="50"/>
        <v>1.6874789065136686</v>
      </c>
      <c r="AU59" s="475">
        <f t="shared" si="50"/>
        <v>1.6874789065136686</v>
      </c>
      <c r="AV59" s="475">
        <f t="shared" si="50"/>
        <v>1.6874789065136686</v>
      </c>
      <c r="AW59" s="475">
        <f t="shared" si="50"/>
        <v>1.6874789065136686</v>
      </c>
      <c r="AX59" s="475">
        <f t="shared" si="50"/>
        <v>1.6874789065136686</v>
      </c>
    </row>
    <row r="60" spans="1:50">
      <c r="A60" s="73">
        <v>52</v>
      </c>
      <c r="B60" s="61" t="s">
        <v>60</v>
      </c>
      <c r="C60" s="66"/>
      <c r="D60" s="66"/>
      <c r="E60" s="66">
        <f t="shared" ref="E60:N60" si="51">(E56+E57+E58)*E59</f>
        <v>162.64320024718504</v>
      </c>
      <c r="F60" s="66">
        <f t="shared" si="51"/>
        <v>229.9659052163837</v>
      </c>
      <c r="G60" s="66">
        <f t="shared" si="51"/>
        <v>247.10981398217407</v>
      </c>
      <c r="H60" s="66">
        <f t="shared" si="51"/>
        <v>294.70742750104318</v>
      </c>
      <c r="I60" s="66">
        <f t="shared" si="51"/>
        <v>403.70303282175894</v>
      </c>
      <c r="J60" s="66">
        <f t="shared" si="51"/>
        <v>432.24923315088131</v>
      </c>
      <c r="K60" s="66">
        <f t="shared" si="51"/>
        <v>395.99218241136947</v>
      </c>
      <c r="L60" s="66">
        <f t="shared" si="51"/>
        <v>406.25593100762507</v>
      </c>
      <c r="M60" s="66">
        <f t="shared" si="51"/>
        <v>434.97445323938655</v>
      </c>
      <c r="N60" s="66">
        <f t="shared" si="51"/>
        <v>478.94290507594093</v>
      </c>
      <c r="O60" s="66">
        <f t="shared" ref="O60:Z60" si="52">(O56+O57+O58)*O59</f>
        <v>532.97443542565429</v>
      </c>
      <c r="P60" s="66">
        <f t="shared" si="52"/>
        <v>548.07745017100126</v>
      </c>
      <c r="Q60" s="66">
        <f t="shared" si="52"/>
        <v>559.30113904873849</v>
      </c>
      <c r="R60" s="66">
        <f t="shared" si="52"/>
        <v>580.05773290568993</v>
      </c>
      <c r="S60" s="66">
        <f t="shared" si="52"/>
        <v>3.5951293631334737E-4</v>
      </c>
      <c r="T60" s="66">
        <f t="shared" si="52"/>
        <v>0</v>
      </c>
      <c r="U60" s="66">
        <f t="shared" si="52"/>
        <v>0</v>
      </c>
      <c r="V60" s="66">
        <f t="shared" si="52"/>
        <v>0</v>
      </c>
      <c r="W60" s="66">
        <f t="shared" si="52"/>
        <v>0</v>
      </c>
      <c r="X60" s="66">
        <f t="shared" si="52"/>
        <v>0</v>
      </c>
      <c r="Y60" s="66">
        <f t="shared" si="52"/>
        <v>0</v>
      </c>
      <c r="Z60" s="66">
        <f t="shared" si="52"/>
        <v>0</v>
      </c>
      <c r="AA60" s="66">
        <f t="shared" ref="AA60:AL60" si="53">(AA56+AA57+AA58)*AA59</f>
        <v>0</v>
      </c>
      <c r="AB60" s="66">
        <f t="shared" si="53"/>
        <v>0</v>
      </c>
      <c r="AC60" s="66">
        <f t="shared" si="53"/>
        <v>0</v>
      </c>
      <c r="AD60" s="66">
        <f t="shared" si="53"/>
        <v>0</v>
      </c>
      <c r="AE60" s="66">
        <f t="shared" si="53"/>
        <v>0</v>
      </c>
      <c r="AF60" s="66">
        <f t="shared" si="53"/>
        <v>0</v>
      </c>
      <c r="AG60" s="66">
        <f t="shared" si="53"/>
        <v>0</v>
      </c>
      <c r="AH60" s="66">
        <f t="shared" si="53"/>
        <v>0</v>
      </c>
      <c r="AI60" s="66">
        <f t="shared" si="53"/>
        <v>0</v>
      </c>
      <c r="AJ60" s="66">
        <f t="shared" si="53"/>
        <v>0</v>
      </c>
      <c r="AK60" s="66">
        <f t="shared" si="53"/>
        <v>0</v>
      </c>
      <c r="AL60" s="66">
        <f t="shared" si="53"/>
        <v>0</v>
      </c>
      <c r="AM60" s="483">
        <f t="shared" ref="AM60:AX60" si="54">(AM56+AM57+AM58)*AM59</f>
        <v>0</v>
      </c>
      <c r="AN60" s="483">
        <f t="shared" si="54"/>
        <v>0</v>
      </c>
      <c r="AO60" s="483">
        <f t="shared" si="54"/>
        <v>0</v>
      </c>
      <c r="AP60" s="483">
        <f t="shared" si="54"/>
        <v>0</v>
      </c>
      <c r="AQ60" s="483">
        <f t="shared" si="54"/>
        <v>0</v>
      </c>
      <c r="AR60" s="483">
        <f t="shared" si="54"/>
        <v>0</v>
      </c>
      <c r="AS60" s="483">
        <f t="shared" si="54"/>
        <v>0</v>
      </c>
      <c r="AT60" s="483">
        <f t="shared" si="54"/>
        <v>0</v>
      </c>
      <c r="AU60" s="483">
        <f t="shared" si="54"/>
        <v>0</v>
      </c>
      <c r="AV60" s="483">
        <f t="shared" si="54"/>
        <v>0</v>
      </c>
      <c r="AW60" s="483">
        <f t="shared" si="54"/>
        <v>0</v>
      </c>
      <c r="AX60" s="483">
        <f t="shared" si="54"/>
        <v>0</v>
      </c>
    </row>
    <row r="61" spans="1:50">
      <c r="A61" s="72">
        <v>53</v>
      </c>
      <c r="AM61" s="355"/>
      <c r="AN61" s="355"/>
      <c r="AO61" s="355"/>
      <c r="AP61" s="355"/>
      <c r="AQ61" s="355"/>
      <c r="AR61" s="355"/>
      <c r="AS61" s="355"/>
      <c r="AT61" s="355"/>
      <c r="AU61" s="355"/>
      <c r="AV61" s="355"/>
      <c r="AW61" s="355"/>
      <c r="AX61" s="355"/>
    </row>
    <row r="62" spans="1:50">
      <c r="A62" s="73">
        <v>54</v>
      </c>
      <c r="B62" s="64" t="s">
        <v>199</v>
      </c>
      <c r="AM62" s="355"/>
      <c r="AN62" s="355"/>
      <c r="AO62" s="355"/>
      <c r="AP62" s="355"/>
      <c r="AQ62" s="355"/>
      <c r="AR62" s="355"/>
      <c r="AS62" s="355"/>
      <c r="AT62" s="355"/>
      <c r="AU62" s="355"/>
      <c r="AV62" s="355"/>
      <c r="AW62" s="355"/>
      <c r="AX62" s="355"/>
    </row>
    <row r="63" spans="1:50" ht="15.75">
      <c r="A63" s="72">
        <v>55</v>
      </c>
      <c r="B63" s="1" t="s">
        <v>9</v>
      </c>
      <c r="AM63" s="355"/>
      <c r="AN63" s="355"/>
      <c r="AO63" s="355"/>
      <c r="AP63" s="355"/>
      <c r="AQ63" s="355"/>
      <c r="AR63" s="355"/>
      <c r="AS63" s="355"/>
      <c r="AT63" s="355"/>
      <c r="AU63" s="355"/>
      <c r="AV63" s="355"/>
      <c r="AW63" s="355"/>
      <c r="AX63" s="355"/>
    </row>
    <row r="64" spans="1:50" ht="15">
      <c r="A64" s="73">
        <v>56</v>
      </c>
      <c r="B64" s="2" t="s">
        <v>63</v>
      </c>
      <c r="AM64" s="355"/>
      <c r="AN64" s="355"/>
      <c r="AO64" s="355"/>
      <c r="AP64" s="355"/>
      <c r="AQ64" s="355"/>
      <c r="AR64" s="355"/>
      <c r="AS64" s="355"/>
      <c r="AT64" s="355"/>
      <c r="AU64" s="355"/>
      <c r="AV64" s="355"/>
      <c r="AW64" s="355"/>
      <c r="AX64" s="355"/>
    </row>
    <row r="65" spans="1:50">
      <c r="A65" s="72">
        <v>57</v>
      </c>
      <c r="B65" s="5" t="s">
        <v>13</v>
      </c>
      <c r="C65" s="65"/>
      <c r="D65" s="65"/>
      <c r="E65" s="65">
        <f t="shared" ref="E65:Z65" si="55">E22</f>
        <v>49953.87412420605</v>
      </c>
      <c r="F65" s="65">
        <f t="shared" si="55"/>
        <v>70631.242366768769</v>
      </c>
      <c r="G65" s="65">
        <f t="shared" si="55"/>
        <v>75896.788241109578</v>
      </c>
      <c r="H65" s="65">
        <f t="shared" si="55"/>
        <v>90515.806511958886</v>
      </c>
      <c r="I65" s="65">
        <f t="shared" si="55"/>
        <v>123992.47799445888</v>
      </c>
      <c r="J65" s="65">
        <f t="shared" si="55"/>
        <v>132760.14202908726</v>
      </c>
      <c r="K65" s="65">
        <f t="shared" si="55"/>
        <v>121624.21007336286</v>
      </c>
      <c r="L65" s="65">
        <f t="shared" si="55"/>
        <v>124776.59571201258</v>
      </c>
      <c r="M65" s="65">
        <f t="shared" si="55"/>
        <v>133597.13713474289</v>
      </c>
      <c r="N65" s="65">
        <f t="shared" si="55"/>
        <v>147101.51618614863</v>
      </c>
      <c r="O65" s="65">
        <f t="shared" si="55"/>
        <v>155269.26949184109</v>
      </c>
      <c r="P65" s="65">
        <f t="shared" si="55"/>
        <v>159669.16985295678</v>
      </c>
      <c r="Q65" s="65">
        <f t="shared" si="55"/>
        <v>162938.91951182435</v>
      </c>
      <c r="R65" s="65">
        <f t="shared" si="55"/>
        <v>168985.85625804396</v>
      </c>
      <c r="S65" s="65">
        <f t="shared" si="55"/>
        <v>0</v>
      </c>
      <c r="T65" s="65">
        <f t="shared" si="55"/>
        <v>0</v>
      </c>
      <c r="U65" s="65">
        <f t="shared" si="55"/>
        <v>0</v>
      </c>
      <c r="V65" s="65">
        <f t="shared" si="55"/>
        <v>0</v>
      </c>
      <c r="W65" s="65">
        <f t="shared" si="55"/>
        <v>0</v>
      </c>
      <c r="X65" s="65">
        <f t="shared" si="55"/>
        <v>0</v>
      </c>
      <c r="Y65" s="65">
        <f t="shared" si="55"/>
        <v>0</v>
      </c>
      <c r="Z65" s="65">
        <f t="shared" si="55"/>
        <v>0</v>
      </c>
      <c r="AA65" s="65">
        <f t="shared" ref="AA65:AL65" si="56">AA22</f>
        <v>0</v>
      </c>
      <c r="AB65" s="65">
        <f t="shared" si="56"/>
        <v>0</v>
      </c>
      <c r="AC65" s="65">
        <f t="shared" si="56"/>
        <v>0</v>
      </c>
      <c r="AD65" s="65">
        <f t="shared" si="56"/>
        <v>0</v>
      </c>
      <c r="AE65" s="65">
        <f t="shared" si="56"/>
        <v>0</v>
      </c>
      <c r="AF65" s="65">
        <f t="shared" si="56"/>
        <v>0</v>
      </c>
      <c r="AG65" s="65">
        <f t="shared" si="56"/>
        <v>0</v>
      </c>
      <c r="AH65" s="65">
        <f t="shared" si="56"/>
        <v>0</v>
      </c>
      <c r="AI65" s="65">
        <f t="shared" si="56"/>
        <v>0</v>
      </c>
      <c r="AJ65" s="65">
        <f t="shared" si="56"/>
        <v>0</v>
      </c>
      <c r="AK65" s="65">
        <f t="shared" si="56"/>
        <v>0</v>
      </c>
      <c r="AL65" s="65">
        <f t="shared" si="56"/>
        <v>0</v>
      </c>
      <c r="AM65" s="320">
        <f t="shared" ref="AM65:AX65" si="57">AM22</f>
        <v>0</v>
      </c>
      <c r="AN65" s="320">
        <f t="shared" si="57"/>
        <v>0</v>
      </c>
      <c r="AO65" s="320">
        <f t="shared" si="57"/>
        <v>0</v>
      </c>
      <c r="AP65" s="320">
        <f t="shared" si="57"/>
        <v>0</v>
      </c>
      <c r="AQ65" s="320">
        <f t="shared" si="57"/>
        <v>0</v>
      </c>
      <c r="AR65" s="320">
        <f t="shared" si="57"/>
        <v>0</v>
      </c>
      <c r="AS65" s="320">
        <f t="shared" si="57"/>
        <v>0</v>
      </c>
      <c r="AT65" s="320">
        <f t="shared" si="57"/>
        <v>0</v>
      </c>
      <c r="AU65" s="320">
        <f t="shared" si="57"/>
        <v>0</v>
      </c>
      <c r="AV65" s="320">
        <f t="shared" si="57"/>
        <v>0</v>
      </c>
      <c r="AW65" s="320">
        <f t="shared" si="57"/>
        <v>0</v>
      </c>
      <c r="AX65" s="320">
        <f t="shared" si="57"/>
        <v>0</v>
      </c>
    </row>
    <row r="66" spans="1:50">
      <c r="A66" s="73">
        <v>58</v>
      </c>
      <c r="B66" s="5" t="s">
        <v>48</v>
      </c>
      <c r="C66" s="122"/>
      <c r="D66" s="122"/>
      <c r="E66" s="122">
        <f t="shared" ref="E66:Z66" si="58">E26</f>
        <v>6.9908333333333324E-3</v>
      </c>
      <c r="F66" s="122">
        <f t="shared" si="58"/>
        <v>6.9908333333333324E-3</v>
      </c>
      <c r="G66" s="122">
        <f t="shared" si="58"/>
        <v>6.9908333333333324E-3</v>
      </c>
      <c r="H66" s="122">
        <f t="shared" si="58"/>
        <v>6.9908333333333324E-3</v>
      </c>
      <c r="I66" s="122">
        <f t="shared" si="58"/>
        <v>6.9908333333333324E-3</v>
      </c>
      <c r="J66" s="122">
        <f t="shared" si="58"/>
        <v>6.9908333333333324E-3</v>
      </c>
      <c r="K66" s="122">
        <f t="shared" si="58"/>
        <v>6.9908333333333324E-3</v>
      </c>
      <c r="L66" s="122">
        <f t="shared" si="58"/>
        <v>6.9908333333333324E-3</v>
      </c>
      <c r="M66" s="122">
        <f t="shared" si="58"/>
        <v>6.9908333333333324E-3</v>
      </c>
      <c r="N66" s="122">
        <f t="shared" si="58"/>
        <v>6.9908333333333324E-3</v>
      </c>
      <c r="O66" s="122">
        <f t="shared" si="58"/>
        <v>7.3075000000000006E-3</v>
      </c>
      <c r="P66" s="122">
        <f t="shared" si="58"/>
        <v>7.3075000000000006E-3</v>
      </c>
      <c r="Q66" s="122">
        <f t="shared" si="58"/>
        <v>7.3075000000000006E-3</v>
      </c>
      <c r="R66" s="122">
        <f t="shared" si="58"/>
        <v>7.3075000000000006E-3</v>
      </c>
      <c r="S66" s="122">
        <f t="shared" si="58"/>
        <v>7.3075000000000006E-3</v>
      </c>
      <c r="T66" s="122">
        <f t="shared" si="58"/>
        <v>7.3075000000000006E-3</v>
      </c>
      <c r="U66" s="122">
        <f t="shared" si="58"/>
        <v>7.3075000000000006E-3</v>
      </c>
      <c r="V66" s="122">
        <f t="shared" si="58"/>
        <v>7.3075000000000006E-3</v>
      </c>
      <c r="W66" s="122">
        <f t="shared" si="58"/>
        <v>7.3075000000000006E-3</v>
      </c>
      <c r="X66" s="122">
        <f t="shared" si="58"/>
        <v>7.3075000000000006E-3</v>
      </c>
      <c r="Y66" s="122">
        <f t="shared" si="58"/>
        <v>7.3075000000000006E-3</v>
      </c>
      <c r="Z66" s="122">
        <f t="shared" si="58"/>
        <v>7.3075000000000006E-3</v>
      </c>
      <c r="AA66" s="122">
        <f t="shared" ref="AA66:AL66" si="59">AA26</f>
        <v>7.3075000000000006E-3</v>
      </c>
      <c r="AB66" s="122">
        <f t="shared" si="59"/>
        <v>7.3075000000000006E-3</v>
      </c>
      <c r="AC66" s="122">
        <f t="shared" si="59"/>
        <v>7.3075000000000006E-3</v>
      </c>
      <c r="AD66" s="122">
        <f t="shared" si="59"/>
        <v>7.3075000000000006E-3</v>
      </c>
      <c r="AE66" s="122">
        <f t="shared" si="59"/>
        <v>7.3075000000000006E-3</v>
      </c>
      <c r="AF66" s="122">
        <f t="shared" si="59"/>
        <v>7.3233333333333336E-3</v>
      </c>
      <c r="AG66" s="122">
        <f t="shared" si="59"/>
        <v>7.3233333333333336E-3</v>
      </c>
      <c r="AH66" s="122">
        <f t="shared" si="59"/>
        <v>7.3233333333333336E-3</v>
      </c>
      <c r="AI66" s="122">
        <f t="shared" si="59"/>
        <v>7.3233333333333336E-3</v>
      </c>
      <c r="AJ66" s="122">
        <f t="shared" si="59"/>
        <v>7.3233333333333336E-3</v>
      </c>
      <c r="AK66" s="122">
        <f t="shared" si="59"/>
        <v>7.3233333333333336E-3</v>
      </c>
      <c r="AL66" s="122">
        <f t="shared" si="59"/>
        <v>7.3233333333333336E-3</v>
      </c>
      <c r="AM66" s="317">
        <f t="shared" ref="AM66:AX66" si="60">AM26</f>
        <v>7.228333333333334E-3</v>
      </c>
      <c r="AN66" s="317">
        <f t="shared" si="60"/>
        <v>7.228333333333334E-3</v>
      </c>
      <c r="AO66" s="317">
        <f t="shared" si="60"/>
        <v>7.228333333333334E-3</v>
      </c>
      <c r="AP66" s="317">
        <f t="shared" si="60"/>
        <v>7.228333333333334E-3</v>
      </c>
      <c r="AQ66" s="317">
        <f t="shared" si="60"/>
        <v>7.228333333333334E-3</v>
      </c>
      <c r="AR66" s="317">
        <f t="shared" si="60"/>
        <v>7.228333333333334E-3</v>
      </c>
      <c r="AS66" s="317">
        <f t="shared" si="60"/>
        <v>7.228333333333334E-3</v>
      </c>
      <c r="AT66" s="317">
        <f t="shared" si="60"/>
        <v>7.228333333333334E-3</v>
      </c>
      <c r="AU66" s="317">
        <f t="shared" si="60"/>
        <v>7.228333333333334E-3</v>
      </c>
      <c r="AV66" s="317">
        <f t="shared" si="60"/>
        <v>7.228333333333334E-3</v>
      </c>
      <c r="AW66" s="317">
        <f t="shared" si="60"/>
        <v>7.228333333333334E-3</v>
      </c>
      <c r="AX66" s="317">
        <f t="shared" si="60"/>
        <v>7.228333333333334E-3</v>
      </c>
    </row>
    <row r="67" spans="1:50">
      <c r="A67" s="72">
        <v>59</v>
      </c>
      <c r="B67" s="5" t="s">
        <v>111</v>
      </c>
      <c r="C67" s="60"/>
      <c r="D67" s="60"/>
      <c r="E67" s="60">
        <f t="shared" ref="E67:N67" si="61">E65*E66</f>
        <v>349.21920835663707</v>
      </c>
      <c r="F67" s="60">
        <f t="shared" si="61"/>
        <v>493.77124351235261</v>
      </c>
      <c r="G67" s="60">
        <f t="shared" si="61"/>
        <v>530.58179712889012</v>
      </c>
      <c r="H67" s="60">
        <f t="shared" si="61"/>
        <v>632.78091735735245</v>
      </c>
      <c r="I67" s="60">
        <f t="shared" si="61"/>
        <v>866.81074824626285</v>
      </c>
      <c r="J67" s="60">
        <f t="shared" si="61"/>
        <v>928.10402623501079</v>
      </c>
      <c r="K67" s="60">
        <f t="shared" si="61"/>
        <v>850.25458192120072</v>
      </c>
      <c r="L67" s="60">
        <f t="shared" si="61"/>
        <v>872.2923845233945</v>
      </c>
      <c r="M67" s="60">
        <f t="shared" si="61"/>
        <v>933.95531951946498</v>
      </c>
      <c r="N67" s="60">
        <f t="shared" si="61"/>
        <v>1028.3621827380005</v>
      </c>
      <c r="O67" s="60">
        <f t="shared" ref="O67:Z67" si="62">O65*O66</f>
        <v>1134.6301868116288</v>
      </c>
      <c r="P67" s="60">
        <f t="shared" si="62"/>
        <v>1166.7824587004818</v>
      </c>
      <c r="Q67" s="60">
        <f t="shared" si="62"/>
        <v>1190.6761543326566</v>
      </c>
      <c r="R67" s="60">
        <f t="shared" si="62"/>
        <v>1234.8641446056563</v>
      </c>
      <c r="S67" s="60">
        <f t="shared" si="62"/>
        <v>0</v>
      </c>
      <c r="T67" s="60">
        <f t="shared" si="62"/>
        <v>0</v>
      </c>
      <c r="U67" s="60">
        <f t="shared" si="62"/>
        <v>0</v>
      </c>
      <c r="V67" s="60">
        <f t="shared" si="62"/>
        <v>0</v>
      </c>
      <c r="W67" s="60">
        <f t="shared" si="62"/>
        <v>0</v>
      </c>
      <c r="X67" s="60">
        <f t="shared" si="62"/>
        <v>0</v>
      </c>
      <c r="Y67" s="60">
        <f t="shared" si="62"/>
        <v>0</v>
      </c>
      <c r="Z67" s="60">
        <f t="shared" si="62"/>
        <v>0</v>
      </c>
      <c r="AA67" s="60">
        <f t="shared" ref="AA67:AL67" si="63">AA65*AA66</f>
        <v>0</v>
      </c>
      <c r="AB67" s="60">
        <f t="shared" si="63"/>
        <v>0</v>
      </c>
      <c r="AC67" s="60">
        <f t="shared" si="63"/>
        <v>0</v>
      </c>
      <c r="AD67" s="60">
        <f t="shared" si="63"/>
        <v>0</v>
      </c>
      <c r="AE67" s="60">
        <f t="shared" si="63"/>
        <v>0</v>
      </c>
      <c r="AF67" s="60">
        <f t="shared" si="63"/>
        <v>0</v>
      </c>
      <c r="AG67" s="60">
        <f t="shared" si="63"/>
        <v>0</v>
      </c>
      <c r="AH67" s="60">
        <f t="shared" si="63"/>
        <v>0</v>
      </c>
      <c r="AI67" s="60">
        <f t="shared" si="63"/>
        <v>0</v>
      </c>
      <c r="AJ67" s="60">
        <f t="shared" si="63"/>
        <v>0</v>
      </c>
      <c r="AK67" s="60">
        <f t="shared" si="63"/>
        <v>0</v>
      </c>
      <c r="AL67" s="60">
        <f t="shared" si="63"/>
        <v>0</v>
      </c>
      <c r="AM67" s="474">
        <f t="shared" ref="AM67:AX67" si="64">AM65*AM66</f>
        <v>0</v>
      </c>
      <c r="AN67" s="474">
        <f t="shared" si="64"/>
        <v>0</v>
      </c>
      <c r="AO67" s="474">
        <f t="shared" si="64"/>
        <v>0</v>
      </c>
      <c r="AP67" s="474">
        <f t="shared" si="64"/>
        <v>0</v>
      </c>
      <c r="AQ67" s="474">
        <f t="shared" si="64"/>
        <v>0</v>
      </c>
      <c r="AR67" s="474">
        <f t="shared" si="64"/>
        <v>0</v>
      </c>
      <c r="AS67" s="474">
        <f t="shared" si="64"/>
        <v>0</v>
      </c>
      <c r="AT67" s="474">
        <f t="shared" si="64"/>
        <v>0</v>
      </c>
      <c r="AU67" s="474">
        <f t="shared" si="64"/>
        <v>0</v>
      </c>
      <c r="AV67" s="474">
        <f t="shared" si="64"/>
        <v>0</v>
      </c>
      <c r="AW67" s="474">
        <f t="shared" si="64"/>
        <v>0</v>
      </c>
      <c r="AX67" s="474">
        <f t="shared" si="64"/>
        <v>0</v>
      </c>
    </row>
    <row r="68" spans="1:50">
      <c r="A68" s="73">
        <v>60</v>
      </c>
      <c r="B68" s="5" t="s">
        <v>60</v>
      </c>
      <c r="C68" s="65"/>
      <c r="D68" s="65"/>
      <c r="E68" s="65">
        <f t="shared" ref="E68:Z68" si="65">E60</f>
        <v>162.64320024718504</v>
      </c>
      <c r="F68" s="65">
        <f t="shared" si="65"/>
        <v>229.9659052163837</v>
      </c>
      <c r="G68" s="65">
        <f t="shared" si="65"/>
        <v>247.10981398217407</v>
      </c>
      <c r="H68" s="65">
        <f t="shared" si="65"/>
        <v>294.70742750104318</v>
      </c>
      <c r="I68" s="65">
        <f t="shared" si="65"/>
        <v>403.70303282175894</v>
      </c>
      <c r="J68" s="65">
        <f t="shared" si="65"/>
        <v>432.24923315088131</v>
      </c>
      <c r="K68" s="65">
        <f t="shared" si="65"/>
        <v>395.99218241136947</v>
      </c>
      <c r="L68" s="65">
        <f t="shared" si="65"/>
        <v>406.25593100762507</v>
      </c>
      <c r="M68" s="65">
        <f t="shared" si="65"/>
        <v>434.97445323938655</v>
      </c>
      <c r="N68" s="65">
        <f t="shared" si="65"/>
        <v>478.94290507594093</v>
      </c>
      <c r="O68" s="65">
        <f t="shared" si="65"/>
        <v>532.97443542565429</v>
      </c>
      <c r="P68" s="65">
        <f t="shared" si="65"/>
        <v>548.07745017100126</v>
      </c>
      <c r="Q68" s="65">
        <f t="shared" si="65"/>
        <v>559.30113904873849</v>
      </c>
      <c r="R68" s="65">
        <f t="shared" si="65"/>
        <v>580.05773290568993</v>
      </c>
      <c r="S68" s="65">
        <f t="shared" si="65"/>
        <v>3.5951293631334737E-4</v>
      </c>
      <c r="T68" s="65">
        <f t="shared" si="65"/>
        <v>0</v>
      </c>
      <c r="U68" s="65">
        <f t="shared" si="65"/>
        <v>0</v>
      </c>
      <c r="V68" s="65">
        <f t="shared" si="65"/>
        <v>0</v>
      </c>
      <c r="W68" s="65">
        <f t="shared" si="65"/>
        <v>0</v>
      </c>
      <c r="X68" s="65">
        <f t="shared" si="65"/>
        <v>0</v>
      </c>
      <c r="Y68" s="65">
        <f t="shared" si="65"/>
        <v>0</v>
      </c>
      <c r="Z68" s="65">
        <f t="shared" si="65"/>
        <v>0</v>
      </c>
      <c r="AA68" s="65">
        <f t="shared" ref="AA68:AL68" si="66">AA60</f>
        <v>0</v>
      </c>
      <c r="AB68" s="65">
        <f t="shared" si="66"/>
        <v>0</v>
      </c>
      <c r="AC68" s="65">
        <f t="shared" si="66"/>
        <v>0</v>
      </c>
      <c r="AD68" s="65">
        <f t="shared" si="66"/>
        <v>0</v>
      </c>
      <c r="AE68" s="65">
        <f t="shared" si="66"/>
        <v>0</v>
      </c>
      <c r="AF68" s="65">
        <f t="shared" si="66"/>
        <v>0</v>
      </c>
      <c r="AG68" s="65">
        <f t="shared" si="66"/>
        <v>0</v>
      </c>
      <c r="AH68" s="65">
        <f t="shared" si="66"/>
        <v>0</v>
      </c>
      <c r="AI68" s="65">
        <f t="shared" si="66"/>
        <v>0</v>
      </c>
      <c r="AJ68" s="65">
        <f t="shared" si="66"/>
        <v>0</v>
      </c>
      <c r="AK68" s="65">
        <f t="shared" si="66"/>
        <v>0</v>
      </c>
      <c r="AL68" s="65">
        <f t="shared" si="66"/>
        <v>0</v>
      </c>
      <c r="AM68" s="320">
        <f t="shared" ref="AM68:AX68" si="67">AM60</f>
        <v>0</v>
      </c>
      <c r="AN68" s="320">
        <f t="shared" si="67"/>
        <v>0</v>
      </c>
      <c r="AO68" s="320">
        <f t="shared" si="67"/>
        <v>0</v>
      </c>
      <c r="AP68" s="320">
        <f t="shared" si="67"/>
        <v>0</v>
      </c>
      <c r="AQ68" s="320">
        <f t="shared" si="67"/>
        <v>0</v>
      </c>
      <c r="AR68" s="320">
        <f t="shared" si="67"/>
        <v>0</v>
      </c>
      <c r="AS68" s="320">
        <f t="shared" si="67"/>
        <v>0</v>
      </c>
      <c r="AT68" s="320">
        <f t="shared" si="67"/>
        <v>0</v>
      </c>
      <c r="AU68" s="320">
        <f t="shared" si="67"/>
        <v>0</v>
      </c>
      <c r="AV68" s="320">
        <f t="shared" si="67"/>
        <v>0</v>
      </c>
      <c r="AW68" s="320">
        <f t="shared" si="67"/>
        <v>0</v>
      </c>
      <c r="AX68" s="320">
        <f t="shared" si="67"/>
        <v>0</v>
      </c>
    </row>
    <row r="69" spans="1:50">
      <c r="A69" s="72">
        <v>61</v>
      </c>
      <c r="B69" s="61" t="s">
        <v>112</v>
      </c>
      <c r="C69" s="66"/>
      <c r="D69" s="66"/>
      <c r="E69" s="66">
        <f t="shared" ref="E69:N69" si="68">E67+E68</f>
        <v>511.86240860382213</v>
      </c>
      <c r="F69" s="66">
        <f t="shared" si="68"/>
        <v>723.73714872873632</v>
      </c>
      <c r="G69" s="66">
        <f t="shared" si="68"/>
        <v>777.69161111106416</v>
      </c>
      <c r="H69" s="66">
        <f t="shared" si="68"/>
        <v>927.48834485839564</v>
      </c>
      <c r="I69" s="66">
        <f t="shared" si="68"/>
        <v>1270.5137810680217</v>
      </c>
      <c r="J69" s="66">
        <f t="shared" si="68"/>
        <v>1360.3532593858922</v>
      </c>
      <c r="K69" s="66">
        <f t="shared" si="68"/>
        <v>1246.2467643325701</v>
      </c>
      <c r="L69" s="66">
        <f t="shared" si="68"/>
        <v>1278.5483155310196</v>
      </c>
      <c r="M69" s="66">
        <f t="shared" si="68"/>
        <v>1368.9297727588514</v>
      </c>
      <c r="N69" s="66">
        <f t="shared" si="68"/>
        <v>1507.3050878139413</v>
      </c>
      <c r="O69" s="66">
        <f t="shared" ref="O69:Z69" si="69">O67+O68</f>
        <v>1667.6046222372831</v>
      </c>
      <c r="P69" s="66">
        <f t="shared" si="69"/>
        <v>1714.8599088714832</v>
      </c>
      <c r="Q69" s="66">
        <f t="shared" si="69"/>
        <v>1749.9772933813952</v>
      </c>
      <c r="R69" s="66">
        <f t="shared" si="69"/>
        <v>1814.9218775113463</v>
      </c>
      <c r="S69" s="66">
        <f t="shared" si="69"/>
        <v>3.5951293631334737E-4</v>
      </c>
      <c r="T69" s="66">
        <f t="shared" si="69"/>
        <v>0</v>
      </c>
      <c r="U69" s="66">
        <f t="shared" si="69"/>
        <v>0</v>
      </c>
      <c r="V69" s="66">
        <f t="shared" si="69"/>
        <v>0</v>
      </c>
      <c r="W69" s="66">
        <f t="shared" si="69"/>
        <v>0</v>
      </c>
      <c r="X69" s="66">
        <f t="shared" si="69"/>
        <v>0</v>
      </c>
      <c r="Y69" s="66">
        <f t="shared" si="69"/>
        <v>0</v>
      </c>
      <c r="Z69" s="66">
        <f t="shared" si="69"/>
        <v>0</v>
      </c>
      <c r="AA69" s="66">
        <f t="shared" ref="AA69:AL69" si="70">AA67+AA68</f>
        <v>0</v>
      </c>
      <c r="AB69" s="66">
        <f t="shared" si="70"/>
        <v>0</v>
      </c>
      <c r="AC69" s="66">
        <f t="shared" si="70"/>
        <v>0</v>
      </c>
      <c r="AD69" s="66">
        <f t="shared" si="70"/>
        <v>0</v>
      </c>
      <c r="AE69" s="66">
        <f t="shared" si="70"/>
        <v>0</v>
      </c>
      <c r="AF69" s="66">
        <f t="shared" si="70"/>
        <v>0</v>
      </c>
      <c r="AG69" s="66">
        <f t="shared" si="70"/>
        <v>0</v>
      </c>
      <c r="AH69" s="66">
        <f t="shared" si="70"/>
        <v>0</v>
      </c>
      <c r="AI69" s="66">
        <f t="shared" si="70"/>
        <v>0</v>
      </c>
      <c r="AJ69" s="66">
        <f t="shared" si="70"/>
        <v>0</v>
      </c>
      <c r="AK69" s="66">
        <f t="shared" si="70"/>
        <v>0</v>
      </c>
      <c r="AL69" s="66">
        <f t="shared" si="70"/>
        <v>0</v>
      </c>
      <c r="AM69" s="483">
        <f t="shared" ref="AM69:AX69" si="71">AM67+AM68</f>
        <v>0</v>
      </c>
      <c r="AN69" s="483">
        <f t="shared" si="71"/>
        <v>0</v>
      </c>
      <c r="AO69" s="483">
        <f t="shared" si="71"/>
        <v>0</v>
      </c>
      <c r="AP69" s="483">
        <f t="shared" si="71"/>
        <v>0</v>
      </c>
      <c r="AQ69" s="483">
        <f t="shared" si="71"/>
        <v>0</v>
      </c>
      <c r="AR69" s="483">
        <f t="shared" si="71"/>
        <v>0</v>
      </c>
      <c r="AS69" s="483">
        <f t="shared" si="71"/>
        <v>0</v>
      </c>
      <c r="AT69" s="483">
        <f t="shared" si="71"/>
        <v>0</v>
      </c>
      <c r="AU69" s="483">
        <f t="shared" si="71"/>
        <v>0</v>
      </c>
      <c r="AV69" s="483">
        <f t="shared" si="71"/>
        <v>0</v>
      </c>
      <c r="AW69" s="483">
        <f t="shared" si="71"/>
        <v>0</v>
      </c>
      <c r="AX69" s="483">
        <f t="shared" si="71"/>
        <v>0</v>
      </c>
    </row>
    <row r="70" spans="1:50">
      <c r="AM70" s="355"/>
      <c r="AN70" s="355"/>
      <c r="AO70" s="355"/>
      <c r="AP70" s="355"/>
      <c r="AQ70" s="355"/>
      <c r="AR70" s="355"/>
      <c r="AS70" s="355"/>
      <c r="AT70" s="355"/>
      <c r="AU70" s="355"/>
      <c r="AV70" s="355"/>
      <c r="AW70" s="355"/>
      <c r="AX70" s="355"/>
    </row>
    <row r="71" spans="1:50">
      <c r="AM71" s="355"/>
      <c r="AN71" s="355"/>
      <c r="AO71" s="355"/>
      <c r="AP71" s="355"/>
      <c r="AQ71" s="355"/>
      <c r="AR71" s="355"/>
      <c r="AS71" s="355"/>
      <c r="AT71" s="355"/>
      <c r="AU71" s="355"/>
      <c r="AV71" s="355"/>
      <c r="AW71" s="355"/>
      <c r="AX71" s="355"/>
    </row>
    <row r="72" spans="1:50">
      <c r="AM72" s="355"/>
      <c r="AN72" s="355"/>
      <c r="AO72" s="355"/>
      <c r="AP72" s="355"/>
      <c r="AQ72" s="355"/>
      <c r="AR72" s="355"/>
      <c r="AS72" s="355"/>
      <c r="AT72" s="355"/>
      <c r="AU72" s="355"/>
      <c r="AV72" s="355"/>
      <c r="AW72" s="355"/>
      <c r="AX72" s="355"/>
    </row>
    <row r="73" spans="1:50">
      <c r="AM73" s="355"/>
      <c r="AN73" s="355"/>
      <c r="AO73" s="355"/>
      <c r="AP73" s="355"/>
      <c r="AQ73" s="355"/>
      <c r="AR73" s="355"/>
      <c r="AS73" s="355"/>
      <c r="AT73" s="355"/>
      <c r="AU73" s="355"/>
      <c r="AV73" s="355"/>
      <c r="AW73" s="355"/>
      <c r="AX73" s="355"/>
    </row>
  </sheetData>
  <mergeCells count="9">
    <mergeCell ref="AM16:AX16"/>
    <mergeCell ref="C16:N16"/>
    <mergeCell ref="O16:Z16"/>
    <mergeCell ref="AA16:AL16"/>
    <mergeCell ref="A1:AX1"/>
    <mergeCell ref="A2:AX2"/>
    <mergeCell ref="A3:AX3"/>
    <mergeCell ref="A4:AX4"/>
    <mergeCell ref="A5:AX5"/>
  </mergeCells>
  <phoneticPr fontId="4" type="noConversion"/>
  <printOptions horizontalCentered="1"/>
  <pageMargins left="0.75" right="0.75" top="0.39" bottom="0.34" header="0.27" footer="0.18"/>
  <pageSetup scale="46" fitToHeight="0" orientation="portrait" r:id="rId1"/>
  <headerFooter alignWithMargins="0">
    <oddHeader>&amp;RAttachment 4
WP-Schedule 3
CWIP Balancing Acct 12-31-11 Balance
&amp;P of &amp;N</oddHeader>
    <oddFooter>&amp;R&amp;A</oddFooter>
  </headerFooter>
  <rowBreaks count="1" manualBreakCount="1">
    <brk id="72" max="25" man="1"/>
  </rowBreaks>
  <colBreaks count="1" manualBreakCount="1">
    <brk id="11" min="7" max="6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73"/>
  <sheetViews>
    <sheetView view="pageBreakPreview" zoomScale="60" zoomScaleNormal="100" workbookViewId="0">
      <selection activeCell="B58" sqref="B58"/>
    </sheetView>
  </sheetViews>
  <sheetFormatPr defaultRowHeight="12.75" outlineLevelCol="1"/>
  <cols>
    <col min="1" max="1" width="3.85546875" bestFit="1" customWidth="1"/>
    <col min="2" max="2" width="60.5703125" bestFit="1" customWidth="1"/>
    <col min="3" max="7" width="10.140625" bestFit="1" customWidth="1"/>
    <col min="8" max="9" width="10.5703125" bestFit="1" customWidth="1"/>
    <col min="10" max="10" width="10.140625" bestFit="1" customWidth="1"/>
    <col min="11" max="11" width="10" customWidth="1"/>
    <col min="12" max="12" width="10.5703125" customWidth="1"/>
    <col min="13" max="15" width="10" customWidth="1"/>
    <col min="16" max="23" width="10" hidden="1" customWidth="1" outlineLevel="1"/>
    <col min="24" max="24" width="10.5703125" hidden="1" customWidth="1" outlineLevel="1"/>
    <col min="25" max="27" width="10" hidden="1" customWidth="1" outlineLevel="1"/>
    <col min="28" max="28" width="9.140625" collapsed="1"/>
  </cols>
  <sheetData>
    <row r="1" spans="1:27" ht="15.75">
      <c r="A1" s="710" t="s">
        <v>0</v>
      </c>
      <c r="B1" s="710"/>
      <c r="C1" s="710"/>
      <c r="D1" s="710"/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  <c r="P1" s="710"/>
      <c r="Q1" s="710"/>
      <c r="R1" s="710"/>
      <c r="S1" s="710"/>
      <c r="T1" s="710"/>
      <c r="U1" s="710"/>
      <c r="V1" s="710"/>
      <c r="W1" s="710"/>
      <c r="X1" s="710"/>
      <c r="Y1" s="710"/>
      <c r="Z1" s="710"/>
      <c r="AA1" s="710"/>
    </row>
    <row r="2" spans="1:27" ht="15">
      <c r="A2" s="711" t="s">
        <v>6</v>
      </c>
      <c r="B2" s="711"/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/>
      <c r="O2" s="711"/>
      <c r="P2" s="711"/>
      <c r="Q2" s="711"/>
      <c r="R2" s="711"/>
      <c r="S2" s="711"/>
      <c r="T2" s="711"/>
      <c r="U2" s="711"/>
      <c r="V2" s="711"/>
      <c r="W2" s="711"/>
      <c r="X2" s="711"/>
      <c r="Y2" s="711"/>
      <c r="Z2" s="711"/>
      <c r="AA2" s="711"/>
    </row>
    <row r="3" spans="1:27" ht="15">
      <c r="A3" s="712">
        <v>2011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2"/>
      <c r="O3" s="712"/>
      <c r="P3" s="712"/>
      <c r="Q3" s="712"/>
      <c r="R3" s="712"/>
      <c r="S3" s="712"/>
      <c r="T3" s="712"/>
      <c r="U3" s="712"/>
      <c r="V3" s="712"/>
      <c r="W3" s="712"/>
      <c r="X3" s="712"/>
      <c r="Y3" s="712"/>
      <c r="Z3" s="712"/>
      <c r="AA3" s="712"/>
    </row>
    <row r="4" spans="1:27">
      <c r="A4" s="713" t="s">
        <v>1</v>
      </c>
      <c r="B4" s="713"/>
      <c r="C4" s="713"/>
      <c r="D4" s="713"/>
      <c r="E4" s="713"/>
      <c r="F4" s="713"/>
      <c r="G4" s="713"/>
      <c r="H4" s="713"/>
      <c r="I4" s="713"/>
      <c r="J4" s="713"/>
      <c r="K4" s="713"/>
      <c r="L4" s="713"/>
      <c r="M4" s="713"/>
      <c r="N4" s="713"/>
      <c r="O4" s="713"/>
      <c r="P4" s="713"/>
      <c r="Q4" s="713"/>
      <c r="R4" s="713"/>
      <c r="S4" s="713"/>
      <c r="T4" s="713"/>
      <c r="U4" s="713"/>
      <c r="V4" s="713"/>
      <c r="W4" s="713"/>
      <c r="X4" s="713"/>
      <c r="Y4" s="713"/>
      <c r="Z4" s="713"/>
      <c r="AA4" s="713"/>
    </row>
    <row r="5" spans="1:27" ht="15.75">
      <c r="A5" s="710" t="s">
        <v>7</v>
      </c>
      <c r="B5" s="710"/>
      <c r="C5" s="710"/>
      <c r="D5" s="710"/>
      <c r="E5" s="710"/>
      <c r="F5" s="710"/>
      <c r="G5" s="710"/>
      <c r="H5" s="710"/>
      <c r="I5" s="710"/>
      <c r="J5" s="710"/>
      <c r="K5" s="710"/>
      <c r="L5" s="710"/>
      <c r="M5" s="710"/>
      <c r="N5" s="710"/>
      <c r="O5" s="710"/>
      <c r="P5" s="710"/>
      <c r="Q5" s="710"/>
      <c r="R5" s="710"/>
      <c r="S5" s="710"/>
      <c r="T5" s="710"/>
      <c r="U5" s="710"/>
      <c r="V5" s="710"/>
      <c r="W5" s="710"/>
      <c r="X5" s="710"/>
      <c r="Y5" s="710"/>
      <c r="Z5" s="710"/>
      <c r="AA5" s="710"/>
    </row>
    <row r="6" spans="1:27">
      <c r="A6" s="365"/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</row>
    <row r="7" spans="1:27">
      <c r="A7" s="365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</row>
    <row r="8" spans="1:27">
      <c r="A8" s="367" t="s">
        <v>2</v>
      </c>
      <c r="B8" s="368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</row>
    <row r="9" spans="1:27">
      <c r="A9" s="365">
        <v>1</v>
      </c>
      <c r="B9" s="369" t="s">
        <v>110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</row>
    <row r="10" spans="1:27">
      <c r="A10" s="370">
        <v>2</v>
      </c>
      <c r="B10" s="366" t="s">
        <v>61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</row>
    <row r="11" spans="1:27" ht="15.75">
      <c r="A11" s="365">
        <v>3</v>
      </c>
      <c r="B11" s="371" t="s">
        <v>96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6"/>
    </row>
    <row r="12" spans="1:27">
      <c r="A12" s="370">
        <v>4</v>
      </c>
      <c r="B12" s="366"/>
      <c r="C12" s="366"/>
      <c r="D12" s="366"/>
      <c r="E12" s="366"/>
      <c r="F12" s="366"/>
      <c r="G12" s="366"/>
      <c r="H12" s="366"/>
      <c r="I12" s="366"/>
      <c r="J12" s="366"/>
      <c r="K12" s="366"/>
      <c r="L12" s="366"/>
      <c r="M12" s="366"/>
      <c r="N12" s="366"/>
    </row>
    <row r="13" spans="1:27">
      <c r="A13" s="365">
        <v>5</v>
      </c>
      <c r="B13" s="372" t="s">
        <v>62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</row>
    <row r="14" spans="1:27" ht="15.75">
      <c r="A14" s="370">
        <v>6</v>
      </c>
      <c r="B14" s="371" t="s">
        <v>254</v>
      </c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</row>
    <row r="15" spans="1:27">
      <c r="A15" s="365">
        <v>7</v>
      </c>
      <c r="B15" s="372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</row>
    <row r="16" spans="1:27" ht="15.75">
      <c r="A16" s="370">
        <v>8</v>
      </c>
      <c r="B16" s="373" t="s">
        <v>97</v>
      </c>
      <c r="C16" s="411">
        <v>2010</v>
      </c>
      <c r="D16" s="690">
        <v>2011</v>
      </c>
      <c r="E16" s="690"/>
      <c r="F16" s="690"/>
      <c r="G16" s="690"/>
      <c r="H16" s="690"/>
      <c r="I16" s="690"/>
      <c r="J16" s="690"/>
      <c r="K16" s="690"/>
      <c r="L16" s="690"/>
      <c r="M16" s="690"/>
      <c r="N16" s="690"/>
      <c r="O16" s="690"/>
      <c r="P16" s="690">
        <v>2012</v>
      </c>
      <c r="Q16" s="690"/>
      <c r="R16" s="690"/>
      <c r="S16" s="690"/>
      <c r="T16" s="690"/>
      <c r="U16" s="690"/>
      <c r="V16" s="690"/>
      <c r="W16" s="690"/>
      <c r="X16" s="690"/>
      <c r="Y16" s="690"/>
      <c r="Z16" s="690"/>
      <c r="AA16" s="690"/>
    </row>
    <row r="17" spans="1:27" ht="21" thickBot="1">
      <c r="A17" s="365">
        <v>9</v>
      </c>
      <c r="B17" s="374" t="s">
        <v>332</v>
      </c>
      <c r="C17" s="409" t="s">
        <v>101</v>
      </c>
      <c r="D17" s="409" t="s">
        <v>100</v>
      </c>
      <c r="E17" s="409" t="s">
        <v>76</v>
      </c>
      <c r="F17" s="409" t="s">
        <v>77</v>
      </c>
      <c r="G17" s="409" t="s">
        <v>78</v>
      </c>
      <c r="H17" s="409" t="s">
        <v>75</v>
      </c>
      <c r="I17" s="409" t="s">
        <v>79</v>
      </c>
      <c r="J17" s="409" t="s">
        <v>80</v>
      </c>
      <c r="K17" s="409" t="s">
        <v>81</v>
      </c>
      <c r="L17" s="409" t="s">
        <v>82</v>
      </c>
      <c r="M17" s="409" t="s">
        <v>83</v>
      </c>
      <c r="N17" s="409" t="s">
        <v>84</v>
      </c>
      <c r="O17" s="409" t="s">
        <v>101</v>
      </c>
      <c r="P17" s="409" t="s">
        <v>100</v>
      </c>
      <c r="Q17" s="409" t="s">
        <v>76</v>
      </c>
      <c r="R17" s="409" t="s">
        <v>77</v>
      </c>
      <c r="S17" s="409" t="s">
        <v>78</v>
      </c>
      <c r="T17" s="409" t="s">
        <v>75</v>
      </c>
      <c r="U17" s="410" t="s">
        <v>79</v>
      </c>
      <c r="V17" s="409" t="s">
        <v>80</v>
      </c>
      <c r="W17" s="409" t="s">
        <v>81</v>
      </c>
      <c r="X17" s="409" t="s">
        <v>82</v>
      </c>
      <c r="Y17" s="409" t="s">
        <v>83</v>
      </c>
      <c r="Z17" s="409" t="s">
        <v>84</v>
      </c>
      <c r="AA17" s="409" t="s">
        <v>101</v>
      </c>
    </row>
    <row r="18" spans="1:27" ht="29.25" thickTop="1">
      <c r="A18" s="370">
        <v>10</v>
      </c>
      <c r="B18" s="376" t="s">
        <v>255</v>
      </c>
      <c r="C18" s="377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6"/>
      <c r="O18" s="377"/>
      <c r="P18" s="377"/>
      <c r="Q18" s="366"/>
      <c r="R18" s="366"/>
      <c r="S18" s="366"/>
      <c r="T18" s="366"/>
      <c r="U18" s="366"/>
      <c r="V18" s="366"/>
      <c r="W18" s="366"/>
      <c r="X18" s="366"/>
      <c r="Y18" s="366"/>
      <c r="Z18" s="366"/>
      <c r="AA18" s="366"/>
    </row>
    <row r="19" spans="1:27">
      <c r="A19" s="378">
        <v>11</v>
      </c>
      <c r="B19" s="379" t="s">
        <v>146</v>
      </c>
      <c r="C19" s="380">
        <f>'Eldorado Ivanpah CWIP Balance'!E15+'Def Tax'!F597</f>
        <v>8819.8372099999997</v>
      </c>
      <c r="D19" s="381">
        <f>C20</f>
        <v>9551.034974749542</v>
      </c>
      <c r="E19" s="381">
        <f>D20</f>
        <v>9804.0196114196278</v>
      </c>
      <c r="F19" s="381">
        <f t="shared" ref="F19:H19" si="0">E20</f>
        <v>10464.606254723325</v>
      </c>
      <c r="G19" s="381">
        <f t="shared" si="0"/>
        <v>11241.015805724946</v>
      </c>
      <c r="H19" s="381">
        <f t="shared" si="0"/>
        <v>13001.505113713298</v>
      </c>
      <c r="I19" s="381">
        <f t="shared" ref="I19:O19" si="1">IF(I20=0,0,H20)</f>
        <v>13732.166911737466</v>
      </c>
      <c r="J19" s="381">
        <f t="shared" si="1"/>
        <v>14760.384451946233</v>
      </c>
      <c r="K19" s="381">
        <f t="shared" si="1"/>
        <v>15790.510532539245</v>
      </c>
      <c r="L19" s="381">
        <f t="shared" si="1"/>
        <v>17342.562663443659</v>
      </c>
      <c r="M19" s="381">
        <f t="shared" si="1"/>
        <v>18839.29730996957</v>
      </c>
      <c r="N19" s="381">
        <f t="shared" si="1"/>
        <v>24213.112649082028</v>
      </c>
      <c r="O19" s="381">
        <f t="shared" si="1"/>
        <v>21359.541827650944</v>
      </c>
      <c r="P19" s="380">
        <v>0</v>
      </c>
      <c r="Q19" s="381">
        <f>O20</f>
        <v>31007.777867650944</v>
      </c>
      <c r="R19" s="381">
        <f>Q20</f>
        <v>0</v>
      </c>
      <c r="S19" s="381">
        <f t="shared" ref="S19" si="2">R20</f>
        <v>0</v>
      </c>
      <c r="T19" s="381">
        <f t="shared" ref="T19" si="3">S20</f>
        <v>0</v>
      </c>
      <c r="U19" s="381">
        <f t="shared" ref="U19" si="4">T20</f>
        <v>0</v>
      </c>
      <c r="V19" s="381">
        <f t="shared" ref="V19" si="5">U20</f>
        <v>0</v>
      </c>
      <c r="W19" s="381">
        <f t="shared" ref="W19" si="6">V20</f>
        <v>0</v>
      </c>
      <c r="X19" s="381">
        <f t="shared" ref="X19" si="7">W20</f>
        <v>0</v>
      </c>
      <c r="Y19" s="381">
        <f t="shared" ref="Y19" si="8">X20</f>
        <v>0</v>
      </c>
      <c r="Z19" s="381">
        <f t="shared" ref="Z19" si="9">Y20</f>
        <v>0</v>
      </c>
      <c r="AA19" s="380" t="e">
        <f>'Eldorado Ivanpah CWIP Balance'!P16+'Def Tax'!#REF!</f>
        <v>#REF!</v>
      </c>
    </row>
    <row r="20" spans="1:27">
      <c r="A20" s="382">
        <v>12</v>
      </c>
      <c r="B20" s="379" t="s">
        <v>147</v>
      </c>
      <c r="C20" s="383">
        <f>'Eldorado Ivanpah CWIP Balance'!E16+'Def Tax'!F598</f>
        <v>9551.034974749542</v>
      </c>
      <c r="D20" s="383">
        <f>'Eldorado Ivanpah CWIP Balance'!E17+'Def Tax'!F599</f>
        <v>9804.0196114196278</v>
      </c>
      <c r="E20" s="383">
        <f>'Eldorado Ivanpah CWIP Balance'!E18+'Def Tax'!F600</f>
        <v>10464.606254723325</v>
      </c>
      <c r="F20" s="383">
        <f>'Eldorado Ivanpah CWIP Balance'!E19+'Def Tax'!F601</f>
        <v>11241.015805724946</v>
      </c>
      <c r="G20" s="383">
        <f>'Eldorado Ivanpah CWIP Balance'!E20+'Def Tax'!F602</f>
        <v>13001.505113713298</v>
      </c>
      <c r="H20" s="383">
        <f>'Eldorado Ivanpah CWIP Balance'!E21+'Def Tax'!F603</f>
        <v>13732.166911737466</v>
      </c>
      <c r="I20" s="383">
        <f>'Eldorado Ivanpah CWIP Balance'!E22+'Def Tax'!F604</f>
        <v>14760.384451946233</v>
      </c>
      <c r="J20" s="383">
        <f>'Eldorado Ivanpah CWIP Balance'!E23+'Def Tax'!F605</f>
        <v>15790.510532539245</v>
      </c>
      <c r="K20" s="383">
        <f>'Eldorado Ivanpah CWIP Balance'!E24+'Def Tax'!F606</f>
        <v>17342.562663443659</v>
      </c>
      <c r="L20" s="383">
        <f>'Eldorado Ivanpah CWIP Balance'!E25+'Def Tax'!F607</f>
        <v>18839.29730996957</v>
      </c>
      <c r="M20" s="383">
        <f>'Eldorado Ivanpah CWIP Balance'!E26+'Def Tax'!F608</f>
        <v>24213.112649082028</v>
      </c>
      <c r="N20" s="383">
        <f>'Eldorado Ivanpah CWIP Balance'!E27+'Def Tax'!F609</f>
        <v>21359.541827650944</v>
      </c>
      <c r="O20" s="383">
        <f>'Eldorado Ivanpah CWIP Balance'!E28+'Def Tax'!F610</f>
        <v>31007.777867650944</v>
      </c>
      <c r="P20" s="383">
        <v>0</v>
      </c>
      <c r="Q20" s="383">
        <v>0</v>
      </c>
      <c r="R20" s="383">
        <v>0</v>
      </c>
      <c r="S20" s="383">
        <v>0</v>
      </c>
      <c r="T20" s="383">
        <v>0</v>
      </c>
      <c r="U20" s="383">
        <v>0</v>
      </c>
      <c r="V20" s="383">
        <v>0</v>
      </c>
      <c r="W20" s="383">
        <v>0</v>
      </c>
      <c r="X20" s="383">
        <v>0</v>
      </c>
      <c r="Y20" s="383">
        <v>0</v>
      </c>
      <c r="Z20" s="383">
        <v>0</v>
      </c>
      <c r="AA20" s="383">
        <f>'Eldorado Ivanpah CWIP Balance'!P17+'Def Tax'!R599</f>
        <v>0</v>
      </c>
    </row>
    <row r="21" spans="1:27">
      <c r="A21" s="378">
        <v>13</v>
      </c>
      <c r="B21" s="379" t="s">
        <v>12</v>
      </c>
      <c r="C21" s="489">
        <f>SUM(C19:C20)</f>
        <v>18370.87218474954</v>
      </c>
      <c r="D21" s="489">
        <f>SUM(D19:D20)</f>
        <v>19355.054586169172</v>
      </c>
      <c r="E21" s="489">
        <f t="shared" ref="E21:N21" si="10">SUM(E19:E20)</f>
        <v>20268.625866142953</v>
      </c>
      <c r="F21" s="489">
        <f t="shared" si="10"/>
        <v>21705.622060448273</v>
      </c>
      <c r="G21" s="489">
        <f t="shared" si="10"/>
        <v>24242.520919438244</v>
      </c>
      <c r="H21" s="489">
        <f t="shared" si="10"/>
        <v>26733.672025450764</v>
      </c>
      <c r="I21" s="489">
        <f t="shared" si="10"/>
        <v>28492.551363683699</v>
      </c>
      <c r="J21" s="489">
        <f t="shared" si="10"/>
        <v>30550.89498448548</v>
      </c>
      <c r="K21" s="489">
        <f t="shared" si="10"/>
        <v>33133.073195982906</v>
      </c>
      <c r="L21" s="489">
        <f t="shared" si="10"/>
        <v>36181.859973413229</v>
      </c>
      <c r="M21" s="489">
        <f t="shared" si="10"/>
        <v>43052.409959051598</v>
      </c>
      <c r="N21" s="489">
        <f t="shared" si="10"/>
        <v>45572.654476732976</v>
      </c>
      <c r="O21" s="489">
        <f>SUM(O19:O20)</f>
        <v>52367.319695301892</v>
      </c>
      <c r="P21" s="412">
        <f>SUM(P19:P20)</f>
        <v>0</v>
      </c>
      <c r="Q21" s="412">
        <f>SUM(Q19:Q20)</f>
        <v>31007.777867650944</v>
      </c>
      <c r="R21" s="412">
        <f t="shared" ref="R21:AA21" si="11">SUM(R19:R20)</f>
        <v>0</v>
      </c>
      <c r="S21" s="412">
        <f t="shared" si="11"/>
        <v>0</v>
      </c>
      <c r="T21" s="412">
        <f t="shared" si="11"/>
        <v>0</v>
      </c>
      <c r="U21" s="412">
        <f t="shared" si="11"/>
        <v>0</v>
      </c>
      <c r="V21" s="412">
        <f t="shared" si="11"/>
        <v>0</v>
      </c>
      <c r="W21" s="412">
        <f t="shared" si="11"/>
        <v>0</v>
      </c>
      <c r="X21" s="412">
        <f t="shared" si="11"/>
        <v>0</v>
      </c>
      <c r="Y21" s="412">
        <f t="shared" si="11"/>
        <v>0</v>
      </c>
      <c r="Z21" s="412">
        <f t="shared" si="11"/>
        <v>0</v>
      </c>
      <c r="AA21" s="412" t="e">
        <f t="shared" si="11"/>
        <v>#REF!</v>
      </c>
    </row>
    <row r="22" spans="1:27">
      <c r="A22" s="370">
        <v>14</v>
      </c>
      <c r="B22" s="503" t="s">
        <v>13</v>
      </c>
      <c r="C22" s="497">
        <f>C21/2</f>
        <v>9185.4360923747699</v>
      </c>
      <c r="D22" s="497">
        <f>D21/2</f>
        <v>9677.5272930845858</v>
      </c>
      <c r="E22" s="497">
        <f t="shared" ref="E22:N22" si="12">E21/2</f>
        <v>10134.312933071476</v>
      </c>
      <c r="F22" s="497">
        <f t="shared" si="12"/>
        <v>10852.811030224137</v>
      </c>
      <c r="G22" s="497">
        <f t="shared" si="12"/>
        <v>12121.260459719122</v>
      </c>
      <c r="H22" s="497">
        <f t="shared" si="12"/>
        <v>13366.836012725382</v>
      </c>
      <c r="I22" s="497">
        <f t="shared" si="12"/>
        <v>14246.275681841849</v>
      </c>
      <c r="J22" s="497">
        <f t="shared" si="12"/>
        <v>15275.44749224274</v>
      </c>
      <c r="K22" s="497">
        <f t="shared" si="12"/>
        <v>16566.536597991453</v>
      </c>
      <c r="L22" s="497">
        <f t="shared" si="12"/>
        <v>18090.929986706615</v>
      </c>
      <c r="M22" s="497">
        <f t="shared" si="12"/>
        <v>21526.204979525799</v>
      </c>
      <c r="N22" s="497">
        <f t="shared" si="12"/>
        <v>22786.327238366488</v>
      </c>
      <c r="O22" s="497">
        <f>O21/2</f>
        <v>26183.659847650946</v>
      </c>
      <c r="P22" s="414">
        <f>P21/2</f>
        <v>0</v>
      </c>
      <c r="Q22" s="414">
        <f>Q21/2</f>
        <v>15503.888933825472</v>
      </c>
      <c r="R22" s="414">
        <f t="shared" ref="R22:AA22" si="13">R21/2</f>
        <v>0</v>
      </c>
      <c r="S22" s="414">
        <f t="shared" si="13"/>
        <v>0</v>
      </c>
      <c r="T22" s="414">
        <f t="shared" si="13"/>
        <v>0</v>
      </c>
      <c r="U22" s="414">
        <f t="shared" si="13"/>
        <v>0</v>
      </c>
      <c r="V22" s="414">
        <f t="shared" si="13"/>
        <v>0</v>
      </c>
      <c r="W22" s="414">
        <f t="shared" si="13"/>
        <v>0</v>
      </c>
      <c r="X22" s="414">
        <f t="shared" si="13"/>
        <v>0</v>
      </c>
      <c r="Y22" s="414">
        <f t="shared" si="13"/>
        <v>0</v>
      </c>
      <c r="Z22" s="414">
        <f t="shared" si="13"/>
        <v>0</v>
      </c>
      <c r="AA22" s="414" t="e">
        <f t="shared" si="13"/>
        <v>#REF!</v>
      </c>
    </row>
    <row r="23" spans="1:27">
      <c r="A23" s="365">
        <v>15</v>
      </c>
      <c r="B23" s="384"/>
      <c r="C23" s="585"/>
      <c r="D23" s="490"/>
      <c r="E23" s="490"/>
      <c r="F23" s="490"/>
      <c r="G23" s="490"/>
      <c r="H23" s="490"/>
      <c r="I23" s="490"/>
      <c r="J23" s="490"/>
      <c r="K23" s="490"/>
      <c r="L23" s="490"/>
      <c r="M23" s="490"/>
      <c r="N23" s="490"/>
      <c r="O23" s="490"/>
      <c r="P23" s="366"/>
      <c r="Q23" s="366"/>
      <c r="R23" s="366"/>
      <c r="S23" s="366"/>
      <c r="T23" s="366"/>
      <c r="U23" s="366"/>
      <c r="V23" s="366"/>
      <c r="W23" s="366"/>
      <c r="X23" s="366"/>
      <c r="Y23" s="366"/>
      <c r="Z23" s="366"/>
      <c r="AA23" s="366"/>
    </row>
    <row r="24" spans="1:27" ht="28.5">
      <c r="A24" s="370">
        <v>16</v>
      </c>
      <c r="B24" s="376" t="s">
        <v>256</v>
      </c>
      <c r="C24" s="490"/>
      <c r="D24" s="490"/>
      <c r="E24" s="490"/>
      <c r="F24" s="490"/>
      <c r="G24" s="490"/>
      <c r="H24" s="490"/>
      <c r="I24" s="490"/>
      <c r="J24" s="490"/>
      <c r="K24" s="490"/>
      <c r="L24" s="490"/>
      <c r="M24" s="490"/>
      <c r="N24" s="490"/>
      <c r="O24" s="490"/>
      <c r="P24" s="366"/>
      <c r="Q24" s="366"/>
      <c r="R24" s="366"/>
      <c r="S24" s="366"/>
      <c r="T24" s="366"/>
      <c r="U24" s="366"/>
      <c r="V24" s="366"/>
      <c r="W24" s="366"/>
      <c r="X24" s="366"/>
      <c r="Y24" s="366"/>
      <c r="Z24" s="366"/>
      <c r="AA24" s="366"/>
    </row>
    <row r="25" spans="1:27">
      <c r="A25" s="378">
        <v>17</v>
      </c>
      <c r="B25" s="385" t="s">
        <v>47</v>
      </c>
      <c r="C25" s="386">
        <f>'Cost of Capital'!D91</f>
        <v>8.4279999999999994E-2</v>
      </c>
      <c r="D25" s="386">
        <f>'Cost of Capital'!D144</f>
        <v>8.3139999999999992E-2</v>
      </c>
      <c r="E25" s="386">
        <f>$D$25</f>
        <v>8.3139999999999992E-2</v>
      </c>
      <c r="F25" s="386">
        <f t="shared" ref="F25:O25" si="14">$D$25</f>
        <v>8.3139999999999992E-2</v>
      </c>
      <c r="G25" s="386">
        <f t="shared" si="14"/>
        <v>8.3139999999999992E-2</v>
      </c>
      <c r="H25" s="386">
        <f t="shared" si="14"/>
        <v>8.3139999999999992E-2</v>
      </c>
      <c r="I25" s="386">
        <f t="shared" si="14"/>
        <v>8.3139999999999992E-2</v>
      </c>
      <c r="J25" s="386">
        <f t="shared" si="14"/>
        <v>8.3139999999999992E-2</v>
      </c>
      <c r="K25" s="386">
        <f t="shared" si="14"/>
        <v>8.3139999999999992E-2</v>
      </c>
      <c r="L25" s="386">
        <f t="shared" si="14"/>
        <v>8.3139999999999992E-2</v>
      </c>
      <c r="M25" s="386">
        <f t="shared" si="14"/>
        <v>8.3139999999999992E-2</v>
      </c>
      <c r="N25" s="386">
        <f t="shared" si="14"/>
        <v>8.3139999999999992E-2</v>
      </c>
      <c r="O25" s="386">
        <f t="shared" si="14"/>
        <v>8.3139999999999992E-2</v>
      </c>
      <c r="P25" s="386">
        <f t="shared" ref="P25" si="15">$C$25</f>
        <v>8.4279999999999994E-2</v>
      </c>
      <c r="Q25" s="386">
        <f>$C$25</f>
        <v>8.4279999999999994E-2</v>
      </c>
      <c r="R25" s="386">
        <f t="shared" ref="R25:AA25" si="16">$C$25</f>
        <v>8.4279999999999994E-2</v>
      </c>
      <c r="S25" s="386">
        <f t="shared" si="16"/>
        <v>8.4279999999999994E-2</v>
      </c>
      <c r="T25" s="386">
        <f t="shared" si="16"/>
        <v>8.4279999999999994E-2</v>
      </c>
      <c r="U25" s="386">
        <f t="shared" si="16"/>
        <v>8.4279999999999994E-2</v>
      </c>
      <c r="V25" s="386">
        <f t="shared" si="16"/>
        <v>8.4279999999999994E-2</v>
      </c>
      <c r="W25" s="386">
        <f t="shared" si="16"/>
        <v>8.4279999999999994E-2</v>
      </c>
      <c r="X25" s="386">
        <f t="shared" si="16"/>
        <v>8.4279999999999994E-2</v>
      </c>
      <c r="Y25" s="386">
        <f t="shared" si="16"/>
        <v>8.4279999999999994E-2</v>
      </c>
      <c r="Z25" s="386">
        <f t="shared" si="16"/>
        <v>8.4279999999999994E-2</v>
      </c>
      <c r="AA25" s="386">
        <f t="shared" si="16"/>
        <v>8.4279999999999994E-2</v>
      </c>
    </row>
    <row r="26" spans="1:27">
      <c r="A26" s="370">
        <v>18</v>
      </c>
      <c r="B26" s="503" t="s">
        <v>48</v>
      </c>
      <c r="C26" s="478">
        <f>'Cost of Capital'!D92</f>
        <v>7.0233333333333328E-3</v>
      </c>
      <c r="D26" s="478">
        <f>'Cost of Capital'!D145</f>
        <v>6.9283333333333324E-3</v>
      </c>
      <c r="E26" s="478">
        <f>$D$26</f>
        <v>6.9283333333333324E-3</v>
      </c>
      <c r="F26" s="478">
        <f t="shared" ref="F26:O26" si="17">$D$26</f>
        <v>6.9283333333333324E-3</v>
      </c>
      <c r="G26" s="478">
        <f t="shared" si="17"/>
        <v>6.9283333333333324E-3</v>
      </c>
      <c r="H26" s="478">
        <f t="shared" si="17"/>
        <v>6.9283333333333324E-3</v>
      </c>
      <c r="I26" s="478">
        <f t="shared" si="17"/>
        <v>6.9283333333333324E-3</v>
      </c>
      <c r="J26" s="478">
        <f t="shared" si="17"/>
        <v>6.9283333333333324E-3</v>
      </c>
      <c r="K26" s="478">
        <f t="shared" si="17"/>
        <v>6.9283333333333324E-3</v>
      </c>
      <c r="L26" s="478">
        <f t="shared" si="17"/>
        <v>6.9283333333333324E-3</v>
      </c>
      <c r="M26" s="478">
        <f t="shared" si="17"/>
        <v>6.9283333333333324E-3</v>
      </c>
      <c r="N26" s="478">
        <f t="shared" si="17"/>
        <v>6.9283333333333324E-3</v>
      </c>
      <c r="O26" s="478">
        <f t="shared" si="17"/>
        <v>6.9283333333333324E-3</v>
      </c>
      <c r="P26" s="387">
        <f t="shared" ref="P26" si="18">$C$26</f>
        <v>7.0233333333333328E-3</v>
      </c>
      <c r="Q26" s="387">
        <f>$C$26</f>
        <v>7.0233333333333328E-3</v>
      </c>
      <c r="R26" s="387">
        <f t="shared" ref="R26:AA26" si="19">$C$26</f>
        <v>7.0233333333333328E-3</v>
      </c>
      <c r="S26" s="387">
        <f t="shared" si="19"/>
        <v>7.0233333333333328E-3</v>
      </c>
      <c r="T26" s="387">
        <f t="shared" si="19"/>
        <v>7.0233333333333328E-3</v>
      </c>
      <c r="U26" s="387">
        <f t="shared" si="19"/>
        <v>7.0233333333333328E-3</v>
      </c>
      <c r="V26" s="387">
        <f t="shared" si="19"/>
        <v>7.0233333333333328E-3</v>
      </c>
      <c r="W26" s="387">
        <f t="shared" si="19"/>
        <v>7.0233333333333328E-3</v>
      </c>
      <c r="X26" s="387">
        <f t="shared" si="19"/>
        <v>7.0233333333333328E-3</v>
      </c>
      <c r="Y26" s="387">
        <f t="shared" si="19"/>
        <v>7.0233333333333328E-3</v>
      </c>
      <c r="Z26" s="387">
        <f t="shared" si="19"/>
        <v>7.0233333333333328E-3</v>
      </c>
      <c r="AA26" s="387">
        <f t="shared" si="19"/>
        <v>7.0233333333333328E-3</v>
      </c>
    </row>
    <row r="27" spans="1:27">
      <c r="A27" s="365">
        <v>19</v>
      </c>
      <c r="B27" s="384"/>
      <c r="C27" s="490"/>
      <c r="D27" s="490"/>
      <c r="E27" s="490"/>
      <c r="F27" s="490"/>
      <c r="G27" s="490"/>
      <c r="H27" s="490"/>
      <c r="I27" s="490"/>
      <c r="J27" s="490"/>
      <c r="K27" s="490"/>
      <c r="L27" s="490"/>
      <c r="M27" s="490"/>
      <c r="N27" s="490"/>
      <c r="O27" s="490"/>
      <c r="P27" s="366"/>
      <c r="Q27" s="366"/>
      <c r="R27" s="366"/>
      <c r="S27" s="366"/>
      <c r="T27" s="366"/>
      <c r="U27" s="366"/>
      <c r="V27" s="366"/>
      <c r="W27" s="366"/>
      <c r="X27" s="366"/>
      <c r="Y27" s="366"/>
      <c r="Z27" s="366"/>
      <c r="AA27" s="366"/>
    </row>
    <row r="28" spans="1:27" ht="15.75">
      <c r="A28" s="370">
        <v>20</v>
      </c>
      <c r="B28" s="388" t="s">
        <v>257</v>
      </c>
      <c r="C28" s="490"/>
      <c r="D28" s="490"/>
      <c r="E28" s="490"/>
      <c r="F28" s="490"/>
      <c r="G28" s="490"/>
      <c r="H28" s="490"/>
      <c r="I28" s="490"/>
      <c r="J28" s="490"/>
      <c r="K28" s="490"/>
      <c r="L28" s="490"/>
      <c r="M28" s="490"/>
      <c r="N28" s="490"/>
      <c r="O28" s="490"/>
      <c r="P28" s="366"/>
      <c r="Q28" s="366"/>
      <c r="R28" s="366"/>
      <c r="S28" s="366"/>
      <c r="T28" s="366"/>
      <c r="U28" s="366"/>
      <c r="V28" s="366"/>
      <c r="W28" s="366"/>
      <c r="X28" s="366"/>
      <c r="Y28" s="366"/>
      <c r="Z28" s="366"/>
      <c r="AA28" s="366"/>
    </row>
    <row r="29" spans="1:27">
      <c r="A29" s="365">
        <v>21</v>
      </c>
      <c r="B29" s="389" t="s">
        <v>91</v>
      </c>
      <c r="C29" s="490"/>
      <c r="D29" s="490"/>
      <c r="E29" s="490"/>
      <c r="F29" s="490"/>
      <c r="G29" s="490"/>
      <c r="H29" s="490"/>
      <c r="I29" s="490"/>
      <c r="J29" s="490"/>
      <c r="K29" s="490"/>
      <c r="L29" s="490"/>
      <c r="M29" s="490"/>
      <c r="N29" s="490"/>
      <c r="O29" s="490"/>
      <c r="P29" s="366"/>
      <c r="Q29" s="366"/>
      <c r="R29" s="366"/>
      <c r="S29" s="366"/>
      <c r="T29" s="366"/>
      <c r="U29" s="366"/>
      <c r="V29" s="366"/>
      <c r="W29" s="366"/>
      <c r="X29" s="366"/>
      <c r="Y29" s="366"/>
      <c r="Z29" s="366"/>
      <c r="AA29" s="366"/>
    </row>
    <row r="30" spans="1:27">
      <c r="A30" s="370">
        <v>22</v>
      </c>
      <c r="B30" s="390" t="s">
        <v>15</v>
      </c>
      <c r="C30" s="490"/>
      <c r="D30" s="490"/>
      <c r="E30" s="490"/>
      <c r="F30" s="490"/>
      <c r="G30" s="490"/>
      <c r="H30" s="490"/>
      <c r="I30" s="490"/>
      <c r="J30" s="490"/>
      <c r="K30" s="490"/>
      <c r="L30" s="490"/>
      <c r="M30" s="490"/>
      <c r="N30" s="490"/>
      <c r="O30" s="490"/>
      <c r="P30" s="366"/>
      <c r="Q30" s="366"/>
      <c r="R30" s="366"/>
      <c r="S30" s="366"/>
      <c r="T30" s="366"/>
      <c r="U30" s="366"/>
      <c r="V30" s="366"/>
      <c r="W30" s="366"/>
      <c r="X30" s="366"/>
      <c r="Y30" s="366"/>
      <c r="Z30" s="366"/>
      <c r="AA30" s="366"/>
    </row>
    <row r="31" spans="1:27" ht="25.5">
      <c r="A31" s="365">
        <v>23</v>
      </c>
      <c r="B31" s="391" t="s">
        <v>92</v>
      </c>
      <c r="C31" s="490"/>
      <c r="D31" s="490"/>
      <c r="E31" s="490"/>
      <c r="F31" s="490"/>
      <c r="G31" s="490"/>
      <c r="H31" s="490"/>
      <c r="I31" s="490"/>
      <c r="J31" s="490"/>
      <c r="K31" s="490"/>
      <c r="L31" s="490"/>
      <c r="M31" s="490"/>
      <c r="N31" s="490"/>
      <c r="O31" s="490"/>
      <c r="P31" s="366"/>
      <c r="Q31" s="366"/>
      <c r="R31" s="366"/>
      <c r="S31" s="366"/>
      <c r="T31" s="366"/>
      <c r="U31" s="366"/>
      <c r="V31" s="366"/>
      <c r="W31" s="366"/>
      <c r="X31" s="366"/>
      <c r="Y31" s="366"/>
      <c r="Z31" s="366"/>
      <c r="AA31" s="366"/>
    </row>
    <row r="32" spans="1:27" ht="25.5">
      <c r="A32" s="370">
        <v>24</v>
      </c>
      <c r="B32" s="392" t="s">
        <v>19</v>
      </c>
      <c r="C32" s="490"/>
      <c r="D32" s="490"/>
      <c r="E32" s="490"/>
      <c r="F32" s="490"/>
      <c r="G32" s="490"/>
      <c r="H32" s="490"/>
      <c r="I32" s="490"/>
      <c r="J32" s="490"/>
      <c r="K32" s="490"/>
      <c r="L32" s="490"/>
      <c r="M32" s="490"/>
      <c r="N32" s="490"/>
      <c r="O32" s="490"/>
      <c r="P32" s="366"/>
      <c r="Q32" s="366"/>
      <c r="R32" s="366"/>
      <c r="S32" s="366"/>
      <c r="T32" s="366"/>
      <c r="U32" s="366"/>
      <c r="V32" s="366"/>
      <c r="W32" s="366"/>
      <c r="X32" s="366"/>
      <c r="Y32" s="366"/>
      <c r="Z32" s="366"/>
      <c r="AA32" s="366"/>
    </row>
    <row r="33" spans="1:27">
      <c r="A33" s="378">
        <v>25</v>
      </c>
      <c r="B33" s="379" t="s">
        <v>20</v>
      </c>
      <c r="C33" s="393">
        <f>'Cost of Capital'!D88</f>
        <v>2.6700000000000002E-2</v>
      </c>
      <c r="D33" s="393">
        <f>'Cost of Capital'!D141</f>
        <v>2.58E-2</v>
      </c>
      <c r="E33" s="393">
        <f>$D$33</f>
        <v>2.58E-2</v>
      </c>
      <c r="F33" s="393">
        <f>$D$33</f>
        <v>2.58E-2</v>
      </c>
      <c r="G33" s="393">
        <f t="shared" ref="G33:O33" si="20">$D$33</f>
        <v>2.58E-2</v>
      </c>
      <c r="H33" s="393">
        <f t="shared" si="20"/>
        <v>2.58E-2</v>
      </c>
      <c r="I33" s="393">
        <f t="shared" si="20"/>
        <v>2.58E-2</v>
      </c>
      <c r="J33" s="393">
        <f t="shared" si="20"/>
        <v>2.58E-2</v>
      </c>
      <c r="K33" s="393">
        <f t="shared" si="20"/>
        <v>2.58E-2</v>
      </c>
      <c r="L33" s="393">
        <f t="shared" si="20"/>
        <v>2.58E-2</v>
      </c>
      <c r="M33" s="393">
        <f t="shared" si="20"/>
        <v>2.58E-2</v>
      </c>
      <c r="N33" s="393">
        <f t="shared" si="20"/>
        <v>2.58E-2</v>
      </c>
      <c r="O33" s="393">
        <f t="shared" si="20"/>
        <v>2.58E-2</v>
      </c>
      <c r="P33" s="393">
        <f t="shared" ref="P33" si="21">$C$33</f>
        <v>2.6700000000000002E-2</v>
      </c>
      <c r="Q33" s="393">
        <f>$C$33</f>
        <v>2.6700000000000002E-2</v>
      </c>
      <c r="R33" s="393">
        <f t="shared" ref="R33:AA33" si="22">$C$33</f>
        <v>2.6700000000000002E-2</v>
      </c>
      <c r="S33" s="393">
        <f t="shared" si="22"/>
        <v>2.6700000000000002E-2</v>
      </c>
      <c r="T33" s="393">
        <f t="shared" si="22"/>
        <v>2.6700000000000002E-2</v>
      </c>
      <c r="U33" s="393">
        <f t="shared" si="22"/>
        <v>2.6700000000000002E-2</v>
      </c>
      <c r="V33" s="393">
        <f t="shared" si="22"/>
        <v>2.6700000000000002E-2</v>
      </c>
      <c r="W33" s="393">
        <f t="shared" si="22"/>
        <v>2.6700000000000002E-2</v>
      </c>
      <c r="X33" s="393">
        <f t="shared" si="22"/>
        <v>2.6700000000000002E-2</v>
      </c>
      <c r="Y33" s="393">
        <f t="shared" si="22"/>
        <v>2.6700000000000002E-2</v>
      </c>
      <c r="Z33" s="393">
        <f t="shared" si="22"/>
        <v>2.6700000000000002E-2</v>
      </c>
      <c r="AA33" s="393">
        <f t="shared" si="22"/>
        <v>2.6700000000000002E-2</v>
      </c>
    </row>
    <row r="34" spans="1:27">
      <c r="A34" s="370">
        <v>26</v>
      </c>
      <c r="B34" s="379" t="s">
        <v>21</v>
      </c>
      <c r="C34" s="498">
        <f>C33/12</f>
        <v>2.225E-3</v>
      </c>
      <c r="D34" s="498">
        <f>D33/12</f>
        <v>2.15E-3</v>
      </c>
      <c r="E34" s="498">
        <f t="shared" ref="E34:P34" si="23">E33/12</f>
        <v>2.15E-3</v>
      </c>
      <c r="F34" s="498">
        <f t="shared" si="23"/>
        <v>2.15E-3</v>
      </c>
      <c r="G34" s="498">
        <f t="shared" si="23"/>
        <v>2.15E-3</v>
      </c>
      <c r="H34" s="498">
        <f t="shared" si="23"/>
        <v>2.15E-3</v>
      </c>
      <c r="I34" s="498">
        <f t="shared" si="23"/>
        <v>2.15E-3</v>
      </c>
      <c r="J34" s="498">
        <f t="shared" si="23"/>
        <v>2.15E-3</v>
      </c>
      <c r="K34" s="498">
        <f t="shared" si="23"/>
        <v>2.15E-3</v>
      </c>
      <c r="L34" s="498">
        <f t="shared" si="23"/>
        <v>2.15E-3</v>
      </c>
      <c r="M34" s="498">
        <f t="shared" si="23"/>
        <v>2.15E-3</v>
      </c>
      <c r="N34" s="498">
        <f t="shared" si="23"/>
        <v>2.15E-3</v>
      </c>
      <c r="O34" s="498">
        <f>O33/12</f>
        <v>2.15E-3</v>
      </c>
      <c r="P34" s="413">
        <f t="shared" si="23"/>
        <v>2.225E-3</v>
      </c>
      <c r="Q34" s="413">
        <f>Q33/12</f>
        <v>2.225E-3</v>
      </c>
      <c r="R34" s="413">
        <f t="shared" ref="R34:AA34" si="24">R33/12</f>
        <v>2.225E-3</v>
      </c>
      <c r="S34" s="413">
        <f t="shared" si="24"/>
        <v>2.225E-3</v>
      </c>
      <c r="T34" s="413">
        <f t="shared" si="24"/>
        <v>2.225E-3</v>
      </c>
      <c r="U34" s="413">
        <f t="shared" si="24"/>
        <v>2.225E-3</v>
      </c>
      <c r="V34" s="413">
        <f t="shared" si="24"/>
        <v>2.225E-3</v>
      </c>
      <c r="W34" s="413">
        <f t="shared" si="24"/>
        <v>2.225E-3</v>
      </c>
      <c r="X34" s="413">
        <f t="shared" si="24"/>
        <v>2.225E-3</v>
      </c>
      <c r="Y34" s="413">
        <f t="shared" si="24"/>
        <v>2.225E-3</v>
      </c>
      <c r="Z34" s="413">
        <f t="shared" si="24"/>
        <v>2.225E-3</v>
      </c>
      <c r="AA34" s="413">
        <f t="shared" si="24"/>
        <v>2.225E-3</v>
      </c>
    </row>
    <row r="35" spans="1:27" ht="25.5">
      <c r="A35" s="365">
        <v>27</v>
      </c>
      <c r="B35" s="392" t="s">
        <v>22</v>
      </c>
      <c r="C35" s="490"/>
      <c r="D35" s="490"/>
      <c r="E35" s="490"/>
      <c r="F35" s="490"/>
      <c r="G35" s="490"/>
      <c r="H35" s="490"/>
      <c r="I35" s="490"/>
      <c r="J35" s="490"/>
      <c r="K35" s="490"/>
      <c r="L35" s="490"/>
      <c r="M35" s="490"/>
      <c r="N35" s="490"/>
      <c r="O35" s="490"/>
      <c r="P35" s="366"/>
      <c r="Q35" s="366"/>
      <c r="R35" s="366"/>
      <c r="S35" s="366"/>
      <c r="T35" s="366"/>
      <c r="U35" s="366"/>
      <c r="V35" s="366"/>
      <c r="W35" s="366"/>
      <c r="X35" s="366"/>
      <c r="Y35" s="366"/>
      <c r="Z35" s="366"/>
      <c r="AA35" s="366"/>
    </row>
    <row r="36" spans="1:27">
      <c r="A36" s="370">
        <v>28</v>
      </c>
      <c r="B36" s="379" t="s">
        <v>18</v>
      </c>
      <c r="C36" s="499">
        <f>'Def Tax'!E575</f>
        <v>45.936652135416665</v>
      </c>
      <c r="D36" s="499">
        <f>'Def Tax'!E578</f>
        <v>49.886803240288629</v>
      </c>
      <c r="E36" s="499">
        <f>'Def Tax'!E579</f>
        <v>51.367226225915125</v>
      </c>
      <c r="F36" s="499">
        <f>'Def Tax'!E580</f>
        <v>54.984490268758435</v>
      </c>
      <c r="G36" s="499">
        <f>'Def Tax'!E581</f>
        <v>59.227164905574888</v>
      </c>
      <c r="H36" s="499">
        <f>'Def Tax'!E582</f>
        <v>68.621073108208094</v>
      </c>
      <c r="I36" s="499">
        <f>'Def Tax'!E583</f>
        <v>72.699068280646671</v>
      </c>
      <c r="J36" s="499">
        <f>'Def Tax'!E584</f>
        <v>78.355879782108374</v>
      </c>
      <c r="K36" s="499">
        <f>'Def Tax'!E585</f>
        <v>84.05994774972352</v>
      </c>
      <c r="L36" s="499">
        <f>'Def Tax'!E586</f>
        <v>92.521909925503337</v>
      </c>
      <c r="M36" s="499">
        <f>'Def Tax'!E587</f>
        <v>100.75020784178201</v>
      </c>
      <c r="N36" s="499">
        <f>'Def Tax'!E588</f>
        <v>129.22794017429129</v>
      </c>
      <c r="O36" s="499">
        <f>'Def Tax'!E589</f>
        <v>115.01580387311571</v>
      </c>
      <c r="P36" s="415" t="e">
        <f>'Def Tax'!#REF!</f>
        <v>#REF!</v>
      </c>
      <c r="Q36" s="415" t="e">
        <f>'Def Tax'!#REF!</f>
        <v>#REF!</v>
      </c>
      <c r="R36" s="415" t="e">
        <f>'Def Tax'!#REF!</f>
        <v>#REF!</v>
      </c>
      <c r="S36" s="415" t="e">
        <f>'Def Tax'!#REF!</f>
        <v>#REF!</v>
      </c>
      <c r="T36" s="415" t="e">
        <f>'Def Tax'!#REF!</f>
        <v>#REF!</v>
      </c>
      <c r="U36" s="415" t="e">
        <f>'Def Tax'!#REF!</f>
        <v>#REF!</v>
      </c>
      <c r="V36" s="415" t="e">
        <f>'Def Tax'!#REF!</f>
        <v>#REF!</v>
      </c>
      <c r="W36" s="415" t="e">
        <f>'Def Tax'!#REF!</f>
        <v>#REF!</v>
      </c>
      <c r="X36" s="415" t="e">
        <f>'Def Tax'!#REF!</f>
        <v>#REF!</v>
      </c>
      <c r="Y36" s="415" t="e">
        <f>'Def Tax'!#REF!</f>
        <v>#REF!</v>
      </c>
      <c r="Z36" s="415" t="e">
        <f>'Def Tax'!#REF!</f>
        <v>#REF!</v>
      </c>
      <c r="AA36" s="415" t="e">
        <f>'Def Tax'!#REF!</f>
        <v>#REF!</v>
      </c>
    </row>
    <row r="37" spans="1:27">
      <c r="A37" s="365">
        <v>29</v>
      </c>
      <c r="B37" s="395" t="s">
        <v>23</v>
      </c>
      <c r="C37" s="490"/>
      <c r="D37" s="490"/>
      <c r="E37" s="490"/>
      <c r="F37" s="490"/>
      <c r="G37" s="490"/>
      <c r="H37" s="490"/>
      <c r="I37" s="490"/>
      <c r="J37" s="490"/>
      <c r="K37" s="490"/>
      <c r="L37" s="490"/>
      <c r="M37" s="490"/>
      <c r="N37" s="490"/>
      <c r="O37" s="490"/>
      <c r="P37" s="366"/>
      <c r="Q37" s="366"/>
      <c r="R37" s="366"/>
      <c r="S37" s="366"/>
      <c r="T37" s="366"/>
      <c r="U37" s="366"/>
      <c r="V37" s="366"/>
      <c r="W37" s="366"/>
      <c r="X37" s="366"/>
      <c r="Y37" s="366"/>
      <c r="Z37" s="366"/>
      <c r="AA37" s="366"/>
    </row>
    <row r="38" spans="1:27">
      <c r="A38" s="382">
        <v>30</v>
      </c>
      <c r="B38" s="379" t="s">
        <v>16</v>
      </c>
      <c r="C38" s="396">
        <f>'Income Tax Rates'!$F$52</f>
        <v>8.795E-2</v>
      </c>
      <c r="D38" s="396">
        <f>'Income Tax Rates'!$F$72</f>
        <v>8.8330000000000006E-2</v>
      </c>
      <c r="E38" s="396">
        <f>'Income Tax Rates'!$F$72</f>
        <v>8.8330000000000006E-2</v>
      </c>
      <c r="F38" s="396">
        <f>'Income Tax Rates'!$F$72</f>
        <v>8.8330000000000006E-2</v>
      </c>
      <c r="G38" s="396">
        <f>'Income Tax Rates'!$F$72</f>
        <v>8.8330000000000006E-2</v>
      </c>
      <c r="H38" s="396">
        <f>'Income Tax Rates'!$F$72</f>
        <v>8.8330000000000006E-2</v>
      </c>
      <c r="I38" s="396">
        <f>'Income Tax Rates'!$F$72</f>
        <v>8.8330000000000006E-2</v>
      </c>
      <c r="J38" s="396">
        <f>'Income Tax Rates'!$F$72</f>
        <v>8.8330000000000006E-2</v>
      </c>
      <c r="K38" s="396">
        <f>'Income Tax Rates'!$F$72</f>
        <v>8.8330000000000006E-2</v>
      </c>
      <c r="L38" s="396">
        <f>'Income Tax Rates'!$F$72</f>
        <v>8.8330000000000006E-2</v>
      </c>
      <c r="M38" s="396">
        <f>'Income Tax Rates'!$F$72</f>
        <v>8.8330000000000006E-2</v>
      </c>
      <c r="N38" s="396">
        <f>'Income Tax Rates'!$F$72</f>
        <v>8.8330000000000006E-2</v>
      </c>
      <c r="O38" s="396">
        <f>'Income Tax Rates'!$F$72</f>
        <v>8.8330000000000006E-2</v>
      </c>
      <c r="P38" s="396">
        <f t="shared" ref="P38" si="25">$C$38</f>
        <v>8.795E-2</v>
      </c>
      <c r="Q38" s="396">
        <f>$C$38</f>
        <v>8.795E-2</v>
      </c>
      <c r="R38" s="396">
        <f t="shared" ref="R38:AA38" si="26">$C$38</f>
        <v>8.795E-2</v>
      </c>
      <c r="S38" s="396">
        <f t="shared" si="26"/>
        <v>8.795E-2</v>
      </c>
      <c r="T38" s="396">
        <f t="shared" si="26"/>
        <v>8.795E-2</v>
      </c>
      <c r="U38" s="396">
        <f t="shared" si="26"/>
        <v>8.795E-2</v>
      </c>
      <c r="V38" s="396">
        <f t="shared" si="26"/>
        <v>8.795E-2</v>
      </c>
      <c r="W38" s="396">
        <f t="shared" si="26"/>
        <v>8.795E-2</v>
      </c>
      <c r="X38" s="396">
        <f t="shared" si="26"/>
        <v>8.795E-2</v>
      </c>
      <c r="Y38" s="396">
        <f t="shared" si="26"/>
        <v>8.795E-2</v>
      </c>
      <c r="Z38" s="396">
        <f t="shared" si="26"/>
        <v>8.795E-2</v>
      </c>
      <c r="AA38" s="396">
        <f t="shared" si="26"/>
        <v>8.795E-2</v>
      </c>
    </row>
    <row r="39" spans="1:27">
      <c r="A39" s="365">
        <v>31</v>
      </c>
      <c r="B39" s="379" t="s">
        <v>49</v>
      </c>
      <c r="C39" s="500">
        <f>((C22*(C26-C34))+C36)*C38</f>
        <v>7.9165058242262871</v>
      </c>
      <c r="D39" s="500">
        <f>((D22*(D26-D34))+D36)*D38</f>
        <v>8.491097049020242</v>
      </c>
      <c r="E39" s="500">
        <f t="shared" ref="E39:P39" si="27">((E22*(E26-E34))+E36)*E38</f>
        <v>8.8146584101539318</v>
      </c>
      <c r="F39" s="500">
        <f t="shared" si="27"/>
        <v>9.4374279666481549</v>
      </c>
      <c r="G39" s="500">
        <f t="shared" si="27"/>
        <v>10.347558100574163</v>
      </c>
      <c r="H39" s="500">
        <f t="shared" si="27"/>
        <v>11.703042314125625</v>
      </c>
      <c r="I39" s="500">
        <f t="shared" si="27"/>
        <v>12.434436890081717</v>
      </c>
      <c r="J39" s="500">
        <f t="shared" si="27"/>
        <v>13.368485784703234</v>
      </c>
      <c r="K39" s="500">
        <f t="shared" si="27"/>
        <v>14.417256323845709</v>
      </c>
      <c r="L39" s="500">
        <f t="shared" si="27"/>
        <v>15.808102439879468</v>
      </c>
      <c r="M39" s="500">
        <f t="shared" si="27"/>
        <v>17.98483514084397</v>
      </c>
      <c r="N39" s="500">
        <f t="shared" si="27"/>
        <v>21.03213327058582</v>
      </c>
      <c r="O39" s="500">
        <f t="shared" si="27"/>
        <v>21.210688068347984</v>
      </c>
      <c r="P39" s="425" t="e">
        <f t="shared" si="27"/>
        <v>#REF!</v>
      </c>
      <c r="Q39" s="425" t="e">
        <f>((Q22*(Q26-Q34))+Q36)*Q38</f>
        <v>#REF!</v>
      </c>
      <c r="R39" s="425" t="e">
        <f t="shared" ref="R39:AA39" si="28">((R22*(R26-R34))+R36)*R38</f>
        <v>#REF!</v>
      </c>
      <c r="S39" s="425" t="e">
        <f t="shared" si="28"/>
        <v>#REF!</v>
      </c>
      <c r="T39" s="425" t="e">
        <f t="shared" si="28"/>
        <v>#REF!</v>
      </c>
      <c r="U39" s="425" t="e">
        <f t="shared" si="28"/>
        <v>#REF!</v>
      </c>
      <c r="V39" s="425" t="e">
        <f t="shared" si="28"/>
        <v>#REF!</v>
      </c>
      <c r="W39" s="425" t="e">
        <f t="shared" si="28"/>
        <v>#REF!</v>
      </c>
      <c r="X39" s="425" t="e">
        <f t="shared" si="28"/>
        <v>#REF!</v>
      </c>
      <c r="Y39" s="425" t="e">
        <f t="shared" si="28"/>
        <v>#REF!</v>
      </c>
      <c r="Z39" s="425" t="e">
        <f t="shared" si="28"/>
        <v>#REF!</v>
      </c>
      <c r="AA39" s="425" t="e">
        <f t="shared" si="28"/>
        <v>#REF!</v>
      </c>
    </row>
    <row r="40" spans="1:27">
      <c r="A40" s="370">
        <v>32</v>
      </c>
      <c r="B40" s="384"/>
      <c r="C40" s="490"/>
      <c r="D40" s="490"/>
      <c r="E40" s="490"/>
      <c r="F40" s="490"/>
      <c r="G40" s="490"/>
      <c r="H40" s="490"/>
      <c r="I40" s="490"/>
      <c r="J40" s="490"/>
      <c r="K40" s="490"/>
      <c r="L40" s="490"/>
      <c r="M40" s="490"/>
      <c r="N40" s="490"/>
      <c r="O40" s="490"/>
      <c r="P40" s="366"/>
      <c r="Q40" s="366"/>
      <c r="R40" s="366"/>
      <c r="S40" s="366"/>
      <c r="T40" s="366"/>
      <c r="U40" s="366"/>
      <c r="V40" s="366"/>
      <c r="W40" s="366"/>
      <c r="X40" s="366"/>
      <c r="Y40" s="366"/>
      <c r="Z40" s="366"/>
      <c r="AA40" s="366"/>
    </row>
    <row r="41" spans="1:27">
      <c r="A41" s="365">
        <v>33</v>
      </c>
      <c r="B41" s="390" t="s">
        <v>50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366"/>
      <c r="Q41" s="366"/>
      <c r="R41" s="366"/>
      <c r="S41" s="366"/>
      <c r="T41" s="366"/>
      <c r="U41" s="366"/>
      <c r="V41" s="366"/>
      <c r="W41" s="366"/>
      <c r="X41" s="366"/>
      <c r="Y41" s="366"/>
      <c r="Z41" s="366"/>
      <c r="AA41" s="366"/>
    </row>
    <row r="42" spans="1:27" ht="25.5">
      <c r="A42" s="370">
        <v>34</v>
      </c>
      <c r="B42" s="397" t="s">
        <v>109</v>
      </c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366"/>
      <c r="Q42" s="366"/>
      <c r="R42" s="366"/>
      <c r="S42" s="366"/>
      <c r="T42" s="366"/>
      <c r="U42" s="366"/>
      <c r="V42" s="366"/>
      <c r="W42" s="366"/>
      <c r="X42" s="366"/>
      <c r="Y42" s="366"/>
      <c r="Z42" s="366"/>
      <c r="AA42" s="366"/>
    </row>
    <row r="43" spans="1:27">
      <c r="A43" s="378">
        <v>35</v>
      </c>
      <c r="B43" s="379" t="s">
        <v>51</v>
      </c>
      <c r="C43" s="398">
        <f>'Income Tax Rates'!F53</f>
        <v>0.35</v>
      </c>
      <c r="D43" s="398">
        <f>'Income Tax Rates'!$F$73</f>
        <v>0.35</v>
      </c>
      <c r="E43" s="398">
        <f>'Income Tax Rates'!$F$73</f>
        <v>0.35</v>
      </c>
      <c r="F43" s="398">
        <f>'Income Tax Rates'!$F$73</f>
        <v>0.35</v>
      </c>
      <c r="G43" s="398">
        <f>'Income Tax Rates'!$F$73</f>
        <v>0.35</v>
      </c>
      <c r="H43" s="398">
        <f>'Income Tax Rates'!$F$73</f>
        <v>0.35</v>
      </c>
      <c r="I43" s="398">
        <f>'Income Tax Rates'!$F$73</f>
        <v>0.35</v>
      </c>
      <c r="J43" s="398">
        <f>'Income Tax Rates'!$F$73</f>
        <v>0.35</v>
      </c>
      <c r="K43" s="398">
        <f>'Income Tax Rates'!$F$73</f>
        <v>0.35</v>
      </c>
      <c r="L43" s="398">
        <f>'Income Tax Rates'!$F$73</f>
        <v>0.35</v>
      </c>
      <c r="M43" s="398">
        <f>'Income Tax Rates'!$F$73</f>
        <v>0.35</v>
      </c>
      <c r="N43" s="398">
        <f>'Income Tax Rates'!$F$73</f>
        <v>0.35</v>
      </c>
      <c r="O43" s="398">
        <f>'Income Tax Rates'!$F$73</f>
        <v>0.35</v>
      </c>
      <c r="P43" s="398">
        <f t="shared" ref="P43" si="29">$C$43</f>
        <v>0.35</v>
      </c>
      <c r="Q43" s="398">
        <f>$C$43</f>
        <v>0.35</v>
      </c>
      <c r="R43" s="398">
        <f t="shared" ref="R43:AA43" si="30">$C$43</f>
        <v>0.35</v>
      </c>
      <c r="S43" s="398">
        <f t="shared" si="30"/>
        <v>0.35</v>
      </c>
      <c r="T43" s="398">
        <f t="shared" si="30"/>
        <v>0.35</v>
      </c>
      <c r="U43" s="398">
        <f t="shared" si="30"/>
        <v>0.35</v>
      </c>
      <c r="V43" s="398">
        <f t="shared" si="30"/>
        <v>0.35</v>
      </c>
      <c r="W43" s="398">
        <f t="shared" si="30"/>
        <v>0.35</v>
      </c>
      <c r="X43" s="398">
        <f t="shared" si="30"/>
        <v>0.35</v>
      </c>
      <c r="Y43" s="398">
        <f t="shared" si="30"/>
        <v>0.35</v>
      </c>
      <c r="Z43" s="398">
        <f t="shared" si="30"/>
        <v>0.35</v>
      </c>
      <c r="AA43" s="398">
        <f t="shared" si="30"/>
        <v>0.35</v>
      </c>
    </row>
    <row r="44" spans="1:27">
      <c r="A44" s="370">
        <v>36</v>
      </c>
      <c r="B44" s="379" t="s">
        <v>52</v>
      </c>
      <c r="C44" s="500">
        <f>((C22*(C26-C34))-C39+C36)*C43</f>
        <v>28.73322567305236</v>
      </c>
      <c r="D44" s="500">
        <f>((D22*(D26-D34))-D39+D36)*D43</f>
        <v>30.673355104020146</v>
      </c>
      <c r="E44" s="500">
        <f t="shared" ref="E44:P44" si="31">((E22*(E26-E34))-E39+E36)*E43</f>
        <v>31.8421925900007</v>
      </c>
      <c r="F44" s="500">
        <f t="shared" si="31"/>
        <v>34.091893852869276</v>
      </c>
      <c r="G44" s="500">
        <f t="shared" si="31"/>
        <v>37.379660395592168</v>
      </c>
      <c r="H44" s="500">
        <f t="shared" si="31"/>
        <v>42.276230106211003</v>
      </c>
      <c r="I44" s="500">
        <f t="shared" si="31"/>
        <v>44.918329874938067</v>
      </c>
      <c r="J44" s="500">
        <f t="shared" si="31"/>
        <v>48.292500875910093</v>
      </c>
      <c r="K44" s="500">
        <f t="shared" si="31"/>
        <v>52.081093914481436</v>
      </c>
      <c r="L44" s="500">
        <f t="shared" si="31"/>
        <v>57.105405445236272</v>
      </c>
      <c r="M44" s="500">
        <f t="shared" si="31"/>
        <v>64.968664423170239</v>
      </c>
      <c r="N44" s="500">
        <f t="shared" si="31"/>
        <v>75.976765861861651</v>
      </c>
      <c r="O44" s="500">
        <f>((O22*(O26-O34))-O39+O36)*O43</f>
        <v>76.621779655210929</v>
      </c>
      <c r="P44" s="425" t="e">
        <f t="shared" si="31"/>
        <v>#REF!</v>
      </c>
      <c r="Q44" s="425" t="e">
        <f>((Q22*(Q26-Q34))-Q39+Q36)*Q43</f>
        <v>#REF!</v>
      </c>
      <c r="R44" s="425" t="e">
        <f t="shared" ref="R44:AA44" si="32">((R22*(R26-R34))-R39+R36)*R43</f>
        <v>#REF!</v>
      </c>
      <c r="S44" s="425" t="e">
        <f t="shared" si="32"/>
        <v>#REF!</v>
      </c>
      <c r="T44" s="425" t="e">
        <f t="shared" si="32"/>
        <v>#REF!</v>
      </c>
      <c r="U44" s="425" t="e">
        <f t="shared" si="32"/>
        <v>#REF!</v>
      </c>
      <c r="V44" s="425" t="e">
        <f t="shared" si="32"/>
        <v>#REF!</v>
      </c>
      <c r="W44" s="425" t="e">
        <f t="shared" si="32"/>
        <v>#REF!</v>
      </c>
      <c r="X44" s="425" t="e">
        <f t="shared" si="32"/>
        <v>#REF!</v>
      </c>
      <c r="Y44" s="425" t="e">
        <f t="shared" si="32"/>
        <v>#REF!</v>
      </c>
      <c r="Z44" s="425" t="e">
        <f t="shared" si="32"/>
        <v>#REF!</v>
      </c>
      <c r="AA44" s="425" t="e">
        <f t="shared" si="32"/>
        <v>#REF!</v>
      </c>
    </row>
    <row r="45" spans="1:27">
      <c r="A45" s="365">
        <v>37</v>
      </c>
      <c r="B45" s="384"/>
      <c r="C45" s="490"/>
      <c r="D45" s="490"/>
      <c r="E45" s="490"/>
      <c r="F45" s="490"/>
      <c r="G45" s="490"/>
      <c r="H45" s="490"/>
      <c r="I45" s="490"/>
      <c r="J45" s="490"/>
      <c r="K45" s="490"/>
      <c r="L45" s="490"/>
      <c r="M45" s="490"/>
      <c r="N45" s="490"/>
      <c r="O45" s="490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</row>
    <row r="46" spans="1:27" ht="25.5">
      <c r="A46" s="370">
        <v>38</v>
      </c>
      <c r="B46" s="392" t="s">
        <v>53</v>
      </c>
      <c r="C46" s="399"/>
      <c r="D46" s="399"/>
      <c r="E46" s="399"/>
      <c r="F46" s="399"/>
      <c r="G46" s="399"/>
      <c r="H46" s="399"/>
      <c r="I46" s="399"/>
      <c r="J46" s="399"/>
      <c r="K46" s="399"/>
      <c r="L46" s="399"/>
      <c r="M46" s="399"/>
      <c r="N46" s="399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</row>
    <row r="47" spans="1:27">
      <c r="A47" s="365">
        <v>39</v>
      </c>
      <c r="B47" s="379" t="s">
        <v>58</v>
      </c>
      <c r="C47" s="499">
        <f>-'Def Tax'!F575</f>
        <v>-18.705404749541668</v>
      </c>
      <c r="D47" s="499">
        <f>-'Def Tax'!F578</f>
        <v>-20.323883640093587</v>
      </c>
      <c r="E47" s="499">
        <f>-'Def Tax'!F579</f>
        <v>-20.92700796443782</v>
      </c>
      <c r="F47" s="499">
        <f>-'Def Tax'!F580</f>
        <v>-22.400681335492184</v>
      </c>
      <c r="G47" s="499">
        <f>-'Def Tax'!F581</f>
        <v>-24.129146982531207</v>
      </c>
      <c r="H47" s="499">
        <f>-'Def Tax'!F582</f>
        <v>-27.956225184283976</v>
      </c>
      <c r="I47" s="499">
        <f>-'Def Tax'!F583</f>
        <v>-29.617600417535453</v>
      </c>
      <c r="J47" s="499">
        <f>-'Def Tax'!F584</f>
        <v>-31.92218542323095</v>
      </c>
      <c r="K47" s="499">
        <f>-'Def Tax'!F585</f>
        <v>-34.246022713237359</v>
      </c>
      <c r="L47" s="499">
        <f>-'Def Tax'!F586</f>
        <v>-37.693426103650062</v>
      </c>
      <c r="M47" s="499">
        <f>-'Def Tax'!F587</f>
        <v>-41.04563467474199</v>
      </c>
      <c r="N47" s="499">
        <f>-'Def Tax'!F588</f>
        <v>-52.647462827006272</v>
      </c>
      <c r="O47" s="499">
        <f>-'Def Tax'!F589</f>
        <v>-46.857438497907339</v>
      </c>
      <c r="P47" s="415" t="e">
        <f>-'Def Tax'!#REF!</f>
        <v>#REF!</v>
      </c>
      <c r="Q47" s="394">
        <f>-'[2]Def Tax'!$F$222</f>
        <v>-21.129975135157189</v>
      </c>
      <c r="R47" s="394">
        <f>-'[2]Def Tax'!$F$223</f>
        <v>-25.464783697977175</v>
      </c>
      <c r="S47" s="394">
        <f>-'[2]Def Tax'!$F$224</f>
        <v>-31.142405829038211</v>
      </c>
      <c r="T47" s="394">
        <f>-'[2]Def Tax'!$F$225</f>
        <v>-35.529362468388825</v>
      </c>
      <c r="U47" s="394">
        <f>-'[2]Def Tax'!$F$226</f>
        <v>-38.163449828019509</v>
      </c>
      <c r="V47" s="394">
        <f>-'[2]Def Tax'!$F$227</f>
        <v>-40.60661974440027</v>
      </c>
      <c r="W47" s="394">
        <f>-'[2]Def Tax'!$F$228</f>
        <v>-45.262908571278345</v>
      </c>
      <c r="X47" s="394">
        <f>-'[2]Def Tax'!$F$229</f>
        <v>-50.009460724478572</v>
      </c>
      <c r="Y47" s="394">
        <f>-'[2]Def Tax'!$F$230</f>
        <v>-54.780734503476701</v>
      </c>
      <c r="Z47" s="394">
        <f>-'[2]Def Tax'!$F$231</f>
        <v>-61.799256674595107</v>
      </c>
      <c r="AA47" s="394">
        <f>-'[2]Def Tax'!$F$232</f>
        <v>-73.255121783053752</v>
      </c>
    </row>
    <row r="48" spans="1:27">
      <c r="A48" s="370">
        <v>40</v>
      </c>
      <c r="B48" s="384"/>
      <c r="C48" s="490"/>
      <c r="D48" s="490"/>
      <c r="E48" s="490"/>
      <c r="F48" s="490"/>
      <c r="G48" s="490"/>
      <c r="H48" s="490"/>
      <c r="I48" s="490"/>
      <c r="J48" s="490"/>
      <c r="K48" s="490"/>
      <c r="L48" s="490"/>
      <c r="M48" s="490"/>
      <c r="N48" s="490"/>
      <c r="O48" s="490"/>
      <c r="P48" s="366"/>
      <c r="Q48" s="366"/>
      <c r="R48" s="366"/>
      <c r="S48" s="366"/>
      <c r="T48" s="366"/>
      <c r="U48" s="366"/>
      <c r="V48" s="366"/>
      <c r="W48" s="366"/>
      <c r="X48" s="366"/>
      <c r="Y48" s="366"/>
      <c r="Z48" s="366"/>
      <c r="AA48" s="366"/>
    </row>
    <row r="49" spans="1:27">
      <c r="A49" s="365">
        <v>41</v>
      </c>
      <c r="B49" s="390" t="s">
        <v>54</v>
      </c>
      <c r="C49" s="490"/>
      <c r="D49" s="490"/>
      <c r="E49" s="490"/>
      <c r="F49" s="490"/>
      <c r="G49" s="490"/>
      <c r="H49" s="490"/>
      <c r="I49" s="490"/>
      <c r="J49" s="490"/>
      <c r="K49" s="490"/>
      <c r="L49" s="490"/>
      <c r="M49" s="490"/>
      <c r="N49" s="490"/>
      <c r="O49" s="490"/>
      <c r="P49" s="366"/>
      <c r="Q49" s="366"/>
      <c r="R49" s="366"/>
      <c r="S49" s="366"/>
      <c r="T49" s="366"/>
      <c r="U49" s="366"/>
      <c r="V49" s="366"/>
      <c r="W49" s="366"/>
      <c r="X49" s="366"/>
      <c r="Y49" s="366"/>
      <c r="Z49" s="366"/>
      <c r="AA49" s="366"/>
    </row>
    <row r="50" spans="1:27">
      <c r="A50" s="370">
        <v>42</v>
      </c>
      <c r="B50" s="390" t="s">
        <v>55</v>
      </c>
      <c r="C50" s="490"/>
      <c r="D50" s="490"/>
      <c r="E50" s="490"/>
      <c r="F50" s="490"/>
      <c r="G50" s="490"/>
      <c r="H50" s="490"/>
      <c r="I50" s="490"/>
      <c r="J50" s="490"/>
      <c r="K50" s="490"/>
      <c r="L50" s="490"/>
      <c r="M50" s="490"/>
      <c r="N50" s="490"/>
      <c r="O50" s="490"/>
      <c r="P50" s="366"/>
      <c r="Q50" s="366"/>
      <c r="R50" s="366"/>
      <c r="S50" s="366"/>
      <c r="T50" s="366"/>
      <c r="U50" s="366"/>
      <c r="V50" s="366"/>
      <c r="W50" s="366"/>
      <c r="X50" s="366"/>
      <c r="Y50" s="366"/>
      <c r="Z50" s="366"/>
      <c r="AA50" s="366"/>
    </row>
    <row r="51" spans="1:27" ht="25.5">
      <c r="A51" s="365">
        <v>43</v>
      </c>
      <c r="B51" s="392" t="s">
        <v>56</v>
      </c>
      <c r="C51" s="490"/>
      <c r="D51" s="490"/>
      <c r="E51" s="490"/>
      <c r="F51" s="490"/>
      <c r="G51" s="490"/>
      <c r="H51" s="490"/>
      <c r="I51" s="490"/>
      <c r="J51" s="490"/>
      <c r="K51" s="490"/>
      <c r="L51" s="490"/>
      <c r="M51" s="490"/>
      <c r="N51" s="490"/>
      <c r="O51" s="490"/>
      <c r="P51" s="366"/>
      <c r="Q51" s="366"/>
      <c r="R51" s="366"/>
      <c r="S51" s="366"/>
      <c r="T51" s="366"/>
      <c r="U51" s="366"/>
      <c r="V51" s="366"/>
      <c r="W51" s="366"/>
      <c r="X51" s="366"/>
      <c r="Y51" s="366"/>
      <c r="Z51" s="366"/>
      <c r="AA51" s="366"/>
    </row>
    <row r="52" spans="1:27">
      <c r="A52" s="382">
        <v>44</v>
      </c>
      <c r="B52" s="379" t="s">
        <v>57</v>
      </c>
      <c r="C52" s="400">
        <f>'Income Tax Rates'!F56</f>
        <v>0.40720000000000001</v>
      </c>
      <c r="D52" s="400">
        <f>'Income Tax Rates'!$F$76</f>
        <v>0.40739999999999998</v>
      </c>
      <c r="E52" s="400">
        <f>'Income Tax Rates'!$F$76</f>
        <v>0.40739999999999998</v>
      </c>
      <c r="F52" s="400">
        <f>'Income Tax Rates'!$F$76</f>
        <v>0.40739999999999998</v>
      </c>
      <c r="G52" s="400">
        <f>'Income Tax Rates'!$F$76</f>
        <v>0.40739999999999998</v>
      </c>
      <c r="H52" s="400">
        <f>'Income Tax Rates'!$F$76</f>
        <v>0.40739999999999998</v>
      </c>
      <c r="I52" s="400">
        <f>'Income Tax Rates'!$F$76</f>
        <v>0.40739999999999998</v>
      </c>
      <c r="J52" s="400">
        <f>'Income Tax Rates'!$F$76</f>
        <v>0.40739999999999998</v>
      </c>
      <c r="K52" s="400">
        <f>'Income Tax Rates'!$F$76</f>
        <v>0.40739999999999998</v>
      </c>
      <c r="L52" s="400">
        <f>'Income Tax Rates'!$F$76</f>
        <v>0.40739999999999998</v>
      </c>
      <c r="M52" s="400">
        <f>'Income Tax Rates'!$F$76</f>
        <v>0.40739999999999998</v>
      </c>
      <c r="N52" s="400">
        <f>'Income Tax Rates'!$F$76</f>
        <v>0.40739999999999998</v>
      </c>
      <c r="O52" s="400">
        <f>'Income Tax Rates'!$F$76</f>
        <v>0.40739999999999998</v>
      </c>
      <c r="P52" s="400">
        <f t="shared" ref="P52" si="33">$C$52</f>
        <v>0.40720000000000001</v>
      </c>
      <c r="Q52" s="400">
        <f>$C$52</f>
        <v>0.40720000000000001</v>
      </c>
      <c r="R52" s="400">
        <f t="shared" ref="R52:AA52" si="34">$C$52</f>
        <v>0.40720000000000001</v>
      </c>
      <c r="S52" s="400">
        <f t="shared" si="34"/>
        <v>0.40720000000000001</v>
      </c>
      <c r="T52" s="400">
        <f t="shared" si="34"/>
        <v>0.40720000000000001</v>
      </c>
      <c r="U52" s="400">
        <f t="shared" si="34"/>
        <v>0.40720000000000001</v>
      </c>
      <c r="V52" s="400">
        <f t="shared" si="34"/>
        <v>0.40720000000000001</v>
      </c>
      <c r="W52" s="400">
        <f t="shared" si="34"/>
        <v>0.40720000000000001</v>
      </c>
      <c r="X52" s="400">
        <f t="shared" si="34"/>
        <v>0.40720000000000001</v>
      </c>
      <c r="Y52" s="400">
        <f t="shared" si="34"/>
        <v>0.40720000000000001</v>
      </c>
      <c r="Z52" s="400">
        <f t="shared" si="34"/>
        <v>0.40720000000000001</v>
      </c>
      <c r="AA52" s="400">
        <f t="shared" si="34"/>
        <v>0.40720000000000001</v>
      </c>
    </row>
    <row r="53" spans="1:27">
      <c r="A53" s="365">
        <v>45</v>
      </c>
      <c r="B53" s="379" t="s">
        <v>59</v>
      </c>
      <c r="C53" s="501">
        <f>1/(1-C52)</f>
        <v>1.6869095816464237</v>
      </c>
      <c r="D53" s="501">
        <f>1/(1-D52)</f>
        <v>1.6874789065136686</v>
      </c>
      <c r="E53" s="501">
        <f t="shared" ref="E53:P53" si="35">1/(1-E52)</f>
        <v>1.6874789065136686</v>
      </c>
      <c r="F53" s="501">
        <f t="shared" si="35"/>
        <v>1.6874789065136686</v>
      </c>
      <c r="G53" s="501">
        <f t="shared" si="35"/>
        <v>1.6874789065136686</v>
      </c>
      <c r="H53" s="501">
        <f t="shared" si="35"/>
        <v>1.6874789065136686</v>
      </c>
      <c r="I53" s="501">
        <f t="shared" si="35"/>
        <v>1.6874789065136686</v>
      </c>
      <c r="J53" s="501">
        <f t="shared" si="35"/>
        <v>1.6874789065136686</v>
      </c>
      <c r="K53" s="501">
        <f t="shared" si="35"/>
        <v>1.6874789065136686</v>
      </c>
      <c r="L53" s="501">
        <f t="shared" si="35"/>
        <v>1.6874789065136686</v>
      </c>
      <c r="M53" s="501">
        <f t="shared" si="35"/>
        <v>1.6874789065136686</v>
      </c>
      <c r="N53" s="501">
        <f t="shared" si="35"/>
        <v>1.6874789065136686</v>
      </c>
      <c r="O53" s="501">
        <f>1/(1-O52)</f>
        <v>1.6874789065136686</v>
      </c>
      <c r="P53" s="418">
        <f t="shared" si="35"/>
        <v>1.6869095816464237</v>
      </c>
      <c r="Q53" s="418">
        <f>1/(1-Q52)</f>
        <v>1.6869095816464237</v>
      </c>
      <c r="R53" s="418">
        <f t="shared" ref="R53:AA53" si="36">1/(1-R52)</f>
        <v>1.6869095816464237</v>
      </c>
      <c r="S53" s="418">
        <f t="shared" si="36"/>
        <v>1.6869095816464237</v>
      </c>
      <c r="T53" s="418">
        <f t="shared" si="36"/>
        <v>1.6869095816464237</v>
      </c>
      <c r="U53" s="418">
        <f t="shared" si="36"/>
        <v>1.6869095816464237</v>
      </c>
      <c r="V53" s="418">
        <f t="shared" si="36"/>
        <v>1.6869095816464237</v>
      </c>
      <c r="W53" s="418">
        <f t="shared" si="36"/>
        <v>1.6869095816464237</v>
      </c>
      <c r="X53" s="418">
        <f t="shared" si="36"/>
        <v>1.6869095816464237</v>
      </c>
      <c r="Y53" s="418">
        <f t="shared" si="36"/>
        <v>1.6869095816464237</v>
      </c>
      <c r="Z53" s="418">
        <f t="shared" si="36"/>
        <v>1.6869095816464237</v>
      </c>
      <c r="AA53" s="418">
        <f t="shared" si="36"/>
        <v>1.6869095816464237</v>
      </c>
    </row>
    <row r="54" spans="1:27">
      <c r="A54" s="370">
        <v>46</v>
      </c>
      <c r="B54" s="384"/>
      <c r="C54" s="400"/>
      <c r="D54" s="400"/>
      <c r="E54" s="400"/>
      <c r="F54" s="400"/>
      <c r="G54" s="400"/>
      <c r="H54" s="400"/>
      <c r="I54" s="400"/>
      <c r="J54" s="400"/>
      <c r="K54" s="400"/>
      <c r="L54" s="400"/>
      <c r="M54" s="400"/>
      <c r="N54" s="400"/>
      <c r="O54" s="400"/>
      <c r="P54" s="400"/>
      <c r="Q54" s="400"/>
      <c r="R54" s="400"/>
      <c r="S54" s="400"/>
      <c r="T54" s="400"/>
      <c r="U54" s="400"/>
      <c r="V54" s="400"/>
      <c r="W54" s="400"/>
      <c r="X54" s="400"/>
      <c r="Y54" s="400"/>
      <c r="Z54" s="400"/>
      <c r="AA54" s="400"/>
    </row>
    <row r="55" spans="1:27" ht="15.75">
      <c r="A55" s="365">
        <v>47</v>
      </c>
      <c r="B55" s="388" t="s">
        <v>94</v>
      </c>
      <c r="C55" s="400"/>
      <c r="D55" s="400"/>
      <c r="E55" s="400"/>
      <c r="F55" s="400"/>
      <c r="G55" s="400"/>
      <c r="H55" s="400"/>
      <c r="I55" s="400"/>
      <c r="J55" s="400"/>
      <c r="K55" s="400"/>
      <c r="L55" s="400"/>
      <c r="M55" s="400"/>
      <c r="N55" s="400"/>
      <c r="O55" s="400"/>
      <c r="P55" s="400"/>
      <c r="Q55" s="400"/>
      <c r="R55" s="400"/>
      <c r="S55" s="400"/>
      <c r="T55" s="400"/>
      <c r="U55" s="400"/>
      <c r="V55" s="400"/>
      <c r="W55" s="400"/>
      <c r="X55" s="400"/>
      <c r="Y55" s="400"/>
      <c r="Z55" s="400"/>
      <c r="AA55" s="400"/>
    </row>
    <row r="56" spans="1:27">
      <c r="A56" s="370">
        <v>48</v>
      </c>
      <c r="B56" s="384" t="s">
        <v>49</v>
      </c>
      <c r="C56" s="491">
        <f>C39</f>
        <v>7.9165058242262871</v>
      </c>
      <c r="D56" s="491">
        <f>D39</f>
        <v>8.491097049020242</v>
      </c>
      <c r="E56" s="491">
        <f t="shared" ref="E56:P56" si="37">E39</f>
        <v>8.8146584101539318</v>
      </c>
      <c r="F56" s="491">
        <f t="shared" si="37"/>
        <v>9.4374279666481549</v>
      </c>
      <c r="G56" s="491">
        <f t="shared" si="37"/>
        <v>10.347558100574163</v>
      </c>
      <c r="H56" s="491">
        <f t="shared" si="37"/>
        <v>11.703042314125625</v>
      </c>
      <c r="I56" s="491">
        <f t="shared" si="37"/>
        <v>12.434436890081717</v>
      </c>
      <c r="J56" s="491">
        <f t="shared" si="37"/>
        <v>13.368485784703234</v>
      </c>
      <c r="K56" s="491">
        <f t="shared" si="37"/>
        <v>14.417256323845709</v>
      </c>
      <c r="L56" s="491">
        <f t="shared" si="37"/>
        <v>15.808102439879468</v>
      </c>
      <c r="M56" s="491">
        <f t="shared" si="37"/>
        <v>17.98483514084397</v>
      </c>
      <c r="N56" s="491">
        <f t="shared" si="37"/>
        <v>21.03213327058582</v>
      </c>
      <c r="O56" s="491">
        <f>O39</f>
        <v>21.210688068347984</v>
      </c>
      <c r="P56" s="419" t="e">
        <f t="shared" si="37"/>
        <v>#REF!</v>
      </c>
      <c r="Q56" s="419" t="e">
        <f>Q39</f>
        <v>#REF!</v>
      </c>
      <c r="R56" s="419" t="e">
        <f t="shared" ref="R56:AA56" si="38">R39</f>
        <v>#REF!</v>
      </c>
      <c r="S56" s="419" t="e">
        <f t="shared" si="38"/>
        <v>#REF!</v>
      </c>
      <c r="T56" s="419" t="e">
        <f t="shared" si="38"/>
        <v>#REF!</v>
      </c>
      <c r="U56" s="419" t="e">
        <f t="shared" si="38"/>
        <v>#REF!</v>
      </c>
      <c r="V56" s="419" t="e">
        <f t="shared" si="38"/>
        <v>#REF!</v>
      </c>
      <c r="W56" s="419" t="e">
        <f t="shared" si="38"/>
        <v>#REF!</v>
      </c>
      <c r="X56" s="419" t="e">
        <f t="shared" si="38"/>
        <v>#REF!</v>
      </c>
      <c r="Y56" s="419" t="e">
        <f t="shared" si="38"/>
        <v>#REF!</v>
      </c>
      <c r="Z56" s="419" t="e">
        <f t="shared" si="38"/>
        <v>#REF!</v>
      </c>
      <c r="AA56" s="419" t="e">
        <f t="shared" si="38"/>
        <v>#REF!</v>
      </c>
    </row>
    <row r="57" spans="1:27">
      <c r="A57" s="365">
        <v>49</v>
      </c>
      <c r="B57" s="384" t="s">
        <v>52</v>
      </c>
      <c r="C57" s="491">
        <f>C44</f>
        <v>28.73322567305236</v>
      </c>
      <c r="D57" s="491">
        <f>D44</f>
        <v>30.673355104020146</v>
      </c>
      <c r="E57" s="491">
        <f>E44</f>
        <v>31.8421925900007</v>
      </c>
      <c r="F57" s="491">
        <f>F44</f>
        <v>34.091893852869276</v>
      </c>
      <c r="G57" s="491">
        <f t="shared" ref="G57:P57" si="39">G44</f>
        <v>37.379660395592168</v>
      </c>
      <c r="H57" s="491">
        <f t="shared" si="39"/>
        <v>42.276230106211003</v>
      </c>
      <c r="I57" s="491">
        <f t="shared" si="39"/>
        <v>44.918329874938067</v>
      </c>
      <c r="J57" s="491">
        <f t="shared" si="39"/>
        <v>48.292500875910093</v>
      </c>
      <c r="K57" s="491">
        <f t="shared" si="39"/>
        <v>52.081093914481436</v>
      </c>
      <c r="L57" s="491">
        <f t="shared" si="39"/>
        <v>57.105405445236272</v>
      </c>
      <c r="M57" s="491">
        <f t="shared" si="39"/>
        <v>64.968664423170239</v>
      </c>
      <c r="N57" s="491">
        <f t="shared" si="39"/>
        <v>75.976765861861651</v>
      </c>
      <c r="O57" s="491">
        <f>O44</f>
        <v>76.621779655210929</v>
      </c>
      <c r="P57" s="419" t="e">
        <f t="shared" si="39"/>
        <v>#REF!</v>
      </c>
      <c r="Q57" s="419" t="e">
        <f>Q44</f>
        <v>#REF!</v>
      </c>
      <c r="R57" s="419" t="e">
        <f t="shared" ref="R57:AA57" si="40">R44</f>
        <v>#REF!</v>
      </c>
      <c r="S57" s="419" t="e">
        <f t="shared" si="40"/>
        <v>#REF!</v>
      </c>
      <c r="T57" s="419" t="e">
        <f t="shared" si="40"/>
        <v>#REF!</v>
      </c>
      <c r="U57" s="419" t="e">
        <f t="shared" si="40"/>
        <v>#REF!</v>
      </c>
      <c r="V57" s="419" t="e">
        <f t="shared" si="40"/>
        <v>#REF!</v>
      </c>
      <c r="W57" s="419" t="e">
        <f t="shared" si="40"/>
        <v>#REF!</v>
      </c>
      <c r="X57" s="419" t="e">
        <f t="shared" si="40"/>
        <v>#REF!</v>
      </c>
      <c r="Y57" s="419" t="e">
        <f t="shared" si="40"/>
        <v>#REF!</v>
      </c>
      <c r="Z57" s="419" t="e">
        <f t="shared" si="40"/>
        <v>#REF!</v>
      </c>
      <c r="AA57" s="419" t="e">
        <f t="shared" si="40"/>
        <v>#REF!</v>
      </c>
    </row>
    <row r="58" spans="1:27">
      <c r="A58" s="370">
        <v>50</v>
      </c>
      <c r="B58" s="384" t="s">
        <v>58</v>
      </c>
      <c r="C58" s="492">
        <f>C47</f>
        <v>-18.705404749541668</v>
      </c>
      <c r="D58" s="492">
        <f>D47</f>
        <v>-20.323883640093587</v>
      </c>
      <c r="E58" s="492">
        <f t="shared" ref="E58:P58" si="41">E47</f>
        <v>-20.92700796443782</v>
      </c>
      <c r="F58" s="492">
        <f t="shared" si="41"/>
        <v>-22.400681335492184</v>
      </c>
      <c r="G58" s="492">
        <f t="shared" si="41"/>
        <v>-24.129146982531207</v>
      </c>
      <c r="H58" s="492">
        <f t="shared" si="41"/>
        <v>-27.956225184283976</v>
      </c>
      <c r="I58" s="492">
        <f t="shared" si="41"/>
        <v>-29.617600417535453</v>
      </c>
      <c r="J58" s="492">
        <f t="shared" si="41"/>
        <v>-31.92218542323095</v>
      </c>
      <c r="K58" s="492">
        <f t="shared" si="41"/>
        <v>-34.246022713237359</v>
      </c>
      <c r="L58" s="492">
        <f t="shared" si="41"/>
        <v>-37.693426103650062</v>
      </c>
      <c r="M58" s="492">
        <f t="shared" si="41"/>
        <v>-41.04563467474199</v>
      </c>
      <c r="N58" s="492">
        <f t="shared" si="41"/>
        <v>-52.647462827006272</v>
      </c>
      <c r="O58" s="492">
        <f>O47</f>
        <v>-46.857438497907339</v>
      </c>
      <c r="P58" s="420" t="e">
        <f t="shared" si="41"/>
        <v>#REF!</v>
      </c>
      <c r="Q58" s="420">
        <f>Q47</f>
        <v>-21.129975135157189</v>
      </c>
      <c r="R58" s="420">
        <f t="shared" ref="R58:AA58" si="42">R47</f>
        <v>-25.464783697977175</v>
      </c>
      <c r="S58" s="420">
        <f t="shared" si="42"/>
        <v>-31.142405829038211</v>
      </c>
      <c r="T58" s="420">
        <f t="shared" si="42"/>
        <v>-35.529362468388825</v>
      </c>
      <c r="U58" s="420">
        <f t="shared" si="42"/>
        <v>-38.163449828019509</v>
      </c>
      <c r="V58" s="420">
        <f t="shared" si="42"/>
        <v>-40.60661974440027</v>
      </c>
      <c r="W58" s="420">
        <f t="shared" si="42"/>
        <v>-45.262908571278345</v>
      </c>
      <c r="X58" s="420">
        <f t="shared" si="42"/>
        <v>-50.009460724478572</v>
      </c>
      <c r="Y58" s="420">
        <f t="shared" si="42"/>
        <v>-54.780734503476701</v>
      </c>
      <c r="Z58" s="420">
        <f t="shared" si="42"/>
        <v>-61.799256674595107</v>
      </c>
      <c r="AA58" s="420">
        <f t="shared" si="42"/>
        <v>-73.255121783053752</v>
      </c>
    </row>
    <row r="59" spans="1:27">
      <c r="A59" s="365">
        <v>51</v>
      </c>
      <c r="B59" s="384" t="s">
        <v>59</v>
      </c>
      <c r="C59" s="493">
        <f>C53</f>
        <v>1.6869095816464237</v>
      </c>
      <c r="D59" s="493">
        <f>D53</f>
        <v>1.6874789065136686</v>
      </c>
      <c r="E59" s="493">
        <f t="shared" ref="E59:P59" si="43">E53</f>
        <v>1.6874789065136686</v>
      </c>
      <c r="F59" s="493">
        <f t="shared" si="43"/>
        <v>1.6874789065136686</v>
      </c>
      <c r="G59" s="493">
        <f t="shared" si="43"/>
        <v>1.6874789065136686</v>
      </c>
      <c r="H59" s="493">
        <f t="shared" si="43"/>
        <v>1.6874789065136686</v>
      </c>
      <c r="I59" s="493">
        <f t="shared" si="43"/>
        <v>1.6874789065136686</v>
      </c>
      <c r="J59" s="493">
        <f t="shared" si="43"/>
        <v>1.6874789065136686</v>
      </c>
      <c r="K59" s="493">
        <f t="shared" si="43"/>
        <v>1.6874789065136686</v>
      </c>
      <c r="L59" s="493">
        <f t="shared" si="43"/>
        <v>1.6874789065136686</v>
      </c>
      <c r="M59" s="493">
        <f t="shared" si="43"/>
        <v>1.6874789065136686</v>
      </c>
      <c r="N59" s="493">
        <f t="shared" si="43"/>
        <v>1.6874789065136686</v>
      </c>
      <c r="O59" s="493">
        <f>O53</f>
        <v>1.6874789065136686</v>
      </c>
      <c r="P59" s="421">
        <f t="shared" si="43"/>
        <v>1.6869095816464237</v>
      </c>
      <c r="Q59" s="421">
        <f>Q53</f>
        <v>1.6869095816464237</v>
      </c>
      <c r="R59" s="421">
        <f t="shared" ref="R59:AA59" si="44">R53</f>
        <v>1.6869095816464237</v>
      </c>
      <c r="S59" s="421">
        <f t="shared" si="44"/>
        <v>1.6869095816464237</v>
      </c>
      <c r="T59" s="421">
        <f t="shared" si="44"/>
        <v>1.6869095816464237</v>
      </c>
      <c r="U59" s="421">
        <f t="shared" si="44"/>
        <v>1.6869095816464237</v>
      </c>
      <c r="V59" s="421">
        <f t="shared" si="44"/>
        <v>1.6869095816464237</v>
      </c>
      <c r="W59" s="421">
        <f t="shared" si="44"/>
        <v>1.6869095816464237</v>
      </c>
      <c r="X59" s="421">
        <f t="shared" si="44"/>
        <v>1.6869095816464237</v>
      </c>
      <c r="Y59" s="421">
        <f t="shared" si="44"/>
        <v>1.6869095816464237</v>
      </c>
      <c r="Z59" s="421">
        <f t="shared" si="44"/>
        <v>1.6869095816464237</v>
      </c>
      <c r="AA59" s="421">
        <f t="shared" si="44"/>
        <v>1.6869095816464237</v>
      </c>
    </row>
    <row r="60" spans="1:27">
      <c r="A60" s="370">
        <v>52</v>
      </c>
      <c r="B60" s="503" t="s">
        <v>60</v>
      </c>
      <c r="C60" s="502">
        <f>(C56+C57+C58)*C59</f>
        <v>30.270456726951714</v>
      </c>
      <c r="D60" s="502">
        <f>(D56+D57+D58)*D59</f>
        <v>31.79306195232332</v>
      </c>
      <c r="E60" s="502">
        <f t="shared" ref="E60:P60" si="45">(E56+E57+E58)*E59</f>
        <v>33.293693951597724</v>
      </c>
      <c r="F60" s="502">
        <f t="shared" si="45"/>
        <v>35.654135140103357</v>
      </c>
      <c r="G60" s="502">
        <f t="shared" si="45"/>
        <v>39.821247913660351</v>
      </c>
      <c r="H60" s="502">
        <f t="shared" si="45"/>
        <v>43.913343294047671</v>
      </c>
      <c r="I60" s="502">
        <f t="shared" si="45"/>
        <v>46.802508180027552</v>
      </c>
      <c r="J60" s="502">
        <f t="shared" si="45"/>
        <v>50.183599793085349</v>
      </c>
      <c r="K60" s="502">
        <f t="shared" si="45"/>
        <v>54.425122384559216</v>
      </c>
      <c r="L60" s="502">
        <f t="shared" si="45"/>
        <v>59.433145091909672</v>
      </c>
      <c r="M60" s="502">
        <f t="shared" si="45"/>
        <v>70.718638017671651</v>
      </c>
      <c r="N60" s="502">
        <f t="shared" si="45"/>
        <v>74.858988028081669</v>
      </c>
      <c r="O60" s="502">
        <f>(O56+O57+O58)*O59</f>
        <v>86.019286577204838</v>
      </c>
      <c r="P60" s="422" t="e">
        <f t="shared" si="45"/>
        <v>#REF!</v>
      </c>
      <c r="Q60" s="422" t="e">
        <f>(Q56+Q57+Q58)*Q59</f>
        <v>#REF!</v>
      </c>
      <c r="R60" s="422" t="e">
        <f t="shared" ref="R60:AA60" si="46">(R56+R57+R58)*R59</f>
        <v>#REF!</v>
      </c>
      <c r="S60" s="422" t="e">
        <f t="shared" si="46"/>
        <v>#REF!</v>
      </c>
      <c r="T60" s="422" t="e">
        <f t="shared" si="46"/>
        <v>#REF!</v>
      </c>
      <c r="U60" s="422" t="e">
        <f t="shared" si="46"/>
        <v>#REF!</v>
      </c>
      <c r="V60" s="422" t="e">
        <f t="shared" si="46"/>
        <v>#REF!</v>
      </c>
      <c r="W60" s="422" t="e">
        <f t="shared" si="46"/>
        <v>#REF!</v>
      </c>
      <c r="X60" s="422" t="e">
        <f t="shared" si="46"/>
        <v>#REF!</v>
      </c>
      <c r="Y60" s="422" t="e">
        <f t="shared" si="46"/>
        <v>#REF!</v>
      </c>
      <c r="Z60" s="422" t="e">
        <f t="shared" si="46"/>
        <v>#REF!</v>
      </c>
      <c r="AA60" s="422" t="e">
        <f t="shared" si="46"/>
        <v>#REF!</v>
      </c>
    </row>
    <row r="61" spans="1:27">
      <c r="A61" s="365">
        <v>53</v>
      </c>
      <c r="B61" s="366"/>
      <c r="C61" s="490"/>
      <c r="D61" s="490"/>
      <c r="E61" s="490"/>
      <c r="F61" s="490"/>
      <c r="G61" s="490"/>
      <c r="H61" s="490"/>
      <c r="I61" s="490"/>
      <c r="J61" s="490"/>
      <c r="K61" s="490"/>
      <c r="L61" s="490"/>
      <c r="M61" s="490"/>
      <c r="N61" s="490"/>
      <c r="O61" s="490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</row>
    <row r="62" spans="1:27">
      <c r="A62" s="370">
        <v>54</v>
      </c>
      <c r="B62" s="372" t="s">
        <v>258</v>
      </c>
      <c r="C62" s="490"/>
      <c r="D62" s="490"/>
      <c r="E62" s="490"/>
      <c r="F62" s="490"/>
      <c r="G62" s="490"/>
      <c r="H62" s="490"/>
      <c r="I62" s="490"/>
      <c r="J62" s="490"/>
      <c r="K62" s="490"/>
      <c r="L62" s="490"/>
      <c r="M62" s="490"/>
      <c r="N62" s="490"/>
      <c r="O62" s="490"/>
      <c r="P62" s="366"/>
      <c r="Q62" s="366"/>
      <c r="R62" s="366"/>
      <c r="S62" s="366"/>
      <c r="T62" s="366"/>
      <c r="U62" s="366"/>
      <c r="V62" s="366"/>
      <c r="W62" s="366"/>
      <c r="X62" s="366"/>
      <c r="Y62" s="366"/>
      <c r="Z62" s="366"/>
      <c r="AA62" s="366"/>
    </row>
    <row r="63" spans="1:27" ht="15.75">
      <c r="A63" s="365">
        <v>55</v>
      </c>
      <c r="B63" s="371" t="s">
        <v>259</v>
      </c>
      <c r="C63" s="490"/>
      <c r="D63" s="490"/>
      <c r="E63" s="490"/>
      <c r="F63" s="490"/>
      <c r="G63" s="490"/>
      <c r="H63" s="490"/>
      <c r="I63" s="490"/>
      <c r="J63" s="490"/>
      <c r="K63" s="490"/>
      <c r="L63" s="490"/>
      <c r="M63" s="490"/>
      <c r="N63" s="490"/>
      <c r="O63" s="490"/>
      <c r="P63" s="366"/>
      <c r="Q63" s="366"/>
      <c r="R63" s="366"/>
      <c r="S63" s="366"/>
      <c r="T63" s="366"/>
      <c r="U63" s="366"/>
      <c r="V63" s="366"/>
      <c r="W63" s="366"/>
      <c r="X63" s="366"/>
      <c r="Y63" s="366"/>
      <c r="Z63" s="366"/>
      <c r="AA63" s="366"/>
    </row>
    <row r="64" spans="1:27" ht="15">
      <c r="A64" s="370">
        <v>56</v>
      </c>
      <c r="B64" s="401" t="s">
        <v>63</v>
      </c>
      <c r="C64" s="490"/>
      <c r="D64" s="490"/>
      <c r="E64" s="490"/>
      <c r="F64" s="490"/>
      <c r="G64" s="490"/>
      <c r="H64" s="490"/>
      <c r="I64" s="490"/>
      <c r="J64" s="490"/>
      <c r="K64" s="490"/>
      <c r="L64" s="490"/>
      <c r="M64" s="490"/>
      <c r="N64" s="490"/>
      <c r="O64" s="490"/>
      <c r="P64" s="366"/>
      <c r="Q64" s="366"/>
      <c r="R64" s="366"/>
      <c r="S64" s="366"/>
      <c r="T64" s="366"/>
      <c r="U64" s="366"/>
      <c r="V64" s="366"/>
      <c r="W64" s="366"/>
      <c r="X64" s="366"/>
      <c r="Y64" s="366"/>
      <c r="Z64" s="366"/>
      <c r="AA64" s="366"/>
    </row>
    <row r="65" spans="1:27">
      <c r="A65" s="378">
        <v>57</v>
      </c>
      <c r="B65" s="379" t="s">
        <v>13</v>
      </c>
      <c r="C65" s="494">
        <f>C22</f>
        <v>9185.4360923747699</v>
      </c>
      <c r="D65" s="494">
        <f>D22</f>
        <v>9677.5272930845858</v>
      </c>
      <c r="E65" s="494">
        <f t="shared" ref="E65:P65" si="47">E22</f>
        <v>10134.312933071476</v>
      </c>
      <c r="F65" s="494">
        <f t="shared" si="47"/>
        <v>10852.811030224137</v>
      </c>
      <c r="G65" s="494">
        <f t="shared" si="47"/>
        <v>12121.260459719122</v>
      </c>
      <c r="H65" s="494">
        <f t="shared" si="47"/>
        <v>13366.836012725382</v>
      </c>
      <c r="I65" s="494">
        <f t="shared" si="47"/>
        <v>14246.275681841849</v>
      </c>
      <c r="J65" s="494">
        <f t="shared" si="47"/>
        <v>15275.44749224274</v>
      </c>
      <c r="K65" s="494">
        <f t="shared" si="47"/>
        <v>16566.536597991453</v>
      </c>
      <c r="L65" s="494">
        <f t="shared" si="47"/>
        <v>18090.929986706615</v>
      </c>
      <c r="M65" s="494">
        <f t="shared" si="47"/>
        <v>21526.204979525799</v>
      </c>
      <c r="N65" s="494">
        <f t="shared" si="47"/>
        <v>22786.327238366488</v>
      </c>
      <c r="O65" s="494">
        <f>O22</f>
        <v>26183.659847650946</v>
      </c>
      <c r="P65" s="423">
        <f t="shared" si="47"/>
        <v>0</v>
      </c>
      <c r="Q65" s="423">
        <f>Q22</f>
        <v>15503.888933825472</v>
      </c>
      <c r="R65" s="423">
        <f t="shared" ref="R65:AA65" si="48">R22</f>
        <v>0</v>
      </c>
      <c r="S65" s="423">
        <f t="shared" si="48"/>
        <v>0</v>
      </c>
      <c r="T65" s="423">
        <f t="shared" si="48"/>
        <v>0</v>
      </c>
      <c r="U65" s="423">
        <f t="shared" si="48"/>
        <v>0</v>
      </c>
      <c r="V65" s="423">
        <f t="shared" si="48"/>
        <v>0</v>
      </c>
      <c r="W65" s="423">
        <f t="shared" si="48"/>
        <v>0</v>
      </c>
      <c r="X65" s="423">
        <f t="shared" si="48"/>
        <v>0</v>
      </c>
      <c r="Y65" s="423">
        <f t="shared" si="48"/>
        <v>0</v>
      </c>
      <c r="Z65" s="423">
        <f t="shared" si="48"/>
        <v>0</v>
      </c>
      <c r="AA65" s="423" t="e">
        <f t="shared" si="48"/>
        <v>#REF!</v>
      </c>
    </row>
    <row r="66" spans="1:27">
      <c r="A66" s="382">
        <v>58</v>
      </c>
      <c r="B66" s="379" t="s">
        <v>48</v>
      </c>
      <c r="C66" s="495">
        <f>C26</f>
        <v>7.0233333333333328E-3</v>
      </c>
      <c r="D66" s="495">
        <f>D26</f>
        <v>6.9283333333333324E-3</v>
      </c>
      <c r="E66" s="495">
        <f t="shared" ref="E66:P66" si="49">E26</f>
        <v>6.9283333333333324E-3</v>
      </c>
      <c r="F66" s="495">
        <f t="shared" si="49"/>
        <v>6.9283333333333324E-3</v>
      </c>
      <c r="G66" s="495">
        <f t="shared" si="49"/>
        <v>6.9283333333333324E-3</v>
      </c>
      <c r="H66" s="495">
        <f t="shared" si="49"/>
        <v>6.9283333333333324E-3</v>
      </c>
      <c r="I66" s="495">
        <f t="shared" si="49"/>
        <v>6.9283333333333324E-3</v>
      </c>
      <c r="J66" s="495">
        <f t="shared" si="49"/>
        <v>6.9283333333333324E-3</v>
      </c>
      <c r="K66" s="495">
        <f t="shared" si="49"/>
        <v>6.9283333333333324E-3</v>
      </c>
      <c r="L66" s="495">
        <f t="shared" si="49"/>
        <v>6.9283333333333324E-3</v>
      </c>
      <c r="M66" s="495">
        <f t="shared" si="49"/>
        <v>6.9283333333333324E-3</v>
      </c>
      <c r="N66" s="495">
        <f t="shared" si="49"/>
        <v>6.9283333333333324E-3</v>
      </c>
      <c r="O66" s="495">
        <f>O26</f>
        <v>6.9283333333333324E-3</v>
      </c>
      <c r="P66" s="424">
        <f t="shared" si="49"/>
        <v>7.0233333333333328E-3</v>
      </c>
      <c r="Q66" s="424">
        <f>Q26</f>
        <v>7.0233333333333328E-3</v>
      </c>
      <c r="R66" s="424">
        <f t="shared" ref="R66:AA66" si="50">R26</f>
        <v>7.0233333333333328E-3</v>
      </c>
      <c r="S66" s="424">
        <f t="shared" si="50"/>
        <v>7.0233333333333328E-3</v>
      </c>
      <c r="T66" s="424">
        <f t="shared" si="50"/>
        <v>7.0233333333333328E-3</v>
      </c>
      <c r="U66" s="424">
        <f t="shared" si="50"/>
        <v>7.0233333333333328E-3</v>
      </c>
      <c r="V66" s="424">
        <f t="shared" si="50"/>
        <v>7.0233333333333328E-3</v>
      </c>
      <c r="W66" s="424">
        <f t="shared" si="50"/>
        <v>7.0233333333333328E-3</v>
      </c>
      <c r="X66" s="424">
        <f t="shared" si="50"/>
        <v>7.0233333333333328E-3</v>
      </c>
      <c r="Y66" s="424">
        <f t="shared" si="50"/>
        <v>7.0233333333333328E-3</v>
      </c>
      <c r="Z66" s="424">
        <f t="shared" si="50"/>
        <v>7.0233333333333328E-3</v>
      </c>
      <c r="AA66" s="424">
        <f t="shared" si="50"/>
        <v>7.0233333333333328E-3</v>
      </c>
    </row>
    <row r="67" spans="1:27">
      <c r="A67" s="378">
        <v>59</v>
      </c>
      <c r="B67" s="379" t="s">
        <v>152</v>
      </c>
      <c r="C67" s="492">
        <f>C65*C66</f>
        <v>64.512379488778791</v>
      </c>
      <c r="D67" s="492">
        <f t="shared" ref="D67:P67" si="51">D65*D66</f>
        <v>67.049134928921035</v>
      </c>
      <c r="E67" s="492">
        <f t="shared" si="51"/>
        <v>70.213898104630204</v>
      </c>
      <c r="F67" s="492">
        <f t="shared" si="51"/>
        <v>75.191892421069554</v>
      </c>
      <c r="G67" s="492">
        <f t="shared" si="51"/>
        <v>83.980132885087301</v>
      </c>
      <c r="H67" s="492">
        <f t="shared" si="51"/>
        <v>92.609895508165678</v>
      </c>
      <c r="I67" s="492">
        <f t="shared" si="51"/>
        <v>98.702946682360931</v>
      </c>
      <c r="J67" s="492">
        <f t="shared" si="51"/>
        <v>105.83339204208843</v>
      </c>
      <c r="K67" s="492">
        <f t="shared" si="51"/>
        <v>114.77848772975076</v>
      </c>
      <c r="L67" s="492">
        <f t="shared" si="51"/>
        <v>125.33999325789898</v>
      </c>
      <c r="M67" s="492">
        <f t="shared" si="51"/>
        <v>149.14072349981456</v>
      </c>
      <c r="N67" s="492">
        <f t="shared" si="51"/>
        <v>157.87127054981579</v>
      </c>
      <c r="O67" s="492">
        <f t="shared" ref="O67:AA67" si="52">O65*O66</f>
        <v>181.40912331114163</v>
      </c>
      <c r="P67" s="420">
        <f t="shared" si="51"/>
        <v>0</v>
      </c>
      <c r="Q67" s="420">
        <f t="shared" si="52"/>
        <v>108.88897994523423</v>
      </c>
      <c r="R67" s="420">
        <f t="shared" si="52"/>
        <v>0</v>
      </c>
      <c r="S67" s="420">
        <f t="shared" si="52"/>
        <v>0</v>
      </c>
      <c r="T67" s="420">
        <f t="shared" si="52"/>
        <v>0</v>
      </c>
      <c r="U67" s="420">
        <f t="shared" si="52"/>
        <v>0</v>
      </c>
      <c r="V67" s="420">
        <f t="shared" si="52"/>
        <v>0</v>
      </c>
      <c r="W67" s="420">
        <f t="shared" si="52"/>
        <v>0</v>
      </c>
      <c r="X67" s="420">
        <f t="shared" si="52"/>
        <v>0</v>
      </c>
      <c r="Y67" s="420">
        <f t="shared" si="52"/>
        <v>0</v>
      </c>
      <c r="Z67" s="420">
        <f t="shared" si="52"/>
        <v>0</v>
      </c>
      <c r="AA67" s="420" t="e">
        <f t="shared" si="52"/>
        <v>#REF!</v>
      </c>
    </row>
    <row r="68" spans="1:27">
      <c r="A68" s="382">
        <v>60</v>
      </c>
      <c r="B68" s="379" t="s">
        <v>151</v>
      </c>
      <c r="C68" s="494">
        <f>C60</f>
        <v>30.270456726951714</v>
      </c>
      <c r="D68" s="494">
        <f>D60</f>
        <v>31.79306195232332</v>
      </c>
      <c r="E68" s="494">
        <f t="shared" ref="E68:P68" si="53">E60</f>
        <v>33.293693951597724</v>
      </c>
      <c r="F68" s="494">
        <f t="shared" si="53"/>
        <v>35.654135140103357</v>
      </c>
      <c r="G68" s="494">
        <f t="shared" si="53"/>
        <v>39.821247913660351</v>
      </c>
      <c r="H68" s="494">
        <f t="shared" si="53"/>
        <v>43.913343294047671</v>
      </c>
      <c r="I68" s="494">
        <f t="shared" si="53"/>
        <v>46.802508180027552</v>
      </c>
      <c r="J68" s="494">
        <f t="shared" si="53"/>
        <v>50.183599793085349</v>
      </c>
      <c r="K68" s="494">
        <f t="shared" si="53"/>
        <v>54.425122384559216</v>
      </c>
      <c r="L68" s="494">
        <f t="shared" si="53"/>
        <v>59.433145091909672</v>
      </c>
      <c r="M68" s="494">
        <f t="shared" si="53"/>
        <v>70.718638017671651</v>
      </c>
      <c r="N68" s="494">
        <f t="shared" si="53"/>
        <v>74.858988028081669</v>
      </c>
      <c r="O68" s="494">
        <f>O60</f>
        <v>86.019286577204838</v>
      </c>
      <c r="P68" s="423" t="e">
        <f t="shared" si="53"/>
        <v>#REF!</v>
      </c>
      <c r="Q68" s="423" t="e">
        <f>Q60</f>
        <v>#REF!</v>
      </c>
      <c r="R68" s="423" t="e">
        <f t="shared" ref="R68:AA68" si="54">R60</f>
        <v>#REF!</v>
      </c>
      <c r="S68" s="423" t="e">
        <f t="shared" si="54"/>
        <v>#REF!</v>
      </c>
      <c r="T68" s="423" t="e">
        <f t="shared" si="54"/>
        <v>#REF!</v>
      </c>
      <c r="U68" s="423" t="e">
        <f t="shared" si="54"/>
        <v>#REF!</v>
      </c>
      <c r="V68" s="423" t="e">
        <f t="shared" si="54"/>
        <v>#REF!</v>
      </c>
      <c r="W68" s="423" t="e">
        <f t="shared" si="54"/>
        <v>#REF!</v>
      </c>
      <c r="X68" s="423" t="e">
        <f t="shared" si="54"/>
        <v>#REF!</v>
      </c>
      <c r="Y68" s="423" t="e">
        <f t="shared" si="54"/>
        <v>#REF!</v>
      </c>
      <c r="Z68" s="423" t="e">
        <f t="shared" si="54"/>
        <v>#REF!</v>
      </c>
      <c r="AA68" s="423" t="e">
        <f t="shared" si="54"/>
        <v>#REF!</v>
      </c>
    </row>
    <row r="69" spans="1:27">
      <c r="A69" s="365">
        <v>61</v>
      </c>
      <c r="B69" s="503" t="s">
        <v>112</v>
      </c>
      <c r="C69" s="502">
        <f>C67+C68</f>
        <v>94.782836215730498</v>
      </c>
      <c r="D69" s="502">
        <f t="shared" ref="D69:P69" si="55">D67+D68</f>
        <v>98.842196881244348</v>
      </c>
      <c r="E69" s="502">
        <f t="shared" si="55"/>
        <v>103.50759205622794</v>
      </c>
      <c r="F69" s="502">
        <f t="shared" si="55"/>
        <v>110.84602756117292</v>
      </c>
      <c r="G69" s="502">
        <f t="shared" si="55"/>
        <v>123.80138079874766</v>
      </c>
      <c r="H69" s="502">
        <f t="shared" si="55"/>
        <v>136.52323880221334</v>
      </c>
      <c r="I69" s="502">
        <f t="shared" si="55"/>
        <v>145.50545486238849</v>
      </c>
      <c r="J69" s="502">
        <f t="shared" si="55"/>
        <v>156.01699183517377</v>
      </c>
      <c r="K69" s="502">
        <f t="shared" si="55"/>
        <v>169.20361011430998</v>
      </c>
      <c r="L69" s="502">
        <f t="shared" si="55"/>
        <v>184.77313834980865</v>
      </c>
      <c r="M69" s="502">
        <f t="shared" si="55"/>
        <v>219.85936151748621</v>
      </c>
      <c r="N69" s="502">
        <f t="shared" si="55"/>
        <v>232.73025857789747</v>
      </c>
      <c r="O69" s="502">
        <f t="shared" ref="O69:AA69" si="56">O67+O68</f>
        <v>267.42840988834644</v>
      </c>
      <c r="P69" s="422" t="e">
        <f t="shared" si="55"/>
        <v>#REF!</v>
      </c>
      <c r="Q69" s="422" t="e">
        <f t="shared" si="56"/>
        <v>#REF!</v>
      </c>
      <c r="R69" s="422" t="e">
        <f t="shared" si="56"/>
        <v>#REF!</v>
      </c>
      <c r="S69" s="422" t="e">
        <f t="shared" si="56"/>
        <v>#REF!</v>
      </c>
      <c r="T69" s="422" t="e">
        <f t="shared" si="56"/>
        <v>#REF!</v>
      </c>
      <c r="U69" s="422" t="e">
        <f t="shared" si="56"/>
        <v>#REF!</v>
      </c>
      <c r="V69" s="422" t="e">
        <f t="shared" si="56"/>
        <v>#REF!</v>
      </c>
      <c r="W69" s="422" t="e">
        <f t="shared" si="56"/>
        <v>#REF!</v>
      </c>
      <c r="X69" s="422" t="e">
        <f t="shared" si="56"/>
        <v>#REF!</v>
      </c>
      <c r="Y69" s="422" t="e">
        <f t="shared" si="56"/>
        <v>#REF!</v>
      </c>
      <c r="Z69" s="422" t="e">
        <f t="shared" si="56"/>
        <v>#REF!</v>
      </c>
      <c r="AA69" s="422" t="e">
        <f t="shared" si="56"/>
        <v>#REF!</v>
      </c>
    </row>
    <row r="70" spans="1:27">
      <c r="A70" s="402"/>
      <c r="B70" s="366"/>
      <c r="C70" s="490"/>
      <c r="D70" s="490"/>
      <c r="E70" s="490"/>
      <c r="F70" s="490"/>
      <c r="G70" s="490"/>
      <c r="H70" s="490"/>
      <c r="I70" s="490"/>
      <c r="J70" s="490"/>
      <c r="K70" s="490"/>
      <c r="L70" s="490"/>
      <c r="M70" s="490"/>
      <c r="N70" s="490"/>
      <c r="O70" s="490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</row>
    <row r="71" spans="1:27">
      <c r="A71" s="402"/>
      <c r="B71" s="366"/>
      <c r="C71" s="490"/>
      <c r="D71" s="490"/>
      <c r="E71" s="490"/>
      <c r="F71" s="490"/>
      <c r="G71" s="490"/>
      <c r="H71" s="490"/>
      <c r="I71" s="490"/>
      <c r="J71" s="490"/>
      <c r="K71" s="490"/>
      <c r="L71" s="490"/>
      <c r="M71" s="490"/>
      <c r="N71" s="490"/>
      <c r="O71" s="490"/>
      <c r="P71" s="366"/>
      <c r="Q71" s="366"/>
      <c r="R71" s="366"/>
      <c r="S71" s="366"/>
      <c r="T71" s="366"/>
      <c r="U71" s="366"/>
      <c r="V71" s="366"/>
      <c r="W71" s="366"/>
      <c r="X71" s="366"/>
      <c r="Y71" s="366"/>
      <c r="Z71" s="366"/>
      <c r="AA71" s="366"/>
    </row>
    <row r="72" spans="1:27">
      <c r="A72" s="402"/>
      <c r="B72" s="366"/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490"/>
      <c r="P72" s="366"/>
      <c r="Q72" s="366"/>
      <c r="R72" s="366"/>
      <c r="S72" s="366"/>
      <c r="T72" s="366"/>
      <c r="U72" s="366"/>
      <c r="V72" s="366"/>
      <c r="W72" s="366"/>
      <c r="X72" s="366"/>
      <c r="Y72" s="366"/>
      <c r="Z72" s="366"/>
      <c r="AA72" s="366"/>
    </row>
    <row r="73" spans="1:27" ht="15">
      <c r="A73" s="402"/>
      <c r="B73" s="403"/>
      <c r="C73" s="490"/>
      <c r="D73" s="490"/>
      <c r="E73" s="490"/>
      <c r="F73" s="490"/>
      <c r="G73" s="490"/>
      <c r="H73" s="490"/>
      <c r="I73" s="490"/>
      <c r="J73" s="490"/>
      <c r="K73" s="490"/>
      <c r="L73" s="490"/>
      <c r="M73" s="490"/>
      <c r="N73" s="490"/>
      <c r="O73" s="490"/>
      <c r="P73" s="366"/>
      <c r="Q73" s="366"/>
      <c r="R73" s="366"/>
      <c r="S73" s="366"/>
      <c r="T73" s="366"/>
      <c r="U73" s="366"/>
      <c r="V73" s="366"/>
      <c r="W73" s="366"/>
      <c r="X73" s="366"/>
      <c r="Y73" s="366"/>
      <c r="Z73" s="366"/>
      <c r="AA73" s="366"/>
    </row>
  </sheetData>
  <mergeCells count="7">
    <mergeCell ref="D16:O16"/>
    <mergeCell ref="P16:AA16"/>
    <mergeCell ref="A1:AA1"/>
    <mergeCell ref="A2:AA2"/>
    <mergeCell ref="A3:AA3"/>
    <mergeCell ref="A4:AA4"/>
    <mergeCell ref="A5:AA5"/>
  </mergeCells>
  <pageMargins left="0.7" right="0.7" top="0.75" bottom="0.75" header="0.3" footer="0.3"/>
  <pageSetup scale="50" orientation="landscape" verticalDpi="0" r:id="rId1"/>
  <headerFooter>
    <oddHeader>&amp;RAttachment 4
WP-Schedule 3
CWIPBA 12.31.11 Balance
Page &amp;P to &amp;P</oddHeader>
  </headerFooter>
  <colBreaks count="1" manualBreakCount="1">
    <brk id="15" max="68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29</vt:i4>
      </vt:variant>
    </vt:vector>
  </HeadingPairs>
  <TitlesOfParts>
    <vt:vector size="61" baseType="lpstr">
      <vt:lpstr>Revenue Forecast Comparison</vt:lpstr>
      <vt:lpstr>Plant Forecast Comparison</vt:lpstr>
      <vt:lpstr>Monthly Entry</vt:lpstr>
      <vt:lpstr>Balancing Acct</vt:lpstr>
      <vt:lpstr>Revenue</vt:lpstr>
      <vt:lpstr>DPV2 Rev Req</vt:lpstr>
      <vt:lpstr>Tehachapi Rev Req</vt:lpstr>
      <vt:lpstr>Rancho Vista Rev Req</vt:lpstr>
      <vt:lpstr>Eldorado Ivanpah Rev Req</vt:lpstr>
      <vt:lpstr>Lugo-Pisgah Rev Req</vt:lpstr>
      <vt:lpstr>Red Bluff Rev Req</vt:lpstr>
      <vt:lpstr>Whirlwind Rev Req</vt:lpstr>
      <vt:lpstr>CR Rev Req</vt:lpstr>
      <vt:lpstr>S of Kramer Rev Req</vt:lpstr>
      <vt:lpstr>W of Devers Rev Req</vt:lpstr>
      <vt:lpstr>DPV2 CWIP Balance</vt:lpstr>
      <vt:lpstr>DPV2 Transfer</vt:lpstr>
      <vt:lpstr>Tehachapi CWIP Balance</vt:lpstr>
      <vt:lpstr>Tehachapi Transfer</vt:lpstr>
      <vt:lpstr>Rancho Vista CWIP Balance</vt:lpstr>
      <vt:lpstr>Rancho Vista Transfer</vt:lpstr>
      <vt:lpstr>Red Bluff CWIP Balance</vt:lpstr>
      <vt:lpstr>Eldorado Ivanpah CWIP Balance</vt:lpstr>
      <vt:lpstr>Lugo-Pisgah CWIP Balance</vt:lpstr>
      <vt:lpstr>CR CWIP Balance</vt:lpstr>
      <vt:lpstr>W. of Devers CWIP Balance</vt:lpstr>
      <vt:lpstr>Whirlwind CWIP Balance</vt:lpstr>
      <vt:lpstr>S. of Kramer CWIP Balance</vt:lpstr>
      <vt:lpstr>Def Tax</vt:lpstr>
      <vt:lpstr>Beg int cap</vt:lpstr>
      <vt:lpstr>Cost of Capital</vt:lpstr>
      <vt:lpstr>Income Tax Rates</vt:lpstr>
      <vt:lpstr>'Balancing Acct'!Print_Area</vt:lpstr>
      <vt:lpstr>'Beg int cap'!Print_Area</vt:lpstr>
      <vt:lpstr>'Cost of Capital'!Print_Area</vt:lpstr>
      <vt:lpstr>'CR Rev Req'!Print_Area</vt:lpstr>
      <vt:lpstr>'Def Tax'!Print_Area</vt:lpstr>
      <vt:lpstr>'DPV2 CWIP Balance'!Print_Area</vt:lpstr>
      <vt:lpstr>'DPV2 Rev Req'!Print_Area</vt:lpstr>
      <vt:lpstr>'DPV2 Transfer'!Print_Area</vt:lpstr>
      <vt:lpstr>'Eldorado Ivanpah Rev Req'!Print_Area</vt:lpstr>
      <vt:lpstr>'Income Tax Rates'!Print_Area</vt:lpstr>
      <vt:lpstr>'Lugo-Pisgah Rev Req'!Print_Area</vt:lpstr>
      <vt:lpstr>'Monthly Entry'!Print_Area</vt:lpstr>
      <vt:lpstr>'Rancho Vista CWIP Balance'!Print_Area</vt:lpstr>
      <vt:lpstr>'Rancho Vista Rev Req'!Print_Area</vt:lpstr>
      <vt:lpstr>'Rancho Vista Transfer'!Print_Area</vt:lpstr>
      <vt:lpstr>'Red Bluff Rev Req'!Print_Area</vt:lpstr>
      <vt:lpstr>Revenue!Print_Area</vt:lpstr>
      <vt:lpstr>'S of Kramer Rev Req'!Print_Area</vt:lpstr>
      <vt:lpstr>'Tehachapi CWIP Balance'!Print_Area</vt:lpstr>
      <vt:lpstr>'Tehachapi Rev Req'!Print_Area</vt:lpstr>
      <vt:lpstr>'Tehachapi Transfer'!Print_Area</vt:lpstr>
      <vt:lpstr>'W of Devers Rev Req'!Print_Area</vt:lpstr>
      <vt:lpstr>'Whirlwind Rev Req'!Print_Area</vt:lpstr>
      <vt:lpstr>'Balancing Acct'!Print_Titles</vt:lpstr>
      <vt:lpstr>'Cost of Capital'!Print_Titles</vt:lpstr>
      <vt:lpstr>'Def Tax'!Print_Titles</vt:lpstr>
      <vt:lpstr>'DPV2 Rev Req'!Print_Titles</vt:lpstr>
      <vt:lpstr>'Rancho Vista Rev Req'!Print_Titles</vt:lpstr>
      <vt:lpstr>'Tehachapi Rev Req'!Print_Titles</vt:lpstr>
    </vt:vector>
  </TitlesOfParts>
  <Company>Edison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 Group</dc:creator>
  <cp:lastModifiedBy>Standard Configuration</cp:lastModifiedBy>
  <cp:lastPrinted>2012-09-13T02:23:14Z</cp:lastPrinted>
  <dcterms:created xsi:type="dcterms:W3CDTF">2007-12-28T23:26:08Z</dcterms:created>
  <dcterms:modified xsi:type="dcterms:W3CDTF">2012-09-13T02:23:21Z</dcterms:modified>
</cp:coreProperties>
</file>