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9 Refiled Rate Case - TO2019A\Workpapers\"/>
    </mc:Choice>
  </mc:AlternateContent>
  <bookViews>
    <workbookView xWindow="0" yWindow="0" windowWidth="25200" windowHeight="11085"/>
  </bookViews>
  <sheets>
    <sheet name="One Time Adj Explanation" sheetId="100" r:id="rId1"/>
    <sheet name="WP-Total Adj with Int" sheetId="86" r:id="rId2"/>
    <sheet name="WP-2015 True Up TRR Adj" sheetId="130" r:id="rId3"/>
    <sheet name="WP-2015 Sch4-TUTRR" sheetId="180" r:id="rId4"/>
    <sheet name="WP-2015 Sch21-RevenueCredits" sheetId="182" r:id="rId5"/>
    <sheet name="WP-2015 Sch27-Allocators" sheetId="181" r:id="rId6"/>
    <sheet name="WP-2016 True Up TRR Adj" sheetId="101" r:id="rId7"/>
    <sheet name="WP-2016 Sch 4-TUTRR" sheetId="184" r:id="rId8"/>
    <sheet name="WP-2016 Sch20-AandG" sheetId="185" r:id="rId9"/>
    <sheet name="WP-2016 Sch21-RevenueCredits" sheetId="186" r:id="rId10"/>
    <sheet name="WP-2016 Sch27-Allocators" sheetId="187"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Alt2007">#REF!</definedName>
    <definedName name="_Apr06">#REF!</definedName>
    <definedName name="_F100040">'[1]EIX Cost Centers'!$A$1:$B$33</definedName>
    <definedName name="_Feb06">#REF!</definedName>
    <definedName name="_Fill" hidden="1">#REF!</definedName>
    <definedName name="_xlnm._FilterDatabase" localSheetId="4" hidden="1">'WP-2015 Sch21-RevenueCredits'!$A$1:$O$250</definedName>
    <definedName name="_xlnm._FilterDatabase" localSheetId="9" hidden="1">'WP-2016 Sch21-RevenueCredits'!$A$1:$O$254</definedName>
    <definedName name="_May06">#REF!</definedName>
    <definedName name="_Nov05">#REF!</definedName>
    <definedName name="_Order1" hidden="1">255</definedName>
    <definedName name="_Order2" hidden="1">255</definedName>
    <definedName name="_SO2">#REF!</definedName>
    <definedName name="_SO4">#REF!</definedName>
    <definedName name="Active">#REF!</definedName>
    <definedName name="AltForecast">#REF!</definedName>
    <definedName name="Assets">'[2]GL Master Data lookup'!#REF!</definedName>
    <definedName name="Basis_Point">#REF!</definedName>
    <definedName name="Basis_Prices_Upload_Date">[3]Check!$B$29</definedName>
    <definedName name="Basis_Web_Query">[4]BasisPrices!$B$29</definedName>
    <definedName name="BHV">#REF!</definedName>
    <definedName name="Bio">#REF!</definedName>
    <definedName name="BLOCK">#REF!</definedName>
    <definedName name="BLOCKPOSTING">#REF!</definedName>
    <definedName name="Calc_implied_vol">[4]Volatility!$B$31</definedName>
    <definedName name="Clearing_House_deals_MTM_PT___Current_Month">#REF!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#REF!</definedName>
    <definedName name="CRR_SD_1">#REF!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#REF!</definedName>
    <definedName name="DWR_Start_Row">#REF!</definedName>
    <definedName name="Effective_date">'[4]Calpine Renewable Cntrct  MTM'!$L$81</definedName>
    <definedName name="EIX_10k">#REF!</definedName>
    <definedName name="EIX_10K_DET_M">#REF!</definedName>
    <definedName name="EIX_10K_DET_T">#REF!</definedName>
    <definedName name="EIX_10K_DETAIL">#REF!</definedName>
    <definedName name="EIX_10K_M">#REF!</definedName>
    <definedName name="EIX_10k_t">#REF!</definedName>
    <definedName name="EIX_10K_WK_CURR">[7]WS!#REF!</definedName>
    <definedName name="EIX_10K_WK_JAN1">#REF!</definedName>
    <definedName name="EIX_10k_WK_LASTMO">#REF!</definedName>
    <definedName name="EIX_WS">[7]WS!#REF!</definedName>
    <definedName name="eixytd">#REF!</definedName>
    <definedName name="ENTRYNODE">#REF!</definedName>
    <definedName name="EOptns_Term_Sch_Point">#REF!</definedName>
    <definedName name="Equity">'[2]GL Master Data lookup'!#REF!</definedName>
    <definedName name="Escalation_Rate">#REF!</definedName>
    <definedName name="FERC">#REF!</definedName>
    <definedName name="FERC_Map">'[2]CARS to FERC Map'!$A$2:$B$2339</definedName>
    <definedName name="Format_Quotes">[4]PowerPrices!$B$62</definedName>
    <definedName name="FSD">#REF!</definedName>
    <definedName name="Fut_Point">#REF!</definedName>
    <definedName name="Futs_Web_Query">[4]FuturePrices!$B$34</definedName>
    <definedName name="Futures_Prices_Upload_Date">[3]Check!$B$28</definedName>
    <definedName name="Gas">#REF!</definedName>
    <definedName name="Gas_Fin_Non_Options">#REF!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#REF!</definedName>
    <definedName name="Hydro">#REF!</definedName>
    <definedName name="Interest_Rates_Upload_Date">[3]Check!$B$30</definedName>
    <definedName name="IR_Web_Query">[4]InterestRates!$B$26</definedName>
    <definedName name="ITEMTYPE">#REF!</definedName>
    <definedName name="Level">#REF!</definedName>
    <definedName name="Liab">'[2]GL Master Data lookup'!#REF!</definedName>
    <definedName name="List_1st_nearby">[4]Volatility!$B$28</definedName>
    <definedName name="List_2nd_nearby">[4]Volatility!$B$29</definedName>
    <definedName name="List_3rd_nearby">[4]Volatility!$B$30</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#REF!</definedName>
    <definedName name="NEG">#REF!</definedName>
    <definedName name="new" hidden="1">{#N/A,#N/A,TRUE,"Section6";#N/A,#N/A,TRUE,"OHcycles";#N/A,#N/A,TRUE,"OHtiming";#N/A,#N/A,TRUE,"OHcosts";#N/A,#N/A,TRUE,"GTdegradation";#N/A,#N/A,TRUE,"GTperformance";#N/A,#N/A,TRUE,"GraphEquip"}</definedName>
    <definedName name="Next_Month">#REF!</definedName>
    <definedName name="NoContamSystems">SUM('[8]Facility Technical Data'!$C$11:$C$12)</definedName>
    <definedName name="OOR">'[2]GL Master Data lookup'!#REF!</definedName>
    <definedName name="Op_Exp">'[2]GL Master Data lookup'!#REF!</definedName>
    <definedName name="OracleUploadDate">[9]Renewable!$I$1</definedName>
    <definedName name="ord">'[10]Master Data'!$B$1:$T$118</definedName>
    <definedName name="P_L">'[2]GL Master Data lookup'!#REF!</definedName>
    <definedName name="Past_Cash">'[2]GL Master Data lookup'!#REF!</definedName>
    <definedName name="PivotTablePoint">#REF!</definedName>
    <definedName name="Posting_Keys">#REF!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Explanation'!$A$1:$F$28</definedName>
    <definedName name="_xlnm.Print_Area" localSheetId="4">'WP-2015 Sch21-RevenueCredits'!$A$1:$O$254</definedName>
    <definedName name="_xlnm.Print_Area" localSheetId="5">'WP-2015 Sch27-Allocators'!$A$1:$K$126</definedName>
    <definedName name="_xlnm.Print_Area" localSheetId="3">'WP-2015 Sch4-TUTRR'!$A$1:$J$109</definedName>
    <definedName name="_xlnm.Print_Area" localSheetId="2">'WP-2015 True Up TRR Adj'!$A$1:$G$16</definedName>
    <definedName name="_xlnm.Print_Area" localSheetId="7">'WP-2016 Sch 4-TUTRR'!$A$1:$J$109</definedName>
    <definedName name="_xlnm.Print_Area" localSheetId="8">'WP-2016 Sch20-AandG'!$A$1:$J$112</definedName>
    <definedName name="_xlnm.Print_Area" localSheetId="9">'WP-2016 Sch21-RevenueCredits'!$A$1:$O$258</definedName>
    <definedName name="_xlnm.Print_Area" localSheetId="10">'WP-2016 Sch27-Allocators'!$A$1:$K$126</definedName>
    <definedName name="_xlnm.Print_Area" localSheetId="6">'WP-2016 True Up TRR Adj'!$A$2:$G$16</definedName>
    <definedName name="_xlnm.Print_Area" localSheetId="1">'WP-Total Adj with Int'!$A$1:$K$37</definedName>
    <definedName name="_xlnm.Print_Titles" localSheetId="4">'WP-2015 Sch21-RevenueCredits'!$1:$3</definedName>
    <definedName name="_xlnm.Print_Titles" localSheetId="9">'WP-2016 Sch21-RevenueCredits'!$1:$3</definedName>
    <definedName name="print1">#REF!</definedName>
    <definedName name="print2">#REF!</definedName>
    <definedName name="PriorMTMdate">'[11]Input And Prices'!$B$3</definedName>
    <definedName name="ProcessDate">#REF!</definedName>
    <definedName name="ProcessDate2">[9]Check!$B$3</definedName>
    <definedName name="ProcessMonth">#REF!</definedName>
    <definedName name="ProxyList">'[3]Calpine Renewable Cntrct  MTM'!$AT$15:$AT$20</definedName>
    <definedName name="QF_Asgn_List_Capacity">#REF!</definedName>
    <definedName name="QF_Asgn_List0212">#REF!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#REF!</definedName>
    <definedName name="SCE_10K_WK_LASTMO">#REF!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#REF!</definedName>
    <definedName name="SUBMITEM">#REF!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#REF!</definedName>
    <definedName name="Upload_Pwr">[4]PowerPrices!$B$66</definedName>
    <definedName name="Upload_Pwr_Access">[4]PowerPrices!$B$67</definedName>
    <definedName name="UploadAccess">[4]Volatility!$B$34</definedName>
    <definedName name="Uploads_IR_Access">#REF!</definedName>
    <definedName name="UploadVol">[4]Volatility!$B$33</definedName>
    <definedName name="Volatility_Upload_Date">[3]Check!$B$31</definedName>
    <definedName name="Week">{0;1;2;3;4;5}</definedName>
    <definedName name="Weekday">{1,2,3,4,5,6,7}</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calcMode="manual"/>
</workbook>
</file>

<file path=xl/calcChain.xml><?xml version="1.0" encoding="utf-8"?>
<calcChain xmlns="http://schemas.openxmlformats.org/spreadsheetml/2006/main">
  <c r="D126" i="187" l="1"/>
  <c r="D125" i="187"/>
  <c r="D120" i="187"/>
  <c r="D119" i="187"/>
  <c r="D114" i="187"/>
  <c r="D113" i="187"/>
  <c r="D108" i="187"/>
  <c r="D107" i="187"/>
  <c r="D102" i="187"/>
  <c r="D101" i="187"/>
  <c r="D96" i="187"/>
  <c r="D95" i="187"/>
  <c r="D90" i="187"/>
  <c r="D89" i="187"/>
  <c r="D84" i="187"/>
  <c r="D83" i="187"/>
  <c r="D78" i="187"/>
  <c r="D77" i="187"/>
  <c r="D72" i="187"/>
  <c r="D71" i="187"/>
  <c r="D66" i="187"/>
  <c r="D65" i="187"/>
  <c r="D60" i="187"/>
  <c r="D59" i="187"/>
  <c r="D54" i="187"/>
  <c r="D53" i="187"/>
  <c r="D48" i="187"/>
  <c r="D47" i="187"/>
  <c r="D42" i="187"/>
  <c r="D41" i="187"/>
  <c r="D36" i="187"/>
  <c r="D35" i="187"/>
  <c r="G24" i="187"/>
  <c r="E24" i="187"/>
  <c r="G22" i="187"/>
  <c r="E22" i="187"/>
  <c r="G21" i="187"/>
  <c r="E21" i="187"/>
  <c r="G20" i="187"/>
  <c r="E20" i="187"/>
  <c r="G12" i="187"/>
  <c r="E12" i="187"/>
  <c r="G11" i="187"/>
  <c r="G13" i="187" s="1"/>
  <c r="E11" i="187"/>
  <c r="G10" i="187"/>
  <c r="A9" i="187"/>
  <c r="A8" i="187"/>
  <c r="G7" i="187"/>
  <c r="E7" i="187"/>
  <c r="F229" i="186"/>
  <c r="F228" i="186"/>
  <c r="E227" i="186"/>
  <c r="F226" i="186"/>
  <c r="F225" i="186"/>
  <c r="F223" i="186"/>
  <c r="E213" i="186"/>
  <c r="L212" i="186"/>
  <c r="H212" i="186"/>
  <c r="E212" i="186"/>
  <c r="M209" i="186"/>
  <c r="H209" i="186"/>
  <c r="G209" i="186"/>
  <c r="I209" i="186" s="1"/>
  <c r="F209" i="186"/>
  <c r="N209" i="186" s="1"/>
  <c r="J208" i="186"/>
  <c r="M208" i="186" s="1"/>
  <c r="F208" i="186"/>
  <c r="M207" i="186"/>
  <c r="F207" i="186"/>
  <c r="J207" i="186" s="1"/>
  <c r="N206" i="186"/>
  <c r="M206" i="186"/>
  <c r="J206" i="186"/>
  <c r="I206" i="186"/>
  <c r="G206" i="186"/>
  <c r="N205" i="186"/>
  <c r="G205" i="186"/>
  <c r="I205" i="186" s="1"/>
  <c r="F205" i="186"/>
  <c r="J205" i="186" s="1"/>
  <c r="M205" i="186" s="1"/>
  <c r="N204" i="186"/>
  <c r="J204" i="186"/>
  <c r="M204" i="186" s="1"/>
  <c r="I204" i="186"/>
  <c r="G204" i="186"/>
  <c r="F204" i="186"/>
  <c r="E200" i="186"/>
  <c r="L199" i="186"/>
  <c r="H199" i="186"/>
  <c r="E199" i="186"/>
  <c r="N196" i="186"/>
  <c r="M196" i="186"/>
  <c r="J196" i="186"/>
  <c r="G196" i="186"/>
  <c r="I196" i="186" s="1"/>
  <c r="N195" i="186"/>
  <c r="J195" i="186"/>
  <c r="M195" i="186" s="1"/>
  <c r="G195" i="186"/>
  <c r="I195" i="186" s="1"/>
  <c r="J194" i="186"/>
  <c r="M194" i="186" s="1"/>
  <c r="F194" i="186"/>
  <c r="N193" i="186"/>
  <c r="F193" i="186"/>
  <c r="F192" i="186"/>
  <c r="F191" i="186"/>
  <c r="F190" i="186"/>
  <c r="M189" i="186"/>
  <c r="G189" i="186"/>
  <c r="I189" i="186" s="1"/>
  <c r="F189" i="186"/>
  <c r="J189" i="186" s="1"/>
  <c r="J188" i="186"/>
  <c r="M188" i="186" s="1"/>
  <c r="F188" i="186"/>
  <c r="M187" i="186"/>
  <c r="F187" i="186"/>
  <c r="J187" i="186" s="1"/>
  <c r="M186" i="186"/>
  <c r="J186" i="186"/>
  <c r="F186" i="186"/>
  <c r="N185" i="186"/>
  <c r="F185" i="186"/>
  <c r="F184" i="186"/>
  <c r="N183" i="186"/>
  <c r="F183" i="186"/>
  <c r="J183" i="186" s="1"/>
  <c r="M183" i="186" s="1"/>
  <c r="F182" i="186"/>
  <c r="M181" i="186"/>
  <c r="G181" i="186"/>
  <c r="I181" i="186" s="1"/>
  <c r="F181" i="186"/>
  <c r="J181" i="186" s="1"/>
  <c r="J180" i="186"/>
  <c r="F180" i="186"/>
  <c r="N176" i="186"/>
  <c r="M176" i="186"/>
  <c r="L176" i="186"/>
  <c r="J176" i="186"/>
  <c r="I176" i="186"/>
  <c r="H176" i="186"/>
  <c r="G176" i="186"/>
  <c r="E176" i="186"/>
  <c r="N171" i="186"/>
  <c r="M171" i="186"/>
  <c r="L171" i="186"/>
  <c r="J171" i="186"/>
  <c r="I171" i="186"/>
  <c r="H171" i="186"/>
  <c r="G171" i="186"/>
  <c r="E171" i="186"/>
  <c r="L166" i="186"/>
  <c r="N163" i="186"/>
  <c r="M163" i="186"/>
  <c r="J163" i="186"/>
  <c r="I163" i="186"/>
  <c r="G163" i="186"/>
  <c r="N162" i="186"/>
  <c r="J162" i="186"/>
  <c r="M162" i="186" s="1"/>
  <c r="I162" i="186"/>
  <c r="G162" i="186"/>
  <c r="N161" i="186"/>
  <c r="J161" i="186"/>
  <c r="M161" i="186" s="1"/>
  <c r="I161" i="186"/>
  <c r="G161" i="186"/>
  <c r="F160" i="186"/>
  <c r="N159" i="186"/>
  <c r="J159" i="186"/>
  <c r="M159" i="186" s="1"/>
  <c r="G159" i="186"/>
  <c r="I159" i="186" s="1"/>
  <c r="F159" i="186"/>
  <c r="J158" i="186"/>
  <c r="M158" i="186" s="1"/>
  <c r="G158" i="186"/>
  <c r="I158" i="186" s="1"/>
  <c r="F158" i="186"/>
  <c r="N158" i="186" s="1"/>
  <c r="N157" i="186"/>
  <c r="J157" i="186"/>
  <c r="M157" i="186" s="1"/>
  <c r="I157" i="186"/>
  <c r="G157" i="186"/>
  <c r="F157" i="186"/>
  <c r="N156" i="186"/>
  <c r="M156" i="186"/>
  <c r="F156" i="186"/>
  <c r="J156" i="186" s="1"/>
  <c r="N155" i="186"/>
  <c r="J155" i="186"/>
  <c r="M155" i="186" s="1"/>
  <c r="G155" i="186"/>
  <c r="I155" i="186" s="1"/>
  <c r="F155" i="186"/>
  <c r="M154" i="186"/>
  <c r="J154" i="186"/>
  <c r="G154" i="186"/>
  <c r="I154" i="186" s="1"/>
  <c r="F154" i="186"/>
  <c r="N154" i="186" s="1"/>
  <c r="F153" i="186"/>
  <c r="J153" i="186" s="1"/>
  <c r="M153" i="186" s="1"/>
  <c r="N152" i="186"/>
  <c r="J152" i="186"/>
  <c r="M152" i="186" s="1"/>
  <c r="G152" i="186"/>
  <c r="I152" i="186" s="1"/>
  <c r="F152" i="186"/>
  <c r="J151" i="186"/>
  <c r="M151" i="186" s="1"/>
  <c r="F151" i="186"/>
  <c r="N151" i="186" s="1"/>
  <c r="N150" i="186"/>
  <c r="J150" i="186"/>
  <c r="M150" i="186" s="1"/>
  <c r="G150" i="186"/>
  <c r="I150" i="186" s="1"/>
  <c r="F150" i="186"/>
  <c r="N149" i="186"/>
  <c r="F149" i="186"/>
  <c r="J149" i="186" s="1"/>
  <c r="M149" i="186" s="1"/>
  <c r="J148" i="186"/>
  <c r="M148" i="186" s="1"/>
  <c r="I148" i="186"/>
  <c r="H148" i="186"/>
  <c r="F148" i="186"/>
  <c r="G148" i="186" s="1"/>
  <c r="M147" i="186"/>
  <c r="F147" i="186"/>
  <c r="J147" i="186" s="1"/>
  <c r="J146" i="186"/>
  <c r="M146" i="186" s="1"/>
  <c r="F146" i="186"/>
  <c r="E146" i="186"/>
  <c r="E166" i="186" s="1"/>
  <c r="N145" i="186"/>
  <c r="J145" i="186"/>
  <c r="M145" i="186" s="1"/>
  <c r="G145" i="186"/>
  <c r="I145" i="186" s="1"/>
  <c r="F145" i="186"/>
  <c r="E145" i="186"/>
  <c r="M144" i="186"/>
  <c r="F144" i="186"/>
  <c r="J144" i="186" s="1"/>
  <c r="J143" i="186"/>
  <c r="M143" i="186" s="1"/>
  <c r="F143" i="186"/>
  <c r="N142" i="186"/>
  <c r="G142" i="186"/>
  <c r="F142" i="186"/>
  <c r="J142" i="186" s="1"/>
  <c r="L139" i="186"/>
  <c r="E139" i="186"/>
  <c r="N136" i="186"/>
  <c r="J136" i="186"/>
  <c r="M136" i="186" s="1"/>
  <c r="G136" i="186"/>
  <c r="N135" i="186"/>
  <c r="J135" i="186"/>
  <c r="M135" i="186" s="1"/>
  <c r="G135" i="186"/>
  <c r="I135" i="186" s="1"/>
  <c r="J134" i="186"/>
  <c r="M134" i="186" s="1"/>
  <c r="H134" i="186"/>
  <c r="N133" i="186"/>
  <c r="J133" i="186"/>
  <c r="M133" i="186" s="1"/>
  <c r="G133" i="186"/>
  <c r="I133" i="186" s="1"/>
  <c r="N132" i="186"/>
  <c r="M132" i="186"/>
  <c r="J132" i="186"/>
  <c r="I132" i="186"/>
  <c r="G132" i="186"/>
  <c r="N131" i="186"/>
  <c r="J131" i="186"/>
  <c r="M131" i="186" s="1"/>
  <c r="I131" i="186"/>
  <c r="G131" i="186"/>
  <c r="N130" i="186"/>
  <c r="J130" i="186"/>
  <c r="M130" i="186" s="1"/>
  <c r="I130" i="186"/>
  <c r="G130" i="186"/>
  <c r="N129" i="186"/>
  <c r="J129" i="186"/>
  <c r="M129" i="186" s="1"/>
  <c r="G129" i="186"/>
  <c r="I129" i="186" s="1"/>
  <c r="M128" i="186"/>
  <c r="F128" i="186"/>
  <c r="J128" i="186" s="1"/>
  <c r="J127" i="186"/>
  <c r="M127" i="186" s="1"/>
  <c r="F127" i="186"/>
  <c r="N126" i="186"/>
  <c r="F126" i="186"/>
  <c r="F125" i="186"/>
  <c r="F124" i="186"/>
  <c r="J124" i="186" s="1"/>
  <c r="M124" i="186" s="1"/>
  <c r="J123" i="186"/>
  <c r="M123" i="186" s="1"/>
  <c r="G123" i="186"/>
  <c r="I123" i="186" s="1"/>
  <c r="F123" i="186"/>
  <c r="N123" i="186" s="1"/>
  <c r="F122" i="186"/>
  <c r="J122" i="186" s="1"/>
  <c r="M122" i="186" s="1"/>
  <c r="N121" i="186"/>
  <c r="J121" i="186"/>
  <c r="M121" i="186" s="1"/>
  <c r="G121" i="186"/>
  <c r="I121" i="186" s="1"/>
  <c r="F121" i="186"/>
  <c r="M120" i="186"/>
  <c r="F120" i="186"/>
  <c r="J120" i="186" s="1"/>
  <c r="N119" i="186"/>
  <c r="J119" i="186"/>
  <c r="M119" i="186" s="1"/>
  <c r="G119" i="186"/>
  <c r="I119" i="186" s="1"/>
  <c r="F119" i="186"/>
  <c r="F118" i="186"/>
  <c r="J118" i="186" s="1"/>
  <c r="M118" i="186" s="1"/>
  <c r="N117" i="186"/>
  <c r="J117" i="186"/>
  <c r="M117" i="186" s="1"/>
  <c r="G117" i="186"/>
  <c r="I117" i="186" s="1"/>
  <c r="F117" i="186"/>
  <c r="M116" i="186"/>
  <c r="F116" i="186"/>
  <c r="J116" i="186" s="1"/>
  <c r="N115" i="186"/>
  <c r="J115" i="186"/>
  <c r="M115" i="186" s="1"/>
  <c r="G115" i="186"/>
  <c r="I115" i="186" s="1"/>
  <c r="F115" i="186"/>
  <c r="F114" i="186"/>
  <c r="J114" i="186" s="1"/>
  <c r="M114" i="186" s="1"/>
  <c r="N113" i="186"/>
  <c r="J113" i="186"/>
  <c r="M113" i="186" s="1"/>
  <c r="G113" i="186"/>
  <c r="I113" i="186" s="1"/>
  <c r="F113" i="186"/>
  <c r="M112" i="186"/>
  <c r="F112" i="186"/>
  <c r="J112" i="186" s="1"/>
  <c r="N111" i="186"/>
  <c r="J111" i="186"/>
  <c r="M111" i="186" s="1"/>
  <c r="G111" i="186"/>
  <c r="I111" i="186" s="1"/>
  <c r="F111" i="186"/>
  <c r="F110" i="186"/>
  <c r="J110" i="186" s="1"/>
  <c r="M110" i="186" s="1"/>
  <c r="N109" i="186"/>
  <c r="J109" i="186"/>
  <c r="M109" i="186" s="1"/>
  <c r="G109" i="186"/>
  <c r="I109" i="186" s="1"/>
  <c r="F109" i="186"/>
  <c r="M108" i="186"/>
  <c r="F108" i="186"/>
  <c r="J108" i="186" s="1"/>
  <c r="N107" i="186"/>
  <c r="J107" i="186"/>
  <c r="M107" i="186" s="1"/>
  <c r="G107" i="186"/>
  <c r="I107" i="186" s="1"/>
  <c r="F107" i="186"/>
  <c r="F106" i="186"/>
  <c r="J106" i="186" s="1"/>
  <c r="M106" i="186" s="1"/>
  <c r="N105" i="186"/>
  <c r="J105" i="186"/>
  <c r="M105" i="186" s="1"/>
  <c r="G105" i="186"/>
  <c r="I105" i="186" s="1"/>
  <c r="F105" i="186"/>
  <c r="M104" i="186"/>
  <c r="F104" i="186"/>
  <c r="J104" i="186" s="1"/>
  <c r="N103" i="186"/>
  <c r="J103" i="186"/>
  <c r="M103" i="186" s="1"/>
  <c r="G103" i="186"/>
  <c r="I103" i="186" s="1"/>
  <c r="F103" i="186"/>
  <c r="F102" i="186"/>
  <c r="J102" i="186" s="1"/>
  <c r="M102" i="186" s="1"/>
  <c r="N101" i="186"/>
  <c r="J101" i="186"/>
  <c r="M101" i="186" s="1"/>
  <c r="G101" i="186"/>
  <c r="I101" i="186" s="1"/>
  <c r="F101" i="186"/>
  <c r="M100" i="186"/>
  <c r="F100" i="186"/>
  <c r="J100" i="186" s="1"/>
  <c r="N99" i="186"/>
  <c r="J99" i="186"/>
  <c r="M99" i="186" s="1"/>
  <c r="G99" i="186"/>
  <c r="I99" i="186" s="1"/>
  <c r="F99" i="186"/>
  <c r="F98" i="186"/>
  <c r="J98" i="186" s="1"/>
  <c r="M98" i="186" s="1"/>
  <c r="N97" i="186"/>
  <c r="J97" i="186"/>
  <c r="M97" i="186" s="1"/>
  <c r="G97" i="186"/>
  <c r="I97" i="186" s="1"/>
  <c r="F97" i="186"/>
  <c r="M96" i="186"/>
  <c r="F96" i="186"/>
  <c r="J96" i="186" s="1"/>
  <c r="N95" i="186"/>
  <c r="J95" i="186"/>
  <c r="M95" i="186" s="1"/>
  <c r="G95" i="186"/>
  <c r="I95" i="186" s="1"/>
  <c r="F95" i="186"/>
  <c r="F94" i="186"/>
  <c r="J94" i="186" s="1"/>
  <c r="M94" i="186" s="1"/>
  <c r="N93" i="186"/>
  <c r="J93" i="186"/>
  <c r="M93" i="186" s="1"/>
  <c r="G93" i="186"/>
  <c r="I93" i="186" s="1"/>
  <c r="F93" i="186"/>
  <c r="M92" i="186"/>
  <c r="F92" i="186"/>
  <c r="J92" i="186" s="1"/>
  <c r="N91" i="186"/>
  <c r="J91" i="186"/>
  <c r="M91" i="186" s="1"/>
  <c r="G91" i="186"/>
  <c r="I91" i="186" s="1"/>
  <c r="F91" i="186"/>
  <c r="F90" i="186"/>
  <c r="J90" i="186" s="1"/>
  <c r="M90" i="186" s="1"/>
  <c r="N89" i="186"/>
  <c r="J89" i="186"/>
  <c r="M89" i="186" s="1"/>
  <c r="G89" i="186"/>
  <c r="I89" i="186" s="1"/>
  <c r="F89" i="186"/>
  <c r="M88" i="186"/>
  <c r="F88" i="186"/>
  <c r="J88" i="186" s="1"/>
  <c r="N87" i="186"/>
  <c r="J87" i="186"/>
  <c r="M87" i="186" s="1"/>
  <c r="G87" i="186"/>
  <c r="I87" i="186" s="1"/>
  <c r="F87" i="186"/>
  <c r="F86" i="186"/>
  <c r="J86" i="186" s="1"/>
  <c r="M86" i="186" s="1"/>
  <c r="N85" i="186"/>
  <c r="J85" i="186"/>
  <c r="M85" i="186" s="1"/>
  <c r="G85" i="186"/>
  <c r="I85" i="186" s="1"/>
  <c r="F85" i="186"/>
  <c r="H84" i="186"/>
  <c r="G84" i="186"/>
  <c r="F84" i="186"/>
  <c r="N83" i="186"/>
  <c r="H83" i="186"/>
  <c r="F83" i="186"/>
  <c r="J83" i="186" s="1"/>
  <c r="M83" i="186" s="1"/>
  <c r="F82" i="186"/>
  <c r="J81" i="186"/>
  <c r="M81" i="186" s="1"/>
  <c r="F81" i="186"/>
  <c r="N81" i="186" s="1"/>
  <c r="N80" i="186"/>
  <c r="F80" i="186"/>
  <c r="J80" i="186" s="1"/>
  <c r="M80" i="186" s="1"/>
  <c r="J79" i="186"/>
  <c r="M79" i="186" s="1"/>
  <c r="F79" i="186"/>
  <c r="N79" i="186" s="1"/>
  <c r="N78" i="186"/>
  <c r="M78" i="186"/>
  <c r="F78" i="186"/>
  <c r="J78" i="186" s="1"/>
  <c r="J77" i="186"/>
  <c r="M77" i="186" s="1"/>
  <c r="F77" i="186"/>
  <c r="N77" i="186" s="1"/>
  <c r="N76" i="186"/>
  <c r="M76" i="186"/>
  <c r="G76" i="186"/>
  <c r="I76" i="186" s="1"/>
  <c r="F76" i="186"/>
  <c r="J76" i="186" s="1"/>
  <c r="J75" i="186"/>
  <c r="F75" i="186"/>
  <c r="N75" i="186" s="1"/>
  <c r="L72" i="186"/>
  <c r="N69" i="186"/>
  <c r="M69" i="186"/>
  <c r="J69" i="186"/>
  <c r="H69" i="186"/>
  <c r="G69" i="186"/>
  <c r="N68" i="186"/>
  <c r="J68" i="186"/>
  <c r="M68" i="186" s="1"/>
  <c r="H68" i="186"/>
  <c r="G68" i="186"/>
  <c r="N67" i="186"/>
  <c r="J67" i="186"/>
  <c r="M67" i="186" s="1"/>
  <c r="I67" i="186"/>
  <c r="G67" i="186"/>
  <c r="N66" i="186"/>
  <c r="M66" i="186"/>
  <c r="J66" i="186"/>
  <c r="G66" i="186"/>
  <c r="I66" i="186" s="1"/>
  <c r="N65" i="186"/>
  <c r="M65" i="186"/>
  <c r="J65" i="186"/>
  <c r="G65" i="186"/>
  <c r="I65" i="186" s="1"/>
  <c r="N64" i="186"/>
  <c r="J64" i="186"/>
  <c r="M64" i="186" s="1"/>
  <c r="G64" i="186"/>
  <c r="I64" i="186" s="1"/>
  <c r="F64" i="186"/>
  <c r="F63" i="186"/>
  <c r="J63" i="186" s="1"/>
  <c r="M63" i="186" s="1"/>
  <c r="N62" i="186"/>
  <c r="J62" i="186"/>
  <c r="M62" i="186" s="1"/>
  <c r="G62" i="186"/>
  <c r="I62" i="186" s="1"/>
  <c r="F62" i="186"/>
  <c r="E62" i="186"/>
  <c r="E72" i="186" s="1"/>
  <c r="M61" i="186"/>
  <c r="G61" i="186"/>
  <c r="I61" i="186" s="1"/>
  <c r="F61" i="186"/>
  <c r="J61" i="186" s="1"/>
  <c r="J60" i="186"/>
  <c r="M60" i="186" s="1"/>
  <c r="F60" i="186"/>
  <c r="M59" i="186"/>
  <c r="F59" i="186"/>
  <c r="J59" i="186" s="1"/>
  <c r="J58" i="186"/>
  <c r="M58" i="186" s="1"/>
  <c r="F58" i="186"/>
  <c r="M57" i="186"/>
  <c r="F57" i="186"/>
  <c r="J57" i="186" s="1"/>
  <c r="H56" i="186"/>
  <c r="G56" i="186"/>
  <c r="I56" i="186" s="1"/>
  <c r="F56" i="186"/>
  <c r="N56" i="186" s="1"/>
  <c r="J55" i="186"/>
  <c r="M55" i="186" s="1"/>
  <c r="H55" i="186"/>
  <c r="F55" i="186"/>
  <c r="H54" i="186"/>
  <c r="F54" i="186"/>
  <c r="H53" i="186"/>
  <c r="G53" i="186" s="1"/>
  <c r="F53" i="186"/>
  <c r="M52" i="186"/>
  <c r="G52" i="186"/>
  <c r="I52" i="186" s="1"/>
  <c r="F52" i="186"/>
  <c r="J52" i="186" s="1"/>
  <c r="J51" i="186"/>
  <c r="M51" i="186" s="1"/>
  <c r="F51" i="186"/>
  <c r="M50" i="186"/>
  <c r="F50" i="186"/>
  <c r="J50" i="186" s="1"/>
  <c r="J49" i="186"/>
  <c r="M49" i="186" s="1"/>
  <c r="F49" i="186"/>
  <c r="M48" i="186"/>
  <c r="F48" i="186"/>
  <c r="J48" i="186" s="1"/>
  <c r="F47" i="186"/>
  <c r="N46" i="186"/>
  <c r="F46" i="186"/>
  <c r="F45" i="186"/>
  <c r="M44" i="186"/>
  <c r="G44" i="186"/>
  <c r="I44" i="186" s="1"/>
  <c r="F44" i="186"/>
  <c r="J44" i="186" s="1"/>
  <c r="J43" i="186"/>
  <c r="M43" i="186" s="1"/>
  <c r="F43" i="186"/>
  <c r="M42" i="186"/>
  <c r="F42" i="186"/>
  <c r="J42" i="186" s="1"/>
  <c r="L39" i="186"/>
  <c r="H39" i="186"/>
  <c r="E39" i="186"/>
  <c r="F36" i="186"/>
  <c r="M35" i="186"/>
  <c r="G35" i="186"/>
  <c r="I35" i="186" s="1"/>
  <c r="F35" i="186"/>
  <c r="J35" i="186" s="1"/>
  <c r="J34" i="186"/>
  <c r="M34" i="186" s="1"/>
  <c r="F34" i="186"/>
  <c r="L31" i="186"/>
  <c r="H31" i="186"/>
  <c r="E31" i="186"/>
  <c r="N28" i="186"/>
  <c r="M28" i="186"/>
  <c r="J28" i="186"/>
  <c r="I28" i="186"/>
  <c r="G28" i="186"/>
  <c r="N27" i="186"/>
  <c r="J27" i="186"/>
  <c r="M27" i="186" s="1"/>
  <c r="I27" i="186"/>
  <c r="G27" i="186"/>
  <c r="N26" i="186"/>
  <c r="J26" i="186"/>
  <c r="M26" i="186" s="1"/>
  <c r="I26" i="186"/>
  <c r="G26" i="186"/>
  <c r="N25" i="186"/>
  <c r="M25" i="186"/>
  <c r="J25" i="186"/>
  <c r="G25" i="186"/>
  <c r="I25" i="186" s="1"/>
  <c r="N24" i="186"/>
  <c r="J24" i="186"/>
  <c r="M24" i="186" s="1"/>
  <c r="G24" i="186"/>
  <c r="I24" i="186" s="1"/>
  <c r="N23" i="186"/>
  <c r="J23" i="186"/>
  <c r="M23" i="186" s="1"/>
  <c r="I23" i="186"/>
  <c r="G23" i="186"/>
  <c r="N22" i="186"/>
  <c r="J22" i="186"/>
  <c r="M22" i="186" s="1"/>
  <c r="G22" i="186"/>
  <c r="I22" i="186" s="1"/>
  <c r="N21" i="186"/>
  <c r="M21" i="186"/>
  <c r="J21" i="186"/>
  <c r="G21" i="186"/>
  <c r="I21" i="186" s="1"/>
  <c r="N20" i="186"/>
  <c r="J20" i="186"/>
  <c r="M20" i="186" s="1"/>
  <c r="G20" i="186"/>
  <c r="I20" i="186" s="1"/>
  <c r="F20" i="186"/>
  <c r="J19" i="186"/>
  <c r="M19" i="186" s="1"/>
  <c r="F19" i="186"/>
  <c r="N19" i="186" s="1"/>
  <c r="N18" i="186"/>
  <c r="J18" i="186"/>
  <c r="M18" i="186" s="1"/>
  <c r="G18" i="186"/>
  <c r="I18" i="186" s="1"/>
  <c r="F18" i="186"/>
  <c r="J17" i="186"/>
  <c r="M17" i="186" s="1"/>
  <c r="F17" i="186"/>
  <c r="N17" i="186" s="1"/>
  <c r="N16" i="186"/>
  <c r="J16" i="186"/>
  <c r="M16" i="186" s="1"/>
  <c r="G16" i="186"/>
  <c r="I16" i="186" s="1"/>
  <c r="F16" i="186"/>
  <c r="J15" i="186"/>
  <c r="M15" i="186" s="1"/>
  <c r="F15" i="186"/>
  <c r="N15" i="186" s="1"/>
  <c r="N14" i="186"/>
  <c r="J14" i="186"/>
  <c r="M14" i="186" s="1"/>
  <c r="G14" i="186"/>
  <c r="I14" i="186" s="1"/>
  <c r="F14" i="186"/>
  <c r="J13" i="186"/>
  <c r="M13" i="186" s="1"/>
  <c r="F13" i="186"/>
  <c r="N13" i="186" s="1"/>
  <c r="N12" i="186"/>
  <c r="N31" i="186" s="1"/>
  <c r="J12" i="186"/>
  <c r="G12" i="186"/>
  <c r="F12" i="186"/>
  <c r="L9" i="186"/>
  <c r="L216" i="186" s="1"/>
  <c r="E219" i="186" s="1"/>
  <c r="E220" i="186" s="1"/>
  <c r="H9" i="186"/>
  <c r="E9" i="186"/>
  <c r="J6" i="186"/>
  <c r="M6" i="186" s="1"/>
  <c r="F6" i="186"/>
  <c r="N6" i="186" s="1"/>
  <c r="N5" i="186"/>
  <c r="J5" i="186"/>
  <c r="M5" i="186" s="1"/>
  <c r="G5" i="186"/>
  <c r="I5" i="186" s="1"/>
  <c r="F5" i="186"/>
  <c r="J4" i="186"/>
  <c r="F4" i="186"/>
  <c r="N4" i="186" s="1"/>
  <c r="N9" i="186" s="1"/>
  <c r="C108" i="185"/>
  <c r="F70" i="185"/>
  <c r="E70" i="185"/>
  <c r="F64" i="185"/>
  <c r="E64" i="185"/>
  <c r="H57" i="185"/>
  <c r="G57" i="185"/>
  <c r="G58" i="185" s="1"/>
  <c r="G37" i="185" s="1"/>
  <c r="D37" i="185" s="1"/>
  <c r="G6" i="185" s="1"/>
  <c r="H6" i="185" s="1"/>
  <c r="H20" i="185" s="1"/>
  <c r="F23" i="185" s="1"/>
  <c r="F25" i="185" s="1"/>
  <c r="F27" i="185" s="1"/>
  <c r="F30" i="185" s="1"/>
  <c r="D50" i="185"/>
  <c r="G19" i="185" s="1"/>
  <c r="H19" i="185" s="1"/>
  <c r="D49" i="185"/>
  <c r="D48" i="185"/>
  <c r="G17" i="185" s="1"/>
  <c r="D47" i="185"/>
  <c r="D46" i="185"/>
  <c r="G15" i="185" s="1"/>
  <c r="H15" i="185" s="1"/>
  <c r="D45" i="185"/>
  <c r="F44" i="185"/>
  <c r="D44" i="185" s="1"/>
  <c r="G13" i="185" s="1"/>
  <c r="H43" i="185"/>
  <c r="D43" i="185"/>
  <c r="D42" i="185"/>
  <c r="D41" i="185"/>
  <c r="G10" i="185" s="1"/>
  <c r="H10" i="185" s="1"/>
  <c r="F29" i="185" s="1"/>
  <c r="D40" i="185"/>
  <c r="G9" i="185" s="1"/>
  <c r="D39" i="185"/>
  <c r="G8" i="185" s="1"/>
  <c r="H8" i="185" s="1"/>
  <c r="D38" i="185"/>
  <c r="G28" i="185"/>
  <c r="F28" i="185"/>
  <c r="G26" i="185"/>
  <c r="F26" i="185"/>
  <c r="F24" i="185"/>
  <c r="E20" i="185"/>
  <c r="G18" i="185"/>
  <c r="H18" i="185" s="1"/>
  <c r="H17" i="185"/>
  <c r="H16" i="185"/>
  <c r="G16" i="185"/>
  <c r="G14" i="185"/>
  <c r="H14" i="185" s="1"/>
  <c r="H13" i="185"/>
  <c r="G12" i="185"/>
  <c r="H12" i="185" s="1"/>
  <c r="G11" i="185"/>
  <c r="H11" i="185" s="1"/>
  <c r="H9" i="185"/>
  <c r="G7" i="185"/>
  <c r="H7" i="185" s="1"/>
  <c r="A7" i="185"/>
  <c r="A8" i="185" s="1"/>
  <c r="A9" i="185" s="1"/>
  <c r="A10" i="185" s="1"/>
  <c r="F23" i="100"/>
  <c r="K37" i="86"/>
  <c r="E23" i="100"/>
  <c r="G24" i="185" l="1"/>
  <c r="A11" i="185"/>
  <c r="A12" i="185" s="1"/>
  <c r="A13" i="185" s="1"/>
  <c r="A14" i="185" s="1"/>
  <c r="A15" i="185" s="1"/>
  <c r="A16" i="185" s="1"/>
  <c r="A17" i="185" s="1"/>
  <c r="A18" i="185" s="1"/>
  <c r="A19" i="185" s="1"/>
  <c r="M39" i="186"/>
  <c r="N84" i="186"/>
  <c r="J84" i="186"/>
  <c r="M84" i="186" s="1"/>
  <c r="I12" i="186"/>
  <c r="N45" i="186"/>
  <c r="G45" i="186"/>
  <c r="I45" i="186" s="1"/>
  <c r="J45" i="186"/>
  <c r="M45" i="186" s="1"/>
  <c r="J31" i="186"/>
  <c r="J46" i="186"/>
  <c r="M46" i="186" s="1"/>
  <c r="G46" i="186"/>
  <c r="I46" i="186" s="1"/>
  <c r="N125" i="186"/>
  <c r="G125" i="186"/>
  <c r="I125" i="186" s="1"/>
  <c r="J125" i="186"/>
  <c r="M125" i="186" s="1"/>
  <c r="M142" i="186"/>
  <c r="M166" i="186" s="1"/>
  <c r="N53" i="186"/>
  <c r="J53" i="186"/>
  <c r="M53" i="186" s="1"/>
  <c r="N36" i="186"/>
  <c r="G36" i="186"/>
  <c r="I36" i="186" s="1"/>
  <c r="J36" i="186"/>
  <c r="M36" i="186" s="1"/>
  <c r="J82" i="186"/>
  <c r="M82" i="186" s="1"/>
  <c r="N82" i="186"/>
  <c r="N139" i="186" s="1"/>
  <c r="G82" i="186"/>
  <c r="I82" i="186" s="1"/>
  <c r="M212" i="186"/>
  <c r="M4" i="186"/>
  <c r="M9" i="186" s="1"/>
  <c r="J9" i="186"/>
  <c r="N54" i="186"/>
  <c r="G54" i="186"/>
  <c r="I54" i="186" s="1"/>
  <c r="J54" i="186"/>
  <c r="M54" i="186" s="1"/>
  <c r="N55" i="186"/>
  <c r="G55" i="186"/>
  <c r="G160" i="186"/>
  <c r="I160" i="186" s="1"/>
  <c r="J160" i="186"/>
  <c r="M160" i="186" s="1"/>
  <c r="N160" i="186"/>
  <c r="N47" i="186"/>
  <c r="G47" i="186"/>
  <c r="I47" i="186" s="1"/>
  <c r="N48" i="186"/>
  <c r="N57" i="186"/>
  <c r="E216" i="186"/>
  <c r="M12" i="186"/>
  <c r="M31" i="186" s="1"/>
  <c r="N34" i="186"/>
  <c r="G34" i="186"/>
  <c r="N35" i="186"/>
  <c r="J39" i="186"/>
  <c r="G42" i="186"/>
  <c r="N43" i="186"/>
  <c r="G43" i="186"/>
  <c r="I43" i="186" s="1"/>
  <c r="N44" i="186"/>
  <c r="J47" i="186"/>
  <c r="M47" i="186" s="1"/>
  <c r="G50" i="186"/>
  <c r="I50" i="186" s="1"/>
  <c r="N51" i="186"/>
  <c r="G51" i="186"/>
  <c r="I51" i="186" s="1"/>
  <c r="N52" i="186"/>
  <c r="J56" i="186"/>
  <c r="M56" i="186" s="1"/>
  <c r="M72" i="186" s="1"/>
  <c r="G59" i="186"/>
  <c r="I59" i="186" s="1"/>
  <c r="N60" i="186"/>
  <c r="G60" i="186"/>
  <c r="I60" i="186" s="1"/>
  <c r="N61" i="186"/>
  <c r="H72" i="186"/>
  <c r="G78" i="186"/>
  <c r="I78" i="186" s="1"/>
  <c r="N124" i="186"/>
  <c r="N134" i="186"/>
  <c r="G134" i="186"/>
  <c r="G149" i="186"/>
  <c r="I149" i="186" s="1"/>
  <c r="N153" i="186"/>
  <c r="N182" i="186"/>
  <c r="G182" i="186"/>
  <c r="I182" i="186" s="1"/>
  <c r="J182" i="186"/>
  <c r="M182" i="186" s="1"/>
  <c r="E222" i="186" s="1"/>
  <c r="E223" i="186" s="1"/>
  <c r="N184" i="186"/>
  <c r="G184" i="186"/>
  <c r="I184" i="186" s="1"/>
  <c r="J184" i="186"/>
  <c r="M184" i="186" s="1"/>
  <c r="H142" i="186"/>
  <c r="H166" i="186" s="1"/>
  <c r="J191" i="186"/>
  <c r="M191" i="186" s="1"/>
  <c r="G191" i="186"/>
  <c r="I191" i="186" s="1"/>
  <c r="N191" i="186"/>
  <c r="G4" i="186"/>
  <c r="G6" i="186"/>
  <c r="I6" i="186" s="1"/>
  <c r="G13" i="186"/>
  <c r="I13" i="186" s="1"/>
  <c r="G15" i="186"/>
  <c r="I15" i="186" s="1"/>
  <c r="G17" i="186"/>
  <c r="I17" i="186" s="1"/>
  <c r="G19" i="186"/>
  <c r="I19" i="186" s="1"/>
  <c r="J72" i="186"/>
  <c r="N42" i="186"/>
  <c r="G48" i="186"/>
  <c r="I48" i="186" s="1"/>
  <c r="N49" i="186"/>
  <c r="G49" i="186"/>
  <c r="I49" i="186" s="1"/>
  <c r="N50" i="186"/>
  <c r="G57" i="186"/>
  <c r="I57" i="186" s="1"/>
  <c r="N58" i="186"/>
  <c r="G58" i="186"/>
  <c r="I58" i="186" s="1"/>
  <c r="N59" i="186"/>
  <c r="N63" i="186"/>
  <c r="G63" i="186"/>
  <c r="I63" i="186" s="1"/>
  <c r="J139" i="186"/>
  <c r="M75" i="186"/>
  <c r="G80" i="186"/>
  <c r="I80" i="186" s="1"/>
  <c r="N86" i="186"/>
  <c r="G86" i="186"/>
  <c r="I86" i="186" s="1"/>
  <c r="N88" i="186"/>
  <c r="G88" i="186"/>
  <c r="I88" i="186" s="1"/>
  <c r="N90" i="186"/>
  <c r="G90" i="186"/>
  <c r="I90" i="186" s="1"/>
  <c r="N92" i="186"/>
  <c r="G92" i="186"/>
  <c r="I92" i="186" s="1"/>
  <c r="N94" i="186"/>
  <c r="G94" i="186"/>
  <c r="I94" i="186" s="1"/>
  <c r="N96" i="186"/>
  <c r="G96" i="186"/>
  <c r="I96" i="186" s="1"/>
  <c r="N98" i="186"/>
  <c r="G98" i="186"/>
  <c r="I98" i="186" s="1"/>
  <c r="N100" i="186"/>
  <c r="G100" i="186"/>
  <c r="I100" i="186" s="1"/>
  <c r="N102" i="186"/>
  <c r="G102" i="186"/>
  <c r="I102" i="186" s="1"/>
  <c r="N104" i="186"/>
  <c r="G104" i="186"/>
  <c r="I104" i="186" s="1"/>
  <c r="N106" i="186"/>
  <c r="G106" i="186"/>
  <c r="I106" i="186" s="1"/>
  <c r="N108" i="186"/>
  <c r="G108" i="186"/>
  <c r="I108" i="186" s="1"/>
  <c r="N110" i="186"/>
  <c r="G110" i="186"/>
  <c r="I110" i="186" s="1"/>
  <c r="N112" i="186"/>
  <c r="G112" i="186"/>
  <c r="I112" i="186" s="1"/>
  <c r="N114" i="186"/>
  <c r="G114" i="186"/>
  <c r="I114" i="186" s="1"/>
  <c r="N116" i="186"/>
  <c r="G116" i="186"/>
  <c r="I116" i="186" s="1"/>
  <c r="N118" i="186"/>
  <c r="G118" i="186"/>
  <c r="I118" i="186" s="1"/>
  <c r="N120" i="186"/>
  <c r="G120" i="186"/>
  <c r="I120" i="186" s="1"/>
  <c r="N122" i="186"/>
  <c r="G122" i="186"/>
  <c r="I122" i="186" s="1"/>
  <c r="G124" i="186"/>
  <c r="I124" i="186" s="1"/>
  <c r="J126" i="186"/>
  <c r="M126" i="186" s="1"/>
  <c r="G126" i="186"/>
  <c r="I126" i="186" s="1"/>
  <c r="H136" i="186"/>
  <c r="H139" i="186" s="1"/>
  <c r="H216" i="186" s="1"/>
  <c r="G153" i="186"/>
  <c r="I153" i="186" s="1"/>
  <c r="N192" i="186"/>
  <c r="G192" i="186"/>
  <c r="I192" i="186" s="1"/>
  <c r="J192" i="186"/>
  <c r="M192" i="186" s="1"/>
  <c r="A10" i="187"/>
  <c r="E10" i="187"/>
  <c r="G75" i="186"/>
  <c r="G77" i="186"/>
  <c r="I77" i="186" s="1"/>
  <c r="G79" i="186"/>
  <c r="I79" i="186" s="1"/>
  <c r="G81" i="186"/>
  <c r="I81" i="186" s="1"/>
  <c r="G83" i="186"/>
  <c r="I83" i="186" s="1"/>
  <c r="G128" i="186"/>
  <c r="I128" i="186" s="1"/>
  <c r="G144" i="186"/>
  <c r="I144" i="186" s="1"/>
  <c r="G147" i="186"/>
  <c r="I147" i="186" s="1"/>
  <c r="N148" i="186"/>
  <c r="G151" i="186"/>
  <c r="I151" i="186" s="1"/>
  <c r="G156" i="186"/>
  <c r="I156" i="186" s="1"/>
  <c r="M180" i="186"/>
  <c r="E224" i="186" s="1"/>
  <c r="E225" i="186" s="1"/>
  <c r="G183" i="186"/>
  <c r="I183" i="186" s="1"/>
  <c r="J185" i="186"/>
  <c r="M185" i="186" s="1"/>
  <c r="G185" i="186"/>
  <c r="I185" i="186" s="1"/>
  <c r="N190" i="186"/>
  <c r="G190" i="186"/>
  <c r="I190" i="186" s="1"/>
  <c r="J190" i="186"/>
  <c r="M190" i="186" s="1"/>
  <c r="J212" i="186"/>
  <c r="N127" i="186"/>
  <c r="G127" i="186"/>
  <c r="I127" i="186" s="1"/>
  <c r="N128" i="186"/>
  <c r="N143" i="186"/>
  <c r="N166" i="186" s="1"/>
  <c r="G143" i="186"/>
  <c r="I143" i="186" s="1"/>
  <c r="N144" i="186"/>
  <c r="N146" i="186"/>
  <c r="G146" i="186"/>
  <c r="I146" i="186" s="1"/>
  <c r="N147" i="186"/>
  <c r="J193" i="186"/>
  <c r="M193" i="186" s="1"/>
  <c r="G193" i="186"/>
  <c r="I193" i="186" s="1"/>
  <c r="N180" i="186"/>
  <c r="G180" i="186"/>
  <c r="N181" i="186"/>
  <c r="G187" i="186"/>
  <c r="I187" i="186" s="1"/>
  <c r="N188" i="186"/>
  <c r="G188" i="186"/>
  <c r="I188" i="186" s="1"/>
  <c r="N189" i="186"/>
  <c r="G207" i="186"/>
  <c r="I207" i="186" s="1"/>
  <c r="I212" i="186" s="1"/>
  <c r="N208" i="186"/>
  <c r="G208" i="186"/>
  <c r="I208" i="186" s="1"/>
  <c r="N186" i="186"/>
  <c r="G186" i="186"/>
  <c r="I186" i="186" s="1"/>
  <c r="N187" i="186"/>
  <c r="N194" i="186"/>
  <c r="G194" i="186"/>
  <c r="I194" i="186" s="1"/>
  <c r="N207" i="186"/>
  <c r="N212" i="186" s="1"/>
  <c r="G14" i="187"/>
  <c r="G15" i="187" s="1"/>
  <c r="F19" i="100"/>
  <c r="F17" i="100"/>
  <c r="F13" i="100"/>
  <c r="F21" i="100"/>
  <c r="F15" i="100"/>
  <c r="E226" i="186" l="1"/>
  <c r="E228" i="186" s="1"/>
  <c r="E229" i="186" s="1"/>
  <c r="E232" i="186"/>
  <c r="G166" i="186"/>
  <c r="G39" i="186"/>
  <c r="I34" i="186"/>
  <c r="I39" i="186" s="1"/>
  <c r="A11" i="187"/>
  <c r="M139" i="186"/>
  <c r="N72" i="186"/>
  <c r="G25" i="187"/>
  <c r="G23" i="187"/>
  <c r="G28" i="187" s="1"/>
  <c r="G199" i="186"/>
  <c r="I180" i="186"/>
  <c r="I199" i="186" s="1"/>
  <c r="A20" i="185"/>
  <c r="C76" i="185"/>
  <c r="N199" i="186"/>
  <c r="M199" i="186"/>
  <c r="M216" i="186" s="1"/>
  <c r="G139" i="186"/>
  <c r="I75" i="186"/>
  <c r="I139" i="186" s="1"/>
  <c r="I136" i="186"/>
  <c r="G72" i="186"/>
  <c r="I42" i="186"/>
  <c r="I72" i="186" s="1"/>
  <c r="N39" i="186"/>
  <c r="N216" i="186" s="1"/>
  <c r="J166" i="186"/>
  <c r="J216" i="186" s="1"/>
  <c r="I31" i="186"/>
  <c r="G212" i="186"/>
  <c r="J199" i="186"/>
  <c r="I4" i="186"/>
  <c r="I9" i="186" s="1"/>
  <c r="G9" i="186"/>
  <c r="G216" i="186" s="1"/>
  <c r="I142" i="186"/>
  <c r="I166" i="186" s="1"/>
  <c r="G31" i="186"/>
  <c r="A23" i="185" l="1"/>
  <c r="G23" i="185"/>
  <c r="E13" i="187"/>
  <c r="A12" i="187"/>
  <c r="A13" i="187" s="1"/>
  <c r="I216" i="186"/>
  <c r="A14" i="187" l="1"/>
  <c r="E14" i="187"/>
  <c r="G25" i="185"/>
  <c r="A24" i="185"/>
  <c r="A25" i="185" s="1"/>
  <c r="E15" i="187" l="1"/>
  <c r="A15" i="187"/>
  <c r="A16" i="187" s="1"/>
  <c r="A17" i="187" s="1"/>
  <c r="A18" i="187" s="1"/>
  <c r="A19" i="187" s="1"/>
  <c r="A20" i="187" s="1"/>
  <c r="A26" i="185"/>
  <c r="A27" i="185" s="1"/>
  <c r="A28" i="185" l="1"/>
  <c r="A21" i="187"/>
  <c r="A22" i="187" s="1"/>
  <c r="G27" i="185"/>
  <c r="A29" i="185" l="1"/>
  <c r="G29" i="185"/>
  <c r="E23" i="187"/>
  <c r="A23" i="187"/>
  <c r="A30" i="185" l="1"/>
  <c r="A37" i="185" s="1"/>
  <c r="G30" i="185"/>
  <c r="A24" i="187"/>
  <c r="E25" i="187" l="1"/>
  <c r="A25" i="187"/>
  <c r="G77" i="185"/>
  <c r="A38" i="185"/>
  <c r="A39" i="185" s="1"/>
  <c r="A40" i="185" s="1"/>
  <c r="A41" i="185" s="1"/>
  <c r="A42" i="185" s="1"/>
  <c r="A43" i="185" s="1"/>
  <c r="A26" i="187" l="1"/>
  <c r="A27" i="187" s="1"/>
  <c r="A28" i="187" s="1"/>
  <c r="A29" i="187" s="1"/>
  <c r="A30" i="187" s="1"/>
  <c r="A31" i="187" s="1"/>
  <c r="A32" i="187" s="1"/>
  <c r="A33" i="187" s="1"/>
  <c r="E28" i="187"/>
  <c r="A44" i="185"/>
  <c r="C78" i="185"/>
  <c r="A45" i="185" l="1"/>
  <c r="A46" i="185" s="1"/>
  <c r="A47" i="185" s="1"/>
  <c r="A48" i="185" s="1"/>
  <c r="A49" i="185" s="1"/>
  <c r="A50" i="185" s="1"/>
  <c r="C72" i="185"/>
  <c r="A34" i="187"/>
  <c r="A35" i="187" s="1"/>
  <c r="A36" i="187" s="1"/>
  <c r="A37" i="187" s="1"/>
  <c r="A38" i="187" s="1"/>
  <c r="A39" i="187" s="1"/>
  <c r="A40" i="187" l="1"/>
  <c r="A41" i="187" s="1"/>
  <c r="A42" i="187" s="1"/>
  <c r="A43" i="187" s="1"/>
  <c r="A44" i="187" s="1"/>
  <c r="A45" i="187" s="1"/>
  <c r="E41" i="187"/>
  <c r="E35" i="187"/>
  <c r="E36" i="187"/>
  <c r="A46" i="187" l="1"/>
  <c r="A47" i="187" s="1"/>
  <c r="A48" i="187" s="1"/>
  <c r="A49" i="187" s="1"/>
  <c r="A50" i="187" s="1"/>
  <c r="A51" i="187" s="1"/>
  <c r="E48" i="187"/>
  <c r="E47" i="187"/>
  <c r="E42" i="187"/>
  <c r="A52" i="187" l="1"/>
  <c r="A53" i="187" s="1"/>
  <c r="A54" i="187" s="1"/>
  <c r="A55" i="187" s="1"/>
  <c r="A56" i="187" s="1"/>
  <c r="A57" i="187" s="1"/>
  <c r="E53" i="187"/>
  <c r="A58" i="187" l="1"/>
  <c r="A59" i="187" s="1"/>
  <c r="A60" i="187" s="1"/>
  <c r="A61" i="187" s="1"/>
  <c r="A62" i="187" s="1"/>
  <c r="A63" i="187" s="1"/>
  <c r="E60" i="187"/>
  <c r="E59" i="187"/>
  <c r="E54" i="187"/>
  <c r="A64" i="187" l="1"/>
  <c r="A65" i="187" s="1"/>
  <c r="A66" i="187" s="1"/>
  <c r="A67" i="187" s="1"/>
  <c r="A68" i="187" s="1"/>
  <c r="A69" i="187" s="1"/>
  <c r="E65" i="187"/>
  <c r="A70" i="187" l="1"/>
  <c r="A71" i="187" s="1"/>
  <c r="A72" i="187" s="1"/>
  <c r="A73" i="187" s="1"/>
  <c r="A74" i="187" s="1"/>
  <c r="A75" i="187" s="1"/>
  <c r="E72" i="187"/>
  <c r="E71" i="187"/>
  <c r="E66" i="187"/>
  <c r="A76" i="187" l="1"/>
  <c r="A77" i="187" s="1"/>
  <c r="A78" i="187" s="1"/>
  <c r="A79" i="187" s="1"/>
  <c r="A80" i="187" s="1"/>
  <c r="A81" i="187" s="1"/>
  <c r="E77" i="187"/>
  <c r="A82" i="187" l="1"/>
  <c r="A83" i="187" s="1"/>
  <c r="A84" i="187" s="1"/>
  <c r="A85" i="187" s="1"/>
  <c r="A86" i="187" s="1"/>
  <c r="A87" i="187" s="1"/>
  <c r="E84" i="187"/>
  <c r="E83" i="187"/>
  <c r="E78" i="187"/>
  <c r="A88" i="187" l="1"/>
  <c r="A89" i="187" s="1"/>
  <c r="A90" i="187" s="1"/>
  <c r="A91" i="187" s="1"/>
  <c r="A92" i="187" s="1"/>
  <c r="A93" i="187" s="1"/>
  <c r="E89" i="187"/>
  <c r="A94" i="187" l="1"/>
  <c r="A95" i="187" s="1"/>
  <c r="A96" i="187" s="1"/>
  <c r="A97" i="187" s="1"/>
  <c r="A98" i="187" s="1"/>
  <c r="A99" i="187" s="1"/>
  <c r="E96" i="187"/>
  <c r="E95" i="187"/>
  <c r="E90" i="187"/>
  <c r="A100" i="187" l="1"/>
  <c r="A101" i="187" s="1"/>
  <c r="A102" i="187" s="1"/>
  <c r="A103" i="187" s="1"/>
  <c r="A104" i="187" s="1"/>
  <c r="A105" i="187" s="1"/>
  <c r="E101" i="187"/>
  <c r="A106" i="187" l="1"/>
  <c r="A107" i="187" s="1"/>
  <c r="A108" i="187" s="1"/>
  <c r="A109" i="187" s="1"/>
  <c r="A110" i="187" s="1"/>
  <c r="A111" i="187" s="1"/>
  <c r="E108" i="187"/>
  <c r="E107" i="187"/>
  <c r="E102" i="187"/>
  <c r="A112" i="187" l="1"/>
  <c r="A113" i="187" s="1"/>
  <c r="A114" i="187" s="1"/>
  <c r="A115" i="187" s="1"/>
  <c r="A116" i="187" s="1"/>
  <c r="A117" i="187" s="1"/>
  <c r="E113" i="187"/>
  <c r="A118" i="187" l="1"/>
  <c r="A119" i="187" s="1"/>
  <c r="A120" i="187" s="1"/>
  <c r="A121" i="187" s="1"/>
  <c r="A122" i="187" s="1"/>
  <c r="A123" i="187" s="1"/>
  <c r="E120" i="187"/>
  <c r="E119" i="187"/>
  <c r="E114" i="187"/>
  <c r="A124" i="187" l="1"/>
  <c r="A125" i="187" s="1"/>
  <c r="A126" i="187" s="1"/>
  <c r="E125" i="187"/>
  <c r="E126" i="187" l="1"/>
  <c r="F103" i="184" l="1"/>
  <c r="F98" i="184"/>
  <c r="F97" i="184"/>
  <c r="F96" i="184"/>
  <c r="E96" i="184"/>
  <c r="F95" i="184"/>
  <c r="E95" i="184"/>
  <c r="J86" i="184"/>
  <c r="E87" i="184" s="1"/>
  <c r="E97" i="184" s="1"/>
  <c r="F84" i="184"/>
  <c r="E84" i="184"/>
  <c r="G71" i="184"/>
  <c r="E71" i="184"/>
  <c r="G69" i="184"/>
  <c r="E69" i="184"/>
  <c r="J62" i="184"/>
  <c r="H62" i="184"/>
  <c r="J59" i="184"/>
  <c r="H59" i="184"/>
  <c r="J58" i="184"/>
  <c r="H58" i="184"/>
  <c r="J55" i="184"/>
  <c r="H55" i="184"/>
  <c r="J54" i="184"/>
  <c r="H54" i="184"/>
  <c r="J53" i="184"/>
  <c r="H53" i="184"/>
  <c r="J52" i="184"/>
  <c r="H52" i="184"/>
  <c r="J51" i="184"/>
  <c r="H51" i="184"/>
  <c r="J50" i="184"/>
  <c r="H50" i="184"/>
  <c r="J49" i="184"/>
  <c r="H49" i="184"/>
  <c r="J48" i="184"/>
  <c r="H48" i="184"/>
  <c r="J45" i="184"/>
  <c r="H45" i="184"/>
  <c r="J44" i="184"/>
  <c r="H44" i="184"/>
  <c r="J43" i="184"/>
  <c r="H43" i="184"/>
  <c r="H42" i="184"/>
  <c r="H41" i="184"/>
  <c r="H33" i="184"/>
  <c r="A33" i="184"/>
  <c r="H34" i="184" s="1"/>
  <c r="J27" i="184"/>
  <c r="H27" i="184"/>
  <c r="J26" i="184"/>
  <c r="H26" i="184"/>
  <c r="J25" i="184"/>
  <c r="H25" i="184"/>
  <c r="J24" i="184"/>
  <c r="H24" i="184"/>
  <c r="J23" i="184"/>
  <c r="H23" i="184"/>
  <c r="J20" i="184"/>
  <c r="H20" i="184"/>
  <c r="J19" i="184"/>
  <c r="H19" i="184"/>
  <c r="J18" i="184"/>
  <c r="J21" i="184" s="1"/>
  <c r="H18" i="184"/>
  <c r="J14" i="184"/>
  <c r="H14" i="184"/>
  <c r="J13" i="184"/>
  <c r="H13" i="184"/>
  <c r="J12" i="184"/>
  <c r="J15" i="184" s="1"/>
  <c r="H12" i="184"/>
  <c r="A12" i="184"/>
  <c r="A13" i="184" s="1"/>
  <c r="A14" i="184" s="1"/>
  <c r="A15" i="184" s="1"/>
  <c r="A18" i="184" s="1"/>
  <c r="J9" i="184"/>
  <c r="H9" i="184"/>
  <c r="A9" i="184"/>
  <c r="J8" i="184"/>
  <c r="H8" i="184"/>
  <c r="A8" i="184"/>
  <c r="J7" i="184"/>
  <c r="H7" i="184"/>
  <c r="A7" i="184"/>
  <c r="J6" i="184"/>
  <c r="J29" i="184" s="1"/>
  <c r="H6" i="184"/>
  <c r="J41" i="184" l="1"/>
  <c r="J34" i="184"/>
  <c r="J56" i="184" s="1"/>
  <c r="J60" i="184" s="1"/>
  <c r="J64" i="184" s="1"/>
  <c r="E68" i="184" s="1"/>
  <c r="A19" i="184"/>
  <c r="A20" i="184" s="1"/>
  <c r="A21" i="184" s="1"/>
  <c r="A23" i="184" s="1"/>
  <c r="H21" i="184"/>
  <c r="E103" i="184"/>
  <c r="J42" i="184" s="1"/>
  <c r="J38" i="184" s="1"/>
  <c r="J57" i="184" s="1"/>
  <c r="E98" i="184"/>
  <c r="J33" i="184" s="1"/>
  <c r="H15" i="184"/>
  <c r="A34" i="184"/>
  <c r="E70" i="184" l="1"/>
  <c r="E72" i="184"/>
  <c r="E73" i="184" s="1"/>
  <c r="H56" i="184"/>
  <c r="A38" i="184"/>
  <c r="A24" i="184"/>
  <c r="A25" i="184" s="1"/>
  <c r="H29" i="184"/>
  <c r="D7" i="101" l="1"/>
  <c r="D8" i="101" s="1"/>
  <c r="J70" i="184"/>
  <c r="J72" i="184" s="1"/>
  <c r="H30" i="184"/>
  <c r="A41" i="184"/>
  <c r="A42" i="184" s="1"/>
  <c r="A43" i="184" s="1"/>
  <c r="A44" i="184" s="1"/>
  <c r="A45" i="184" s="1"/>
  <c r="A48" i="184" s="1"/>
  <c r="H57" i="184"/>
  <c r="A49" i="184" l="1"/>
  <c r="A51" i="184" s="1"/>
  <c r="A52" i="184" s="1"/>
  <c r="A53" i="184" s="1"/>
  <c r="A54" i="184" s="1"/>
  <c r="A55" i="184" s="1"/>
  <c r="A56" i="184" s="1"/>
  <c r="A57" i="184" s="1"/>
  <c r="A58" i="184" s="1"/>
  <c r="A59" i="184" s="1"/>
  <c r="A60" i="184" s="1"/>
  <c r="A62" i="184" l="1"/>
  <c r="A64" i="184" s="1"/>
  <c r="H60" i="184"/>
  <c r="A68" i="184" l="1"/>
  <c r="G68" i="184"/>
  <c r="H64" i="184"/>
  <c r="A69" i="184" l="1"/>
  <c r="A70" i="184" s="1"/>
  <c r="A71" i="184" l="1"/>
  <c r="A72" i="184" s="1"/>
  <c r="A73" i="184" s="1"/>
  <c r="G73" i="184"/>
  <c r="G70" i="184"/>
  <c r="G72" i="184" l="1"/>
  <c r="F10" i="100" l="1"/>
  <c r="F25" i="100" s="1"/>
  <c r="F225" i="182" l="1"/>
  <c r="F224" i="182"/>
  <c r="E223" i="182"/>
  <c r="F222" i="182"/>
  <c r="F221" i="182"/>
  <c r="F219" i="182"/>
  <c r="L208" i="182"/>
  <c r="H208" i="182"/>
  <c r="E208" i="182"/>
  <c r="E209" i="182" s="1"/>
  <c r="N205" i="182"/>
  <c r="M205" i="182"/>
  <c r="H205" i="182"/>
  <c r="G205" i="182"/>
  <c r="I205" i="182" s="1"/>
  <c r="F205" i="182"/>
  <c r="N204" i="182"/>
  <c r="J204" i="182"/>
  <c r="M204" i="182" s="1"/>
  <c r="I204" i="182"/>
  <c r="G204" i="182"/>
  <c r="F204" i="182"/>
  <c r="N203" i="182"/>
  <c r="M203" i="182"/>
  <c r="G203" i="182"/>
  <c r="I203" i="182" s="1"/>
  <c r="F203" i="182"/>
  <c r="J203" i="182" s="1"/>
  <c r="N202" i="182"/>
  <c r="J202" i="182"/>
  <c r="M202" i="182" s="1"/>
  <c r="I202" i="182"/>
  <c r="I208" i="182" s="1"/>
  <c r="G202" i="182"/>
  <c r="F202" i="182"/>
  <c r="J201" i="182"/>
  <c r="M201" i="182" s="1"/>
  <c r="G201" i="182"/>
  <c r="I201" i="182" s="1"/>
  <c r="F201" i="182"/>
  <c r="N201" i="182" s="1"/>
  <c r="N200" i="182"/>
  <c r="J200" i="182"/>
  <c r="I200" i="182"/>
  <c r="G200" i="182"/>
  <c r="F200" i="182"/>
  <c r="L195" i="182"/>
  <c r="H195" i="182"/>
  <c r="E195" i="182"/>
  <c r="F192" i="182"/>
  <c r="N191" i="182"/>
  <c r="J191" i="182"/>
  <c r="M191" i="182" s="1"/>
  <c r="G191" i="182"/>
  <c r="I191" i="182" s="1"/>
  <c r="F191" i="182"/>
  <c r="N190" i="182"/>
  <c r="F190" i="182"/>
  <c r="G190" i="182" s="1"/>
  <c r="I190" i="182" s="1"/>
  <c r="N189" i="182"/>
  <c r="J189" i="182"/>
  <c r="M189" i="182" s="1"/>
  <c r="G189" i="182"/>
  <c r="I189" i="182" s="1"/>
  <c r="F189" i="182"/>
  <c r="N188" i="182"/>
  <c r="J188" i="182"/>
  <c r="M188" i="182" s="1"/>
  <c r="F188" i="182"/>
  <c r="G188" i="182" s="1"/>
  <c r="I188" i="182" s="1"/>
  <c r="N187" i="182"/>
  <c r="J187" i="182"/>
  <c r="M187" i="182" s="1"/>
  <c r="G187" i="182"/>
  <c r="I187" i="182" s="1"/>
  <c r="F187" i="182"/>
  <c r="F186" i="182"/>
  <c r="N185" i="182"/>
  <c r="J185" i="182"/>
  <c r="M185" i="182" s="1"/>
  <c r="G185" i="182"/>
  <c r="I185" i="182" s="1"/>
  <c r="F185" i="182"/>
  <c r="F184" i="182"/>
  <c r="N183" i="182"/>
  <c r="J183" i="182"/>
  <c r="M183" i="182" s="1"/>
  <c r="G183" i="182"/>
  <c r="I183" i="182" s="1"/>
  <c r="F183" i="182"/>
  <c r="G182" i="182"/>
  <c r="I182" i="182" s="1"/>
  <c r="F182" i="182"/>
  <c r="N182" i="182" s="1"/>
  <c r="N181" i="182"/>
  <c r="J181" i="182"/>
  <c r="M181" i="182" s="1"/>
  <c r="I181" i="182"/>
  <c r="G181" i="182"/>
  <c r="F181" i="182"/>
  <c r="N180" i="182"/>
  <c r="M180" i="182"/>
  <c r="J180" i="182"/>
  <c r="F180" i="182"/>
  <c r="G180" i="182" s="1"/>
  <c r="I180" i="182" s="1"/>
  <c r="N179" i="182"/>
  <c r="J179" i="182"/>
  <c r="M179" i="182" s="1"/>
  <c r="G179" i="182"/>
  <c r="I179" i="182" s="1"/>
  <c r="F179" i="182"/>
  <c r="N178" i="182"/>
  <c r="J178" i="182"/>
  <c r="G178" i="182"/>
  <c r="F178" i="182"/>
  <c r="N174" i="182"/>
  <c r="M174" i="182"/>
  <c r="L174" i="182"/>
  <c r="J174" i="182"/>
  <c r="I174" i="182"/>
  <c r="H174" i="182"/>
  <c r="G174" i="182"/>
  <c r="E174" i="182"/>
  <c r="N169" i="182"/>
  <c r="M169" i="182"/>
  <c r="L169" i="182"/>
  <c r="J169" i="182"/>
  <c r="I169" i="182"/>
  <c r="H169" i="182"/>
  <c r="G169" i="182"/>
  <c r="E169" i="182"/>
  <c r="L164" i="182"/>
  <c r="E164" i="182"/>
  <c r="J161" i="182"/>
  <c r="M161" i="182" s="1"/>
  <c r="F161" i="182"/>
  <c r="G161" i="182" s="1"/>
  <c r="J160" i="182"/>
  <c r="M160" i="182" s="1"/>
  <c r="F160" i="182"/>
  <c r="N159" i="182"/>
  <c r="F159" i="182"/>
  <c r="F158" i="182"/>
  <c r="N157" i="182"/>
  <c r="F157" i="182"/>
  <c r="J156" i="182"/>
  <c r="M156" i="182" s="1"/>
  <c r="F156" i="182"/>
  <c r="M155" i="182"/>
  <c r="I155" i="182"/>
  <c r="G155" i="182"/>
  <c r="F155" i="182"/>
  <c r="J155" i="182" s="1"/>
  <c r="J154" i="182"/>
  <c r="M154" i="182" s="1"/>
  <c r="F154" i="182"/>
  <c r="N153" i="182"/>
  <c r="F153" i="182"/>
  <c r="J152" i="182"/>
  <c r="M152" i="182" s="1"/>
  <c r="F152" i="182"/>
  <c r="F151" i="182"/>
  <c r="F150" i="182"/>
  <c r="G149" i="182"/>
  <c r="I149" i="182" s="1"/>
  <c r="F149" i="182"/>
  <c r="J149" i="182" s="1"/>
  <c r="M149" i="182" s="1"/>
  <c r="J148" i="182"/>
  <c r="M148" i="182" s="1"/>
  <c r="F148" i="182"/>
  <c r="M147" i="182"/>
  <c r="I147" i="182"/>
  <c r="G147" i="182"/>
  <c r="F147" i="182"/>
  <c r="J147" i="182" s="1"/>
  <c r="M146" i="182"/>
  <c r="J146" i="182"/>
  <c r="F146" i="182"/>
  <c r="N145" i="182"/>
  <c r="M145" i="182"/>
  <c r="G145" i="182"/>
  <c r="F145" i="182"/>
  <c r="J145" i="182" s="1"/>
  <c r="G144" i="182"/>
  <c r="I144" i="182" s="1"/>
  <c r="F144" i="182"/>
  <c r="J144" i="182" s="1"/>
  <c r="M144" i="182" s="1"/>
  <c r="N143" i="182"/>
  <c r="J143" i="182"/>
  <c r="M143" i="182" s="1"/>
  <c r="I143" i="182"/>
  <c r="G143" i="182"/>
  <c r="F143" i="182"/>
  <c r="J142" i="182"/>
  <c r="M142" i="182" s="1"/>
  <c r="F142" i="182"/>
  <c r="N141" i="182"/>
  <c r="J141" i="182"/>
  <c r="M141" i="182" s="1"/>
  <c r="G141" i="182"/>
  <c r="I141" i="182" s="1"/>
  <c r="F141" i="182"/>
  <c r="F140" i="182"/>
  <c r="J139" i="182"/>
  <c r="M139" i="182" s="1"/>
  <c r="I139" i="182"/>
  <c r="H139" i="182"/>
  <c r="F139" i="182"/>
  <c r="G139" i="182" s="1"/>
  <c r="L136" i="182"/>
  <c r="E136" i="182"/>
  <c r="M133" i="182"/>
  <c r="I133" i="182"/>
  <c r="G133" i="182"/>
  <c r="F133" i="182"/>
  <c r="J133" i="182" s="1"/>
  <c r="J132" i="182"/>
  <c r="M132" i="182" s="1"/>
  <c r="F132" i="182"/>
  <c r="F131" i="182"/>
  <c r="N131" i="182" s="1"/>
  <c r="J130" i="182"/>
  <c r="M130" i="182" s="1"/>
  <c r="F130" i="182"/>
  <c r="N129" i="182"/>
  <c r="M129" i="182"/>
  <c r="G129" i="182"/>
  <c r="I129" i="182" s="1"/>
  <c r="F129" i="182"/>
  <c r="J129" i="182" s="1"/>
  <c r="F128" i="182"/>
  <c r="G127" i="182"/>
  <c r="I127" i="182" s="1"/>
  <c r="F127" i="182"/>
  <c r="F126" i="182"/>
  <c r="M125" i="182"/>
  <c r="G125" i="182"/>
  <c r="I125" i="182" s="1"/>
  <c r="F125" i="182"/>
  <c r="J125" i="182" s="1"/>
  <c r="M124" i="182"/>
  <c r="J124" i="182"/>
  <c r="F124" i="182"/>
  <c r="N123" i="182"/>
  <c r="F123" i="182"/>
  <c r="F122" i="182"/>
  <c r="F121" i="182"/>
  <c r="F120" i="182"/>
  <c r="N119" i="182"/>
  <c r="G119" i="182"/>
  <c r="I119" i="182" s="1"/>
  <c r="F119" i="182"/>
  <c r="J119" i="182" s="1"/>
  <c r="M119" i="182" s="1"/>
  <c r="M118" i="182"/>
  <c r="J118" i="182"/>
  <c r="F118" i="182"/>
  <c r="N117" i="182"/>
  <c r="F117" i="182"/>
  <c r="F116" i="182"/>
  <c r="F115" i="182"/>
  <c r="F114" i="182"/>
  <c r="N113" i="182"/>
  <c r="G113" i="182"/>
  <c r="I113" i="182" s="1"/>
  <c r="F113" i="182"/>
  <c r="J113" i="182" s="1"/>
  <c r="M113" i="182" s="1"/>
  <c r="F112" i="182"/>
  <c r="J112" i="182" s="1"/>
  <c r="M112" i="182" s="1"/>
  <c r="M111" i="182"/>
  <c r="I111" i="182"/>
  <c r="G111" i="182"/>
  <c r="F111" i="182"/>
  <c r="J111" i="182" s="1"/>
  <c r="J110" i="182"/>
  <c r="M110" i="182" s="1"/>
  <c r="F110" i="182"/>
  <c r="F109" i="182"/>
  <c r="J108" i="182"/>
  <c r="M108" i="182" s="1"/>
  <c r="F108" i="182"/>
  <c r="N107" i="182"/>
  <c r="M107" i="182"/>
  <c r="G107" i="182"/>
  <c r="I107" i="182" s="1"/>
  <c r="F107" i="182"/>
  <c r="J107" i="182" s="1"/>
  <c r="F106" i="182"/>
  <c r="F105" i="182"/>
  <c r="F104" i="182"/>
  <c r="M103" i="182"/>
  <c r="G103" i="182"/>
  <c r="I103" i="182" s="1"/>
  <c r="F103" i="182"/>
  <c r="J103" i="182" s="1"/>
  <c r="M102" i="182"/>
  <c r="J102" i="182"/>
  <c r="F102" i="182"/>
  <c r="N101" i="182"/>
  <c r="F101" i="182"/>
  <c r="F100" i="182"/>
  <c r="M99" i="182"/>
  <c r="G99" i="182"/>
  <c r="I99" i="182" s="1"/>
  <c r="F99" i="182"/>
  <c r="J99" i="182" s="1"/>
  <c r="F98" i="182"/>
  <c r="F97" i="182"/>
  <c r="N97" i="182" s="1"/>
  <c r="J96" i="182"/>
  <c r="M96" i="182" s="1"/>
  <c r="F96" i="182"/>
  <c r="M95" i="182"/>
  <c r="G95" i="182"/>
  <c r="I95" i="182" s="1"/>
  <c r="F95" i="182"/>
  <c r="J95" i="182" s="1"/>
  <c r="M94" i="182"/>
  <c r="J94" i="182"/>
  <c r="F94" i="182"/>
  <c r="F93" i="182"/>
  <c r="J92" i="182"/>
  <c r="M92" i="182" s="1"/>
  <c r="F92" i="182"/>
  <c r="M91" i="182"/>
  <c r="G91" i="182"/>
  <c r="I91" i="182" s="1"/>
  <c r="F91" i="182"/>
  <c r="J91" i="182" s="1"/>
  <c r="F90" i="182"/>
  <c r="N89" i="182"/>
  <c r="F89" i="182"/>
  <c r="F88" i="182"/>
  <c r="J88" i="182" s="1"/>
  <c r="M88" i="182" s="1"/>
  <c r="M87" i="182"/>
  <c r="G87" i="182"/>
  <c r="I87" i="182" s="1"/>
  <c r="F87" i="182"/>
  <c r="J87" i="182" s="1"/>
  <c r="M86" i="182"/>
  <c r="J86" i="182"/>
  <c r="F86" i="182"/>
  <c r="N85" i="182"/>
  <c r="F85" i="182"/>
  <c r="F84" i="182"/>
  <c r="M83" i="182"/>
  <c r="G83" i="182"/>
  <c r="I83" i="182" s="1"/>
  <c r="F83" i="182"/>
  <c r="J83" i="182" s="1"/>
  <c r="H82" i="182"/>
  <c r="G82" i="182" s="1"/>
  <c r="F82" i="182"/>
  <c r="N81" i="182"/>
  <c r="I81" i="182"/>
  <c r="H81" i="182"/>
  <c r="G81" i="182"/>
  <c r="F81" i="182"/>
  <c r="J81" i="182" s="1"/>
  <c r="M81" i="182" s="1"/>
  <c r="N80" i="182"/>
  <c r="F80" i="182"/>
  <c r="G80" i="182" s="1"/>
  <c r="I80" i="182" s="1"/>
  <c r="N79" i="182"/>
  <c r="J79" i="182"/>
  <c r="M79" i="182" s="1"/>
  <c r="G79" i="182"/>
  <c r="I79" i="182" s="1"/>
  <c r="F79" i="182"/>
  <c r="N78" i="182"/>
  <c r="J78" i="182"/>
  <c r="M78" i="182" s="1"/>
  <c r="F78" i="182"/>
  <c r="G78" i="182" s="1"/>
  <c r="I78" i="182" s="1"/>
  <c r="N77" i="182"/>
  <c r="J77" i="182"/>
  <c r="M77" i="182" s="1"/>
  <c r="G77" i="182"/>
  <c r="I77" i="182" s="1"/>
  <c r="F77" i="182"/>
  <c r="F76" i="182"/>
  <c r="G76" i="182" s="1"/>
  <c r="I76" i="182" s="1"/>
  <c r="N75" i="182"/>
  <c r="J75" i="182"/>
  <c r="M75" i="182" s="1"/>
  <c r="G75" i="182"/>
  <c r="I75" i="182" s="1"/>
  <c r="F75" i="182"/>
  <c r="F74" i="182"/>
  <c r="G74" i="182" s="1"/>
  <c r="I74" i="182" s="1"/>
  <c r="N73" i="182"/>
  <c r="J73" i="182"/>
  <c r="G73" i="182"/>
  <c r="F73" i="182"/>
  <c r="L70" i="182"/>
  <c r="E70" i="182"/>
  <c r="M67" i="182"/>
  <c r="J67" i="182"/>
  <c r="G67" i="182"/>
  <c r="I67" i="182" s="1"/>
  <c r="F67" i="182"/>
  <c r="N67" i="182" s="1"/>
  <c r="N66" i="182"/>
  <c r="J66" i="182"/>
  <c r="M66" i="182" s="1"/>
  <c r="I66" i="182"/>
  <c r="G66" i="182"/>
  <c r="F66" i="182"/>
  <c r="G65" i="182"/>
  <c r="I65" i="182" s="1"/>
  <c r="F65" i="182"/>
  <c r="J65" i="182" s="1"/>
  <c r="M65" i="182" s="1"/>
  <c r="N64" i="182"/>
  <c r="J64" i="182"/>
  <c r="M64" i="182" s="1"/>
  <c r="I64" i="182"/>
  <c r="G64" i="182"/>
  <c r="F64" i="182"/>
  <c r="M63" i="182"/>
  <c r="J63" i="182"/>
  <c r="G63" i="182"/>
  <c r="I63" i="182" s="1"/>
  <c r="F63" i="182"/>
  <c r="N63" i="182" s="1"/>
  <c r="N62" i="182"/>
  <c r="J62" i="182"/>
  <c r="M62" i="182" s="1"/>
  <c r="I62" i="182"/>
  <c r="G62" i="182"/>
  <c r="F62" i="182"/>
  <c r="G61" i="182"/>
  <c r="I61" i="182" s="1"/>
  <c r="F61" i="182"/>
  <c r="J61" i="182" s="1"/>
  <c r="M61" i="182" s="1"/>
  <c r="N60" i="182"/>
  <c r="J60" i="182"/>
  <c r="M60" i="182" s="1"/>
  <c r="I60" i="182"/>
  <c r="G60" i="182"/>
  <c r="F60" i="182"/>
  <c r="M59" i="182"/>
  <c r="J59" i="182"/>
  <c r="G59" i="182"/>
  <c r="I59" i="182" s="1"/>
  <c r="F59" i="182"/>
  <c r="N59" i="182" s="1"/>
  <c r="N58" i="182"/>
  <c r="J58" i="182"/>
  <c r="M58" i="182" s="1"/>
  <c r="I58" i="182"/>
  <c r="G58" i="182"/>
  <c r="F58" i="182"/>
  <c r="M57" i="182"/>
  <c r="G57" i="182"/>
  <c r="I57" i="182" s="1"/>
  <c r="F57" i="182"/>
  <c r="J57" i="182" s="1"/>
  <c r="N56" i="182"/>
  <c r="H56" i="182"/>
  <c r="F56" i="182"/>
  <c r="M55" i="182"/>
  <c r="H55" i="182"/>
  <c r="G55" i="182"/>
  <c r="F55" i="182"/>
  <c r="J55" i="182" s="1"/>
  <c r="I54" i="182"/>
  <c r="H54" i="182"/>
  <c r="G54" i="182"/>
  <c r="F54" i="182"/>
  <c r="N54" i="182" s="1"/>
  <c r="N53" i="182"/>
  <c r="J53" i="182"/>
  <c r="M53" i="182" s="1"/>
  <c r="H53" i="182"/>
  <c r="G53" i="182" s="1"/>
  <c r="F53" i="182"/>
  <c r="M52" i="182"/>
  <c r="J52" i="182"/>
  <c r="G52" i="182"/>
  <c r="I52" i="182" s="1"/>
  <c r="F52" i="182"/>
  <c r="N52" i="182" s="1"/>
  <c r="N51" i="182"/>
  <c r="J51" i="182"/>
  <c r="M51" i="182" s="1"/>
  <c r="I51" i="182"/>
  <c r="G51" i="182"/>
  <c r="F51" i="182"/>
  <c r="M50" i="182"/>
  <c r="G50" i="182"/>
  <c r="I50" i="182" s="1"/>
  <c r="F50" i="182"/>
  <c r="J50" i="182" s="1"/>
  <c r="N49" i="182"/>
  <c r="J49" i="182"/>
  <c r="M49" i="182" s="1"/>
  <c r="I49" i="182"/>
  <c r="G49" i="182"/>
  <c r="F49" i="182"/>
  <c r="M48" i="182"/>
  <c r="J48" i="182"/>
  <c r="G48" i="182"/>
  <c r="I48" i="182" s="1"/>
  <c r="F48" i="182"/>
  <c r="N48" i="182" s="1"/>
  <c r="N47" i="182"/>
  <c r="J47" i="182"/>
  <c r="M47" i="182" s="1"/>
  <c r="I47" i="182"/>
  <c r="G47" i="182"/>
  <c r="F47" i="182"/>
  <c r="G46" i="182"/>
  <c r="I46" i="182" s="1"/>
  <c r="F46" i="182"/>
  <c r="J46" i="182" s="1"/>
  <c r="M46" i="182" s="1"/>
  <c r="N45" i="182"/>
  <c r="J45" i="182"/>
  <c r="M45" i="182" s="1"/>
  <c r="I45" i="182"/>
  <c r="G45" i="182"/>
  <c r="F45" i="182"/>
  <c r="M44" i="182"/>
  <c r="J44" i="182"/>
  <c r="G44" i="182"/>
  <c r="I44" i="182" s="1"/>
  <c r="F44" i="182"/>
  <c r="N44" i="182" s="1"/>
  <c r="N43" i="182"/>
  <c r="J43" i="182"/>
  <c r="M43" i="182" s="1"/>
  <c r="I43" i="182"/>
  <c r="G43" i="182"/>
  <c r="F43" i="182"/>
  <c r="G42" i="182"/>
  <c r="F42" i="182"/>
  <c r="J42" i="182" s="1"/>
  <c r="L39" i="182"/>
  <c r="H39" i="182"/>
  <c r="E39" i="182"/>
  <c r="N36" i="182"/>
  <c r="J36" i="182"/>
  <c r="M36" i="182" s="1"/>
  <c r="G36" i="182"/>
  <c r="I36" i="182" s="1"/>
  <c r="F36" i="182"/>
  <c r="F35" i="182"/>
  <c r="N34" i="182"/>
  <c r="J34" i="182"/>
  <c r="M34" i="182" s="1"/>
  <c r="G34" i="182"/>
  <c r="F34" i="182"/>
  <c r="L31" i="182"/>
  <c r="H31" i="182"/>
  <c r="E31" i="182"/>
  <c r="M28" i="182"/>
  <c r="J28" i="182"/>
  <c r="G28" i="182"/>
  <c r="I28" i="182" s="1"/>
  <c r="F28" i="182"/>
  <c r="N28" i="182" s="1"/>
  <c r="N27" i="182"/>
  <c r="J27" i="182"/>
  <c r="M27" i="182" s="1"/>
  <c r="I27" i="182"/>
  <c r="G27" i="182"/>
  <c r="F27" i="182"/>
  <c r="G26" i="182"/>
  <c r="I26" i="182" s="1"/>
  <c r="F26" i="182"/>
  <c r="J26" i="182" s="1"/>
  <c r="M26" i="182" s="1"/>
  <c r="N25" i="182"/>
  <c r="J25" i="182"/>
  <c r="M25" i="182" s="1"/>
  <c r="I25" i="182"/>
  <c r="G25" i="182"/>
  <c r="F25" i="182"/>
  <c r="M24" i="182"/>
  <c r="J24" i="182"/>
  <c r="G24" i="182"/>
  <c r="I24" i="182" s="1"/>
  <c r="F24" i="182"/>
  <c r="N24" i="182" s="1"/>
  <c r="N23" i="182"/>
  <c r="J23" i="182"/>
  <c r="M23" i="182" s="1"/>
  <c r="I23" i="182"/>
  <c r="G23" i="182"/>
  <c r="F23" i="182"/>
  <c r="M22" i="182"/>
  <c r="G22" i="182"/>
  <c r="I22" i="182" s="1"/>
  <c r="F22" i="182"/>
  <c r="J22" i="182" s="1"/>
  <c r="N21" i="182"/>
  <c r="J21" i="182"/>
  <c r="M21" i="182" s="1"/>
  <c r="I21" i="182"/>
  <c r="G21" i="182"/>
  <c r="F21" i="182"/>
  <c r="M20" i="182"/>
  <c r="J20" i="182"/>
  <c r="G20" i="182"/>
  <c r="I20" i="182" s="1"/>
  <c r="F20" i="182"/>
  <c r="N20" i="182" s="1"/>
  <c r="N19" i="182"/>
  <c r="J19" i="182"/>
  <c r="M19" i="182" s="1"/>
  <c r="I19" i="182"/>
  <c r="G19" i="182"/>
  <c r="F19" i="182"/>
  <c r="M18" i="182"/>
  <c r="G18" i="182"/>
  <c r="I18" i="182" s="1"/>
  <c r="F18" i="182"/>
  <c r="J18" i="182" s="1"/>
  <c r="N17" i="182"/>
  <c r="J17" i="182"/>
  <c r="M17" i="182" s="1"/>
  <c r="I17" i="182"/>
  <c r="G17" i="182"/>
  <c r="F17" i="182"/>
  <c r="M16" i="182"/>
  <c r="J16" i="182"/>
  <c r="G16" i="182"/>
  <c r="I16" i="182" s="1"/>
  <c r="F16" i="182"/>
  <c r="N16" i="182" s="1"/>
  <c r="N15" i="182"/>
  <c r="J15" i="182"/>
  <c r="M15" i="182" s="1"/>
  <c r="I15" i="182"/>
  <c r="G15" i="182"/>
  <c r="F15" i="182"/>
  <c r="G14" i="182"/>
  <c r="I14" i="182" s="1"/>
  <c r="F14" i="182"/>
  <c r="J14" i="182" s="1"/>
  <c r="M14" i="182" s="1"/>
  <c r="N13" i="182"/>
  <c r="J13" i="182"/>
  <c r="M13" i="182" s="1"/>
  <c r="I13" i="182"/>
  <c r="G13" i="182"/>
  <c r="F13" i="182"/>
  <c r="M12" i="182"/>
  <c r="J12" i="182"/>
  <c r="G12" i="182"/>
  <c r="F12" i="182"/>
  <c r="N12" i="182" s="1"/>
  <c r="L9" i="182"/>
  <c r="H9" i="182"/>
  <c r="E9" i="182"/>
  <c r="E212" i="182" s="1"/>
  <c r="N6" i="182"/>
  <c r="J6" i="182"/>
  <c r="M6" i="182" s="1"/>
  <c r="G6" i="182"/>
  <c r="I6" i="182" s="1"/>
  <c r="F6" i="182"/>
  <c r="F5" i="182"/>
  <c r="N4" i="182"/>
  <c r="J4" i="182"/>
  <c r="M4" i="182" s="1"/>
  <c r="G4" i="182"/>
  <c r="F4" i="182"/>
  <c r="D125" i="181"/>
  <c r="D126" i="181" s="1"/>
  <c r="D119" i="181"/>
  <c r="D120" i="181" s="1"/>
  <c r="D113" i="181"/>
  <c r="D114" i="181" s="1"/>
  <c r="D107" i="181"/>
  <c r="D108" i="181" s="1"/>
  <c r="D102" i="181"/>
  <c r="D101" i="181"/>
  <c r="D95" i="181"/>
  <c r="D96" i="181" s="1"/>
  <c r="D89" i="181"/>
  <c r="D90" i="181" s="1"/>
  <c r="D83" i="181"/>
  <c r="D84" i="181" s="1"/>
  <c r="D77" i="181"/>
  <c r="D78" i="181" s="1"/>
  <c r="D71" i="181"/>
  <c r="D72" i="181" s="1"/>
  <c r="D66" i="181"/>
  <c r="D65" i="181"/>
  <c r="D59" i="181"/>
  <c r="D60" i="181" s="1"/>
  <c r="D53" i="181"/>
  <c r="D54" i="181" s="1"/>
  <c r="D47" i="181"/>
  <c r="D48" i="181" s="1"/>
  <c r="D42" i="181"/>
  <c r="D41" i="181"/>
  <c r="D35" i="181"/>
  <c r="D36" i="181" s="1"/>
  <c r="G24" i="181"/>
  <c r="E24" i="181"/>
  <c r="G22" i="181"/>
  <c r="E22" i="181"/>
  <c r="G21" i="181"/>
  <c r="E21" i="181"/>
  <c r="G20" i="181"/>
  <c r="E20" i="181"/>
  <c r="G12" i="181"/>
  <c r="E12" i="181"/>
  <c r="G11" i="181"/>
  <c r="G13" i="181" s="1"/>
  <c r="E11" i="181"/>
  <c r="G10" i="181"/>
  <c r="G14" i="181" s="1"/>
  <c r="E10" i="181"/>
  <c r="A8" i="181"/>
  <c r="A9" i="181" s="1"/>
  <c r="A10" i="181" s="1"/>
  <c r="G7" i="181"/>
  <c r="E7" i="181"/>
  <c r="F103" i="180"/>
  <c r="F98" i="180"/>
  <c r="F97" i="180"/>
  <c r="F96" i="180"/>
  <c r="E96" i="180"/>
  <c r="F95" i="180"/>
  <c r="E95" i="180"/>
  <c r="E87" i="180"/>
  <c r="E97" i="180" s="1"/>
  <c r="E103" i="180" s="1"/>
  <c r="J42" i="180" s="1"/>
  <c r="J86" i="180"/>
  <c r="F84" i="180"/>
  <c r="E84" i="180"/>
  <c r="G71" i="180"/>
  <c r="E71" i="180"/>
  <c r="G69" i="180"/>
  <c r="E69" i="180"/>
  <c r="J62" i="180"/>
  <c r="H62" i="180"/>
  <c r="J59" i="180"/>
  <c r="H59" i="180"/>
  <c r="J58" i="180"/>
  <c r="H58" i="180"/>
  <c r="J55" i="180"/>
  <c r="H55" i="180"/>
  <c r="J54" i="180"/>
  <c r="H54" i="180"/>
  <c r="J53" i="180"/>
  <c r="H53" i="180"/>
  <c r="J52" i="180"/>
  <c r="H52" i="180"/>
  <c r="J51" i="180"/>
  <c r="H51" i="180"/>
  <c r="J50" i="180"/>
  <c r="H50" i="180"/>
  <c r="J49" i="180"/>
  <c r="H49" i="180"/>
  <c r="J48" i="180"/>
  <c r="H48" i="180"/>
  <c r="J45" i="180"/>
  <c r="H45" i="180"/>
  <c r="J44" i="180"/>
  <c r="H44" i="180"/>
  <c r="J43" i="180"/>
  <c r="H43" i="180"/>
  <c r="H42" i="180"/>
  <c r="H41" i="180"/>
  <c r="H33" i="180"/>
  <c r="A33" i="180"/>
  <c r="H34" i="180" s="1"/>
  <c r="J27" i="180"/>
  <c r="H27" i="180"/>
  <c r="J26" i="180"/>
  <c r="H26" i="180"/>
  <c r="J25" i="180"/>
  <c r="H25" i="180"/>
  <c r="J24" i="180"/>
  <c r="H24" i="180"/>
  <c r="J23" i="180"/>
  <c r="H23" i="180"/>
  <c r="J20" i="180"/>
  <c r="H20" i="180"/>
  <c r="J19" i="180"/>
  <c r="H19" i="180"/>
  <c r="J18" i="180"/>
  <c r="J21" i="180" s="1"/>
  <c r="H18" i="180"/>
  <c r="J14" i="180"/>
  <c r="H14" i="180"/>
  <c r="J13" i="180"/>
  <c r="H13" i="180"/>
  <c r="J12" i="180"/>
  <c r="J15" i="180" s="1"/>
  <c r="H12" i="180"/>
  <c r="J9" i="180"/>
  <c r="H9" i="180"/>
  <c r="J8" i="180"/>
  <c r="H8" i="180"/>
  <c r="A8" i="180"/>
  <c r="A9" i="180" s="1"/>
  <c r="A12" i="180" s="1"/>
  <c r="J7" i="180"/>
  <c r="H7" i="180"/>
  <c r="A7" i="180"/>
  <c r="J6" i="180"/>
  <c r="H6" i="180"/>
  <c r="A11" i="181" l="1"/>
  <c r="G35" i="182"/>
  <c r="I35" i="182" s="1"/>
  <c r="N35" i="182"/>
  <c r="N39" i="182" s="1"/>
  <c r="J35" i="182"/>
  <c r="M42" i="182"/>
  <c r="M70" i="182" s="1"/>
  <c r="G15" i="181"/>
  <c r="G23" i="181" s="1"/>
  <c r="G28" i="181" s="1"/>
  <c r="G5" i="182"/>
  <c r="I5" i="182" s="1"/>
  <c r="N5" i="182"/>
  <c r="N9" i="182" s="1"/>
  <c r="J5" i="182"/>
  <c r="N84" i="182"/>
  <c r="G84" i="182"/>
  <c r="I84" i="182" s="1"/>
  <c r="J105" i="182"/>
  <c r="M105" i="182" s="1"/>
  <c r="N105" i="182"/>
  <c r="G105" i="182"/>
  <c r="I105" i="182" s="1"/>
  <c r="N140" i="182"/>
  <c r="G140" i="182"/>
  <c r="I140" i="182" s="1"/>
  <c r="I4" i="182"/>
  <c r="G9" i="182"/>
  <c r="I12" i="182"/>
  <c r="I31" i="182" s="1"/>
  <c r="G31" i="182"/>
  <c r="J76" i="182"/>
  <c r="M76" i="182" s="1"/>
  <c r="J93" i="182"/>
  <c r="M93" i="182" s="1"/>
  <c r="G93" i="182"/>
  <c r="I93" i="182" s="1"/>
  <c r="J115" i="182"/>
  <c r="M115" i="182" s="1"/>
  <c r="N115" i="182"/>
  <c r="G115" i="182"/>
  <c r="I115" i="182" s="1"/>
  <c r="J121" i="182"/>
  <c r="M121" i="182" s="1"/>
  <c r="G121" i="182"/>
  <c r="I121" i="182" s="1"/>
  <c r="J140" i="182"/>
  <c r="N158" i="182"/>
  <c r="G158" i="182"/>
  <c r="I158" i="182" s="1"/>
  <c r="J158" i="182"/>
  <c r="M158" i="182" s="1"/>
  <c r="M31" i="182"/>
  <c r="G56" i="182"/>
  <c r="I56" i="182" s="1"/>
  <c r="J56" i="182"/>
  <c r="M56" i="182" s="1"/>
  <c r="M73" i="182"/>
  <c r="N74" i="182"/>
  <c r="N136" i="182" s="1"/>
  <c r="J80" i="182"/>
  <c r="M80" i="182" s="1"/>
  <c r="N92" i="182"/>
  <c r="G92" i="182"/>
  <c r="I92" i="182" s="1"/>
  <c r="N93" i="182"/>
  <c r="N96" i="182"/>
  <c r="G96" i="182"/>
  <c r="I96" i="182" s="1"/>
  <c r="N116" i="182"/>
  <c r="G116" i="182"/>
  <c r="I116" i="182" s="1"/>
  <c r="J116" i="182"/>
  <c r="M116" i="182" s="1"/>
  <c r="J151" i="182"/>
  <c r="M151" i="182" s="1"/>
  <c r="N151" i="182"/>
  <c r="G151" i="182"/>
  <c r="I151" i="182" s="1"/>
  <c r="J186" i="182"/>
  <c r="M186" i="182" s="1"/>
  <c r="N186" i="182"/>
  <c r="G186" i="182"/>
  <c r="I186" i="182" s="1"/>
  <c r="N88" i="182"/>
  <c r="G88" i="182"/>
  <c r="I88" i="182" s="1"/>
  <c r="I34" i="182"/>
  <c r="I39" i="182" s="1"/>
  <c r="I42" i="182"/>
  <c r="J84" i="182"/>
  <c r="M84" i="182" s="1"/>
  <c r="J97" i="182"/>
  <c r="M97" i="182" s="1"/>
  <c r="G97" i="182"/>
  <c r="I97" i="182" s="1"/>
  <c r="J208" i="182"/>
  <c r="M200" i="182"/>
  <c r="M208" i="182" s="1"/>
  <c r="G25" i="181"/>
  <c r="H70" i="182"/>
  <c r="I73" i="182"/>
  <c r="J74" i="182"/>
  <c r="M74" i="182" s="1"/>
  <c r="N76" i="182"/>
  <c r="J85" i="182"/>
  <c r="M85" i="182" s="1"/>
  <c r="G85" i="182"/>
  <c r="I85" i="182" s="1"/>
  <c r="J89" i="182"/>
  <c r="M89" i="182" s="1"/>
  <c r="E220" i="182" s="1"/>
  <c r="E221" i="182" s="1"/>
  <c r="G89" i="182"/>
  <c r="I89" i="182" s="1"/>
  <c r="N100" i="182"/>
  <c r="G100" i="182"/>
  <c r="I100" i="182" s="1"/>
  <c r="J100" i="182"/>
  <c r="M100" i="182" s="1"/>
  <c r="N106" i="182"/>
  <c r="G106" i="182"/>
  <c r="I106" i="182" s="1"/>
  <c r="J106" i="182"/>
  <c r="M106" i="182" s="1"/>
  <c r="J109" i="182"/>
  <c r="M109" i="182" s="1"/>
  <c r="G109" i="182"/>
  <c r="I109" i="182" s="1"/>
  <c r="N109" i="182"/>
  <c r="N112" i="182"/>
  <c r="G112" i="182"/>
  <c r="I112" i="182" s="1"/>
  <c r="N121" i="182"/>
  <c r="N128" i="182"/>
  <c r="G128" i="182"/>
  <c r="I128" i="182" s="1"/>
  <c r="J128" i="182"/>
  <c r="M128" i="182" s="1"/>
  <c r="J131" i="182"/>
  <c r="M131" i="182" s="1"/>
  <c r="G131" i="182"/>
  <c r="I131" i="182" s="1"/>
  <c r="N150" i="182"/>
  <c r="G150" i="182"/>
  <c r="I150" i="182" s="1"/>
  <c r="J150" i="182"/>
  <c r="M150" i="182" s="1"/>
  <c r="J159" i="182"/>
  <c r="M159" i="182" s="1"/>
  <c r="G159" i="182"/>
  <c r="I159" i="182" s="1"/>
  <c r="G184" i="182"/>
  <c r="I184" i="182" s="1"/>
  <c r="N184" i="182"/>
  <c r="N195" i="182" s="1"/>
  <c r="J184" i="182"/>
  <c r="M184" i="182" s="1"/>
  <c r="L212" i="182"/>
  <c r="E215" i="182" s="1"/>
  <c r="E216" i="182" s="1"/>
  <c r="J31" i="182"/>
  <c r="N14" i="182"/>
  <c r="N31" i="182" s="1"/>
  <c r="N18" i="182"/>
  <c r="N22" i="182"/>
  <c r="N26" i="182"/>
  <c r="N42" i="182"/>
  <c r="N70" i="182" s="1"/>
  <c r="N46" i="182"/>
  <c r="N50" i="182"/>
  <c r="J54" i="182"/>
  <c r="M54" i="182" s="1"/>
  <c r="N57" i="182"/>
  <c r="N61" i="182"/>
  <c r="N65" i="182"/>
  <c r="H136" i="182"/>
  <c r="N82" i="182"/>
  <c r="N83" i="182"/>
  <c r="N90" i="182"/>
  <c r="G90" i="182"/>
  <c r="I90" i="182" s="1"/>
  <c r="N91" i="182"/>
  <c r="N98" i="182"/>
  <c r="G98" i="182"/>
  <c r="I98" i="182" s="1"/>
  <c r="N99" i="182"/>
  <c r="J101" i="182"/>
  <c r="M101" i="182" s="1"/>
  <c r="G101" i="182"/>
  <c r="I101" i="182" s="1"/>
  <c r="N104" i="182"/>
  <c r="G104" i="182"/>
  <c r="I104" i="182" s="1"/>
  <c r="N114" i="182"/>
  <c r="G114" i="182"/>
  <c r="I114" i="182" s="1"/>
  <c r="J114" i="182"/>
  <c r="M114" i="182" s="1"/>
  <c r="N122" i="182"/>
  <c r="G122" i="182"/>
  <c r="I122" i="182" s="1"/>
  <c r="J122" i="182"/>
  <c r="M122" i="182" s="1"/>
  <c r="N126" i="182"/>
  <c r="G126" i="182"/>
  <c r="I126" i="182" s="1"/>
  <c r="J126" i="182"/>
  <c r="M126" i="182" s="1"/>
  <c r="G142" i="182"/>
  <c r="I142" i="182" s="1"/>
  <c r="I164" i="182" s="1"/>
  <c r="N142" i="182"/>
  <c r="H145" i="182"/>
  <c r="H164" i="182" s="1"/>
  <c r="I145" i="182"/>
  <c r="N152" i="182"/>
  <c r="G152" i="182"/>
  <c r="I152" i="182" s="1"/>
  <c r="I178" i="182"/>
  <c r="I195" i="182" s="1"/>
  <c r="G195" i="182"/>
  <c r="G192" i="182"/>
  <c r="I192" i="182" s="1"/>
  <c r="J192" i="182"/>
  <c r="M192" i="182" s="1"/>
  <c r="N208" i="182"/>
  <c r="M178" i="182"/>
  <c r="N55" i="182"/>
  <c r="J82" i="182"/>
  <c r="M82" i="182" s="1"/>
  <c r="N86" i="182"/>
  <c r="G86" i="182"/>
  <c r="I86" i="182" s="1"/>
  <c r="N87" i="182"/>
  <c r="J90" i="182"/>
  <c r="M90" i="182" s="1"/>
  <c r="N94" i="182"/>
  <c r="G94" i="182"/>
  <c r="I94" i="182" s="1"/>
  <c r="N95" i="182"/>
  <c r="J98" i="182"/>
  <c r="M98" i="182" s="1"/>
  <c r="E218" i="182" s="1"/>
  <c r="E219" i="182" s="1"/>
  <c r="J104" i="182"/>
  <c r="M104" i="182" s="1"/>
  <c r="N108" i="182"/>
  <c r="G108" i="182"/>
  <c r="I108" i="182" s="1"/>
  <c r="J117" i="182"/>
  <c r="M117" i="182" s="1"/>
  <c r="G117" i="182"/>
  <c r="I117" i="182" s="1"/>
  <c r="J123" i="182"/>
  <c r="M123" i="182" s="1"/>
  <c r="G123" i="182"/>
  <c r="I123" i="182" s="1"/>
  <c r="J127" i="182"/>
  <c r="M127" i="182" s="1"/>
  <c r="N127" i="182"/>
  <c r="N144" i="182"/>
  <c r="N148" i="182"/>
  <c r="G148" i="182"/>
  <c r="I148" i="182" s="1"/>
  <c r="N149" i="182"/>
  <c r="J157" i="182"/>
  <c r="M157" i="182" s="1"/>
  <c r="G157" i="182"/>
  <c r="I157" i="182" s="1"/>
  <c r="N160" i="182"/>
  <c r="G160" i="182"/>
  <c r="I160" i="182" s="1"/>
  <c r="N161" i="182"/>
  <c r="J182" i="182"/>
  <c r="M182" i="182" s="1"/>
  <c r="J190" i="182"/>
  <c r="M190" i="182" s="1"/>
  <c r="N192" i="182"/>
  <c r="N102" i="182"/>
  <c r="G102" i="182"/>
  <c r="I102" i="182" s="1"/>
  <c r="N103" i="182"/>
  <c r="N110" i="182"/>
  <c r="G110" i="182"/>
  <c r="I110" i="182" s="1"/>
  <c r="N111" i="182"/>
  <c r="N118" i="182"/>
  <c r="G118" i="182"/>
  <c r="I118" i="182" s="1"/>
  <c r="N120" i="182"/>
  <c r="G120" i="182"/>
  <c r="I120" i="182" s="1"/>
  <c r="J120" i="182"/>
  <c r="M120" i="182" s="1"/>
  <c r="N130" i="182"/>
  <c r="G130" i="182"/>
  <c r="I130" i="182" s="1"/>
  <c r="J153" i="182"/>
  <c r="M153" i="182" s="1"/>
  <c r="G153" i="182"/>
  <c r="I153" i="182" s="1"/>
  <c r="N156" i="182"/>
  <c r="G156" i="182"/>
  <c r="I156" i="182" s="1"/>
  <c r="G208" i="182"/>
  <c r="N124" i="182"/>
  <c r="G124" i="182"/>
  <c r="I124" i="182" s="1"/>
  <c r="N125" i="182"/>
  <c r="N132" i="182"/>
  <c r="G132" i="182"/>
  <c r="I132" i="182" s="1"/>
  <c r="N133" i="182"/>
  <c r="N139" i="182"/>
  <c r="N146" i="182"/>
  <c r="G146" i="182"/>
  <c r="I146" i="182" s="1"/>
  <c r="N147" i="182"/>
  <c r="N154" i="182"/>
  <c r="G154" i="182"/>
  <c r="I154" i="182" s="1"/>
  <c r="N155" i="182"/>
  <c r="H15" i="180"/>
  <c r="A13" i="180"/>
  <c r="A14" i="180" s="1"/>
  <c r="A15" i="180" s="1"/>
  <c r="A18" i="180" s="1"/>
  <c r="E98" i="180"/>
  <c r="J33" i="180" s="1"/>
  <c r="J29" i="180"/>
  <c r="A34" i="180"/>
  <c r="H212" i="182" l="1"/>
  <c r="N164" i="182"/>
  <c r="J195" i="182"/>
  <c r="M140" i="182"/>
  <c r="M164" i="182" s="1"/>
  <c r="J164" i="182"/>
  <c r="J70" i="182"/>
  <c r="G70" i="182"/>
  <c r="G164" i="182"/>
  <c r="J136" i="182"/>
  <c r="I9" i="182"/>
  <c r="M35" i="182"/>
  <c r="M39" i="182" s="1"/>
  <c r="J39" i="182"/>
  <c r="A12" i="181"/>
  <c r="A13" i="181" s="1"/>
  <c r="E13" i="181"/>
  <c r="E222" i="182"/>
  <c r="E224" i="182" s="1"/>
  <c r="E225" i="182" s="1"/>
  <c r="G136" i="182"/>
  <c r="N212" i="182"/>
  <c r="G39" i="182"/>
  <c r="G212" i="182" s="1"/>
  <c r="M136" i="182"/>
  <c r="M195" i="182"/>
  <c r="I136" i="182"/>
  <c r="I70" i="182"/>
  <c r="M5" i="182"/>
  <c r="M9" i="182" s="1"/>
  <c r="M212" i="182" s="1"/>
  <c r="J9" i="182"/>
  <c r="J34" i="180"/>
  <c r="J56" i="180" s="1"/>
  <c r="J60" i="180" s="1"/>
  <c r="J64" i="180" s="1"/>
  <c r="E68" i="180" s="1"/>
  <c r="J41" i="180"/>
  <c r="J38" i="180"/>
  <c r="J57" i="180" s="1"/>
  <c r="A38" i="180"/>
  <c r="H56" i="180"/>
  <c r="A19" i="180"/>
  <c r="A20" i="180" s="1"/>
  <c r="A21" i="180" s="1"/>
  <c r="A14" i="181" l="1"/>
  <c r="E14" i="181"/>
  <c r="I212" i="182"/>
  <c r="J212" i="182"/>
  <c r="E228" i="182"/>
  <c r="E73" i="180"/>
  <c r="J70" i="180" s="1"/>
  <c r="J72" i="180" s="1"/>
  <c r="E72" i="180"/>
  <c r="E70" i="180"/>
  <c r="A41" i="180"/>
  <c r="A42" i="180" s="1"/>
  <c r="A43" i="180" s="1"/>
  <c r="A44" i="180" s="1"/>
  <c r="A45" i="180" s="1"/>
  <c r="A48" i="180" s="1"/>
  <c r="H57" i="180"/>
  <c r="A23" i="180"/>
  <c r="H29" i="180"/>
  <c r="H21" i="180"/>
  <c r="A15" i="181" l="1"/>
  <c r="A16" i="181" s="1"/>
  <c r="A17" i="181" s="1"/>
  <c r="A18" i="181" s="1"/>
  <c r="A19" i="181" s="1"/>
  <c r="A20" i="181" s="1"/>
  <c r="E15" i="181"/>
  <c r="A49" i="180"/>
  <c r="A51" i="180" s="1"/>
  <c r="A52" i="180" s="1"/>
  <c r="A53" i="180" s="1"/>
  <c r="A54" i="180" s="1"/>
  <c r="A55" i="180" s="1"/>
  <c r="A56" i="180" s="1"/>
  <c r="A57" i="180" s="1"/>
  <c r="A58" i="180" s="1"/>
  <c r="A59" i="180" s="1"/>
  <c r="A60" i="180" s="1"/>
  <c r="H30" i="180"/>
  <c r="A24" i="180"/>
  <c r="A25" i="180" s="1"/>
  <c r="A21" i="181" l="1"/>
  <c r="A22" i="181" s="1"/>
  <c r="H60" i="180"/>
  <c r="A62" i="180"/>
  <c r="A64" i="180" s="1"/>
  <c r="A23" i="181" l="1"/>
  <c r="E23" i="181"/>
  <c r="G68" i="180"/>
  <c r="A68" i="180"/>
  <c r="H64" i="180"/>
  <c r="A24" i="181" l="1"/>
  <c r="A69" i="180"/>
  <c r="A70" i="180" s="1"/>
  <c r="A25" i="181" l="1"/>
  <c r="E25" i="181"/>
  <c r="A71" i="180"/>
  <c r="A72" i="180" s="1"/>
  <c r="A73" i="180" s="1"/>
  <c r="G72" i="180"/>
  <c r="G70" i="180"/>
  <c r="A26" i="181" l="1"/>
  <c r="A27" i="181" s="1"/>
  <c r="A28" i="181" s="1"/>
  <c r="A29" i="181" s="1"/>
  <c r="A30" i="181" s="1"/>
  <c r="A31" i="181" s="1"/>
  <c r="A32" i="181" s="1"/>
  <c r="A33" i="181" s="1"/>
  <c r="G73" i="180"/>
  <c r="A34" i="181" l="1"/>
  <c r="A35" i="181" s="1"/>
  <c r="A36" i="181" s="1"/>
  <c r="A37" i="181" s="1"/>
  <c r="A38" i="181" s="1"/>
  <c r="A39" i="181" s="1"/>
  <c r="E35" i="181"/>
  <c r="E36" i="181"/>
  <c r="E28" i="181"/>
  <c r="A40" i="181" l="1"/>
  <c r="A41" i="181" s="1"/>
  <c r="A42" i="181" s="1"/>
  <c r="A43" i="181" s="1"/>
  <c r="A44" i="181" s="1"/>
  <c r="A45" i="181" s="1"/>
  <c r="A46" i="181" l="1"/>
  <c r="A47" i="181" s="1"/>
  <c r="A48" i="181" s="1"/>
  <c r="A49" i="181" s="1"/>
  <c r="A50" i="181" s="1"/>
  <c r="A51" i="181" s="1"/>
  <c r="E42" i="181"/>
  <c r="E41" i="181"/>
  <c r="A52" i="181" l="1"/>
  <c r="A53" i="181" s="1"/>
  <c r="A54" i="181" s="1"/>
  <c r="A55" i="181" s="1"/>
  <c r="A56" i="181" s="1"/>
  <c r="A57" i="181" s="1"/>
  <c r="E54" i="181"/>
  <c r="E48" i="181"/>
  <c r="E47" i="181"/>
  <c r="E60" i="181" l="1"/>
  <c r="A58" i="181"/>
  <c r="A59" i="181" s="1"/>
  <c r="A60" i="181" s="1"/>
  <c r="A61" i="181" s="1"/>
  <c r="A62" i="181" s="1"/>
  <c r="A63" i="181" s="1"/>
  <c r="E53" i="181"/>
  <c r="A64" i="181" l="1"/>
  <c r="A65" i="181" s="1"/>
  <c r="A66" i="181" s="1"/>
  <c r="A67" i="181" s="1"/>
  <c r="A68" i="181" s="1"/>
  <c r="A69" i="181" s="1"/>
  <c r="E59" i="181"/>
  <c r="E65" i="181" l="1"/>
  <c r="E66" i="181"/>
  <c r="A70" i="181"/>
  <c r="A71" i="181" s="1"/>
  <c r="A72" i="181" s="1"/>
  <c r="A73" i="181" s="1"/>
  <c r="A74" i="181" s="1"/>
  <c r="A75" i="181" s="1"/>
  <c r="E77" i="181" l="1"/>
  <c r="A76" i="181"/>
  <c r="A77" i="181" s="1"/>
  <c r="A78" i="181" s="1"/>
  <c r="A79" i="181" s="1"/>
  <c r="A80" i="181" s="1"/>
  <c r="A81" i="181" s="1"/>
  <c r="E78" i="181"/>
  <c r="E72" i="181"/>
  <c r="E71" i="181"/>
  <c r="E84" i="181" l="1"/>
  <c r="A82" i="181"/>
  <c r="A83" i="181" s="1"/>
  <c r="A84" i="181" s="1"/>
  <c r="A85" i="181" s="1"/>
  <c r="A86" i="181" s="1"/>
  <c r="A87" i="181" s="1"/>
  <c r="E83" i="181"/>
  <c r="E89" i="181" l="1"/>
  <c r="A88" i="181"/>
  <c r="A89" i="181" s="1"/>
  <c r="A90" i="181" s="1"/>
  <c r="A91" i="181" s="1"/>
  <c r="A92" i="181" s="1"/>
  <c r="A93" i="181" s="1"/>
  <c r="A94" i="181" l="1"/>
  <c r="A95" i="181" s="1"/>
  <c r="A96" i="181" s="1"/>
  <c r="A97" i="181" s="1"/>
  <c r="A98" i="181" s="1"/>
  <c r="A99" i="181" s="1"/>
  <c r="E90" i="181"/>
  <c r="E96" i="181" l="1"/>
  <c r="E95" i="181"/>
  <c r="A100" i="181"/>
  <c r="A101" i="181" s="1"/>
  <c r="A102" i="181" s="1"/>
  <c r="A103" i="181" s="1"/>
  <c r="A104" i="181" s="1"/>
  <c r="A105" i="181" s="1"/>
  <c r="E107" i="181" l="1"/>
  <c r="A106" i="181"/>
  <c r="A107" i="181" s="1"/>
  <c r="A108" i="181" s="1"/>
  <c r="A109" i="181" s="1"/>
  <c r="A110" i="181" s="1"/>
  <c r="A111" i="181" s="1"/>
  <c r="E101" i="181"/>
  <c r="E102" i="181"/>
  <c r="A112" i="181" l="1"/>
  <c r="A113" i="181" s="1"/>
  <c r="A114" i="181" s="1"/>
  <c r="A115" i="181" s="1"/>
  <c r="A116" i="181" s="1"/>
  <c r="A117" i="181" s="1"/>
  <c r="E108" i="181"/>
  <c r="E120" i="181" l="1"/>
  <c r="A118" i="181"/>
  <c r="A119" i="181" s="1"/>
  <c r="A120" i="181" s="1"/>
  <c r="A121" i="181" s="1"/>
  <c r="A122" i="181" s="1"/>
  <c r="A123" i="181" s="1"/>
  <c r="E119" i="181"/>
  <c r="E114" i="181"/>
  <c r="E113" i="181"/>
  <c r="A124" i="181" l="1"/>
  <c r="A125" i="181" s="1"/>
  <c r="A126" i="181" s="1"/>
  <c r="E126" i="181"/>
  <c r="E125" i="181" l="1"/>
  <c r="E10" i="100" l="1"/>
  <c r="E25" i="100" l="1"/>
  <c r="F8" i="100"/>
  <c r="F6" i="100"/>
  <c r="D8" i="130"/>
  <c r="J12" i="86"/>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D17" i="86"/>
  <c r="E13" i="86" l="1"/>
  <c r="F13" i="86" s="1"/>
  <c r="K16" i="86"/>
  <c r="I17" i="86" s="1"/>
  <c r="J17" i="86" s="1"/>
  <c r="D18" i="86"/>
  <c r="G13" i="86" l="1"/>
  <c r="K17" i="86"/>
  <c r="I18" i="86" s="1"/>
  <c r="J18" i="86" s="1"/>
  <c r="D19" i="86"/>
  <c r="E14" i="86" l="1"/>
  <c r="F14" i="86" s="1"/>
  <c r="K18" i="86"/>
  <c r="I19" i="86" s="1"/>
  <c r="J19" i="86" s="1"/>
  <c r="D20" i="86"/>
  <c r="G14" i="86" l="1"/>
  <c r="K19" i="86"/>
  <c r="I20" i="86" s="1"/>
  <c r="J20" i="86" s="1"/>
  <c r="D21" i="86"/>
  <c r="E15" i="86" l="1"/>
  <c r="F15" i="86" s="1"/>
  <c r="G15" i="86" s="1"/>
  <c r="K20" i="86"/>
  <c r="I21" i="86" s="1"/>
  <c r="J21" i="86" s="1"/>
  <c r="D22" i="86"/>
  <c r="K21" i="86" l="1"/>
  <c r="I22" i="86" s="1"/>
  <c r="J22" i="86" s="1"/>
  <c r="E16" i="86"/>
  <c r="F16" i="86" s="1"/>
  <c r="D23" i="86"/>
  <c r="D36" i="86" s="1"/>
  <c r="K22" i="86" l="1"/>
  <c r="I23" i="86" s="1"/>
  <c r="J23" i="86" s="1"/>
  <c r="G16" i="86"/>
  <c r="E17" i="86" l="1"/>
  <c r="K23" i="86"/>
  <c r="F17" i="86" l="1"/>
  <c r="G17" i="86" s="1"/>
  <c r="E18" i="86" s="1"/>
  <c r="F18" i="86" l="1"/>
  <c r="G18" i="86" s="1"/>
  <c r="E19" i="86" s="1"/>
  <c r="F19" i="86" s="1"/>
  <c r="G19" i="86" l="1"/>
  <c r="E20" i="86" s="1"/>
  <c r="F20" i="86" s="1"/>
  <c r="G20" i="86" l="1"/>
  <c r="E21" i="86" s="1"/>
  <c r="F21" i="86" s="1"/>
  <c r="G21" i="86" l="1"/>
  <c r="E22" i="86" s="1"/>
  <c r="F22" i="86" s="1"/>
  <c r="G22" i="86" l="1"/>
  <c r="E23" i="86" s="1"/>
  <c r="F23" i="86" s="1"/>
  <c r="G23" i="86" l="1"/>
  <c r="E24" i="86" s="1"/>
  <c r="F24" i="86" s="1"/>
  <c r="H24" i="86" l="1"/>
  <c r="H25" i="86" l="1"/>
  <c r="H26" i="86" s="1"/>
  <c r="H27" i="86" s="1"/>
  <c r="H28" i="86" s="1"/>
  <c r="H29" i="86" s="1"/>
  <c r="H30" i="86" s="1"/>
  <c r="H31" i="86" s="1"/>
  <c r="H32" i="86" s="1"/>
  <c r="H33" i="86" s="1"/>
  <c r="H34" i="86" s="1"/>
  <c r="H35" i="86" s="1"/>
  <c r="I24" i="86"/>
  <c r="J24" i="86" s="1"/>
  <c r="H36"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K36" i="86" s="1"/>
  <c r="G24" i="86" l="1"/>
  <c r="E25" i="86" l="1"/>
  <c r="F25" i="86" s="1"/>
  <c r="G25" i="86" l="1"/>
  <c r="E26" i="86" l="1"/>
  <c r="F26" i="86" l="1"/>
  <c r="G26" i="86" s="1"/>
  <c r="E27" i="86" s="1"/>
  <c r="F27" i="86" l="1"/>
  <c r="G27" i="86" s="1"/>
  <c r="E28" i="86" s="1"/>
  <c r="F28" i="86" l="1"/>
  <c r="G28" i="86" s="1"/>
  <c r="E29" i="86" s="1"/>
  <c r="F29" i="86" s="1"/>
  <c r="G29" i="86" l="1"/>
  <c r="E30" i="86" s="1"/>
  <c r="F30" i="86" s="1"/>
  <c r="G30" i="86" s="1"/>
  <c r="E31" i="86" s="1"/>
  <c r="F31" i="86" s="1"/>
  <c r="G31" i="86" l="1"/>
  <c r="E32" i="86" s="1"/>
  <c r="F32" i="86" s="1"/>
  <c r="G32" i="86" l="1"/>
  <c r="E33" i="86" s="1"/>
  <c r="F33" i="86" s="1"/>
  <c r="G33" i="86" l="1"/>
  <c r="E34" i="86" s="1"/>
  <c r="F34" i="86" s="1"/>
  <c r="G34" i="86" l="1"/>
  <c r="E35" i="86" s="1"/>
  <c r="F35" i="86" s="1"/>
  <c r="G35" i="86" l="1"/>
  <c r="G36" i="86" s="1"/>
</calcChain>
</file>

<file path=xl/comments1.xml><?xml version="1.0" encoding="utf-8"?>
<comments xmlns="http://schemas.openxmlformats.org/spreadsheetml/2006/main">
  <authors>
    <author>Kim, Jee Young</author>
  </authors>
  <commentList>
    <comment ref="H61" authorId="0" shapeId="0">
      <text>
        <r>
          <rPr>
            <b/>
            <sz val="9"/>
            <color indexed="81"/>
            <rFont val="Tahoma"/>
            <family val="2"/>
          </rPr>
          <t>Changed from $4,119,174 to $4,087,271 due to inadvertent error.</t>
        </r>
      </text>
    </comment>
    <comment ref="H121" authorId="0" shapeId="0">
      <text>
        <r>
          <rPr>
            <b/>
            <sz val="9"/>
            <color indexed="81"/>
            <rFont val="Tahoma"/>
            <family val="2"/>
          </rPr>
          <t>Changed from $26,518 to $88,029 due to inadvertent error.</t>
        </r>
      </text>
    </comment>
  </commentList>
</comments>
</file>

<file path=xl/comments2.xml><?xml version="1.0" encoding="utf-8"?>
<comments xmlns="http://schemas.openxmlformats.org/spreadsheetml/2006/main">
  <authors>
    <author>Kim, Jee Young</author>
  </authors>
  <commentList>
    <comment ref="D81" authorId="0" shapeId="0">
      <text>
        <r>
          <rPr>
            <b/>
            <sz val="9"/>
            <color indexed="81"/>
            <rFont val="Tahoma"/>
            <family val="2"/>
          </rPr>
          <t>Changed from 1,179 to 1,174 based on CPUC-SCE-TO2018-004 Question No.: S1.008.</t>
        </r>
      </text>
    </comment>
    <comment ref="D82" authorId="0" shapeId="0">
      <text>
        <r>
          <rPr>
            <b/>
            <sz val="9"/>
            <color indexed="81"/>
            <rFont val="Tahoma"/>
            <family val="2"/>
          </rPr>
          <t>Changed from 2,093 to 2,087 based on CPUC-SCE-TO2018-004 Question No.: S1.008.</t>
        </r>
        <r>
          <rPr>
            <sz val="9"/>
            <color indexed="81"/>
            <rFont val="Tahoma"/>
            <family val="2"/>
          </rPr>
          <t xml:space="preserve">
</t>
        </r>
      </text>
    </comment>
  </commentList>
</comments>
</file>

<file path=xl/comments3.xml><?xml version="1.0" encoding="utf-8"?>
<comments xmlns="http://schemas.openxmlformats.org/spreadsheetml/2006/main">
  <authors>
    <author>Mindess, Robert G</author>
    <author>Kim, Jee Young</author>
  </authors>
  <commentList>
    <comment ref="E37" authorId="0" shapeId="0">
      <text>
        <r>
          <rPr>
            <b/>
            <sz val="9"/>
            <color indexed="81"/>
            <rFont val="Tahoma"/>
            <family val="2"/>
          </rPr>
          <t>Changed from -$12,714,242 to -$12,148,359 to remove an exclusion of -$565,883 which was in error.</t>
        </r>
        <r>
          <rPr>
            <sz val="9"/>
            <color indexed="81"/>
            <rFont val="Tahoma"/>
            <family val="2"/>
          </rPr>
          <t xml:space="preserve">
</t>
        </r>
      </text>
    </comment>
    <comment ref="E69" authorId="1" shapeId="0">
      <text>
        <r>
          <rPr>
            <b/>
            <sz val="9"/>
            <color indexed="81"/>
            <rFont val="Tahoma"/>
            <family val="2"/>
          </rPr>
          <t xml:space="preserve">Change from $23,777,694 to $20,888,240 to correct inadvertent error carrying over PBOPs expense amount. </t>
        </r>
      </text>
    </comment>
  </commentList>
</comments>
</file>

<file path=xl/comments4.xml><?xml version="1.0" encoding="utf-8"?>
<comments xmlns="http://schemas.openxmlformats.org/spreadsheetml/2006/main">
  <authors>
    <author>Kim, Jee Young</author>
  </authors>
  <commentList>
    <comment ref="H61" authorId="0" shapeId="0">
      <text>
        <r>
          <rPr>
            <b/>
            <sz val="9"/>
            <color indexed="81"/>
            <rFont val="Tahoma"/>
            <family val="2"/>
          </rPr>
          <t>Changed from $3,842,260 to $3,841,125 to correct inadvertent error.</t>
        </r>
      </text>
    </comment>
    <comment ref="H123" authorId="0" shapeId="0">
      <text>
        <r>
          <rPr>
            <b/>
            <sz val="9"/>
            <color indexed="81"/>
            <rFont val="Tahoma"/>
            <family val="2"/>
          </rPr>
          <t>Changed from $25,838 to $75,179 to correct inadvertent error.</t>
        </r>
      </text>
    </comment>
    <comment ref="E209" authorId="0" shapeId="0">
      <text>
        <r>
          <rPr>
            <b/>
            <sz val="9"/>
            <color indexed="81"/>
            <rFont val="Tahoma"/>
            <family val="2"/>
          </rPr>
          <t xml:space="preserve">Changed EMS Net Income from $958,989 to -$554,475 due to inadvertent error. </t>
        </r>
      </text>
    </comment>
    <comment ref="E213" authorId="0" shapeId="0">
      <text>
        <r>
          <rPr>
            <b/>
            <sz val="9"/>
            <color indexed="81"/>
            <rFont val="Tahoma"/>
            <family val="2"/>
          </rPr>
          <t xml:space="preserve">Changed from -$958,989 to $554,475 due to inadvertent error. </t>
        </r>
      </text>
    </comment>
  </commentList>
</comments>
</file>

<file path=xl/comments5.xml><?xml version="1.0" encoding="utf-8"?>
<comments xmlns="http://schemas.openxmlformats.org/spreadsheetml/2006/main">
  <authors>
    <author>Kim, Jee Young</author>
  </authors>
  <commentList>
    <comment ref="D81" authorId="0" shapeId="0">
      <text>
        <r>
          <rPr>
            <b/>
            <sz val="9"/>
            <color indexed="81"/>
            <rFont val="Tahoma"/>
            <family val="2"/>
          </rPr>
          <t>Changed from 1,184 to 1,179 based on CPUC-SCE-TO2018-004 Question No.: S1.008.</t>
        </r>
      </text>
    </comment>
    <comment ref="D82" authorId="0" shapeId="0">
      <text>
        <r>
          <rPr>
            <b/>
            <sz val="9"/>
            <color indexed="81"/>
            <rFont val="Tahoma"/>
            <family val="2"/>
          </rPr>
          <t>Changed from 2,078 to 2,072 based on CPUC-SCE-TO2018-004 Question No.: S1.008.</t>
        </r>
      </text>
    </comment>
  </commentList>
</comments>
</file>

<file path=xl/sharedStrings.xml><?xml version="1.0" encoding="utf-8"?>
<sst xmlns="http://schemas.openxmlformats.org/spreadsheetml/2006/main" count="2195" uniqueCount="1006">
  <si>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</si>
  <si>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</si>
  <si>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</si>
  <si>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</si>
  <si>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</si>
  <si>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</si>
  <si>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</si>
  <si>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</si>
  <si>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</si>
  <si>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</si>
  <si>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</si>
  <si>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</si>
  <si>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</si>
  <si>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</si>
  <si>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</si>
  <si>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</si>
  <si>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</si>
  <si>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</si>
  <si>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</si>
  <si>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</si>
  <si>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</si>
  <si>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</si>
  <si>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</si>
  <si>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</si>
  <si>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</si>
  <si>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</si>
  <si>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</si>
  <si>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</si>
  <si>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</si>
  <si>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</si>
  <si>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</si>
  <si>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</si>
  <si>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</si>
  <si>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</si>
  <si>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</si>
  <si>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</si>
  <si>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</si>
  <si>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</si>
  <si>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</si>
  <si>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</si>
  <si>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</si>
  <si>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</si>
  <si>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</si>
  <si>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</si>
  <si>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</si>
  <si>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</si>
  <si>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</si>
  <si>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</si>
  <si>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</si>
  <si>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</si>
  <si>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</si>
  <si>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</si>
  <si>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</si>
  <si>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</si>
  <si>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</si>
  <si>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</si>
  <si>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</si>
  <si>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</si>
  <si>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</si>
  <si>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</si>
  <si>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</si>
  <si>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</si>
  <si>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</si>
  <si>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</si>
  <si>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</si>
  <si>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</si>
  <si>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</si>
  <si>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</si>
  <si>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</si>
  <si>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</si>
  <si>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</si>
  <si>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</si>
  <si>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</si>
  <si>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</si>
  <si>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</si>
  <si>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</si>
  <si>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</si>
  <si>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</si>
  <si>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</si>
  <si>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</si>
  <si>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</si>
  <si>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</si>
  <si>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</si>
  <si>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</si>
  <si>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</si>
  <si>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</si>
  <si>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</si>
  <si>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</si>
  <si>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</si>
  <si>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</si>
  <si>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</si>
  <si>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</si>
  <si>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</si>
  <si>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</si>
  <si>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</si>
  <si>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</si>
  <si>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</si>
  <si>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</si>
  <si>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</si>
  <si>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</si>
  <si>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</si>
  <si>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</si>
  <si>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</si>
  <si>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</si>
  <si>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</si>
  <si>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</si>
  <si>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</si>
  <si>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</si>
  <si>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</si>
  <si>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</si>
  <si>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</si>
  <si>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</si>
  <si>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</si>
  <si>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</si>
  <si>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</si>
  <si>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</si>
  <si>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</si>
  <si>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</si>
  <si>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</si>
  <si>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</si>
  <si>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</si>
  <si>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</si>
  <si>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</si>
  <si>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</si>
  <si>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</si>
  <si>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</si>
  <si>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</si>
  <si>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</si>
  <si>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</si>
  <si>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</si>
  <si>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</si>
  <si>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</si>
  <si>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</si>
  <si>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</si>
  <si>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</si>
  <si>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</si>
  <si>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</si>
  <si>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</si>
  <si>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</si>
  <si>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</si>
  <si>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</si>
  <si>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</si>
  <si>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</si>
  <si>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</si>
  <si>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</si>
  <si>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</si>
  <si>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</si>
  <si>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</si>
  <si>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</si>
  <si>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</si>
  <si>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</si>
  <si>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</si>
  <si>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</si>
  <si>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</si>
  <si>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27a</t>
  </si>
  <si>
    <t>PBOPs True Up TRR Adjustment</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</si>
  <si>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</si>
  <si>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</si>
  <si>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</si>
  <si>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</si>
  <si>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</si>
  <si>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</si>
  <si>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</si>
  <si>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</si>
  <si>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</si>
  <si>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</si>
  <si>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</si>
  <si>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</si>
  <si>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</si>
  <si>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</si>
  <si>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</si>
  <si>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</si>
  <si>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</si>
  <si>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</si>
  <si>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</si>
  <si>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</si>
  <si>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</si>
  <si>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</si>
  <si>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</si>
  <si>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</si>
  <si>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</si>
  <si>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</si>
  <si>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</si>
  <si>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</si>
  <si>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</si>
  <si>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</si>
  <si>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</si>
  <si>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</si>
  <si>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</si>
  <si>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</si>
  <si>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</si>
  <si>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</si>
  <si>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</si>
  <si>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</si>
  <si>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</si>
  <si>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</si>
  <si>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</si>
  <si>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</si>
  <si>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</si>
  <si>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</si>
  <si>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</si>
  <si>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</si>
  <si>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</si>
  <si>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</si>
  <si>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</si>
  <si>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</si>
  <si>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</si>
  <si>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</si>
  <si>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</si>
  <si>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</si>
  <si>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</si>
  <si>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</si>
  <si>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</si>
  <si>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</si>
  <si>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</si>
  <si>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</si>
  <si>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</si>
  <si>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</si>
  <si>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</si>
  <si>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</si>
  <si>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</si>
  <si>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</si>
  <si>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</si>
  <si>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</si>
  <si>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</si>
  <si>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</si>
  <si>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</si>
  <si>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</si>
  <si>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</si>
  <si>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</si>
  <si>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</si>
  <si>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</si>
  <si>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</si>
  <si>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</si>
  <si>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</si>
  <si>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</si>
  <si>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</si>
  <si>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</si>
  <si>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</si>
  <si>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</si>
  <si>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</si>
  <si>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</si>
  <si>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</si>
  <si>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</si>
  <si>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</si>
  <si>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</si>
  <si>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</si>
  <si>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</si>
  <si>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</si>
  <si>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</si>
  <si>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</si>
  <si>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</si>
  <si>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</si>
  <si>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</si>
  <si>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</si>
  <si>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</si>
  <si>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</si>
  <si>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</si>
  <si>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</si>
  <si>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</si>
  <si>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</si>
  <si>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</si>
  <si>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</si>
  <si>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</si>
  <si>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</si>
  <si>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</si>
  <si>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</si>
  <si>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</si>
  <si>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</si>
  <si>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</si>
  <si>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</si>
  <si>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A</t>
  </si>
  <si>
    <t>One-Time Adj*</t>
  </si>
  <si>
    <t>* Variance Includes Adjustment for:</t>
  </si>
  <si>
    <t>Explanation of One Time Adjustment to Prior Period</t>
  </si>
  <si>
    <t>B</t>
  </si>
  <si>
    <t>2.</t>
  </si>
  <si>
    <t>Line</t>
  </si>
  <si>
    <t>Notes:</t>
  </si>
  <si>
    <t>3.</t>
  </si>
  <si>
    <t>C</t>
  </si>
  <si>
    <t>E</t>
  </si>
  <si>
    <t>Changes to 2015</t>
  </si>
  <si>
    <t>One Time Adjustment for Revised 2015 True Up TRR</t>
  </si>
  <si>
    <t xml:space="preserve">One Time Adjustment for Revised 2015 True Up TRR </t>
  </si>
  <si>
    <t>Total</t>
  </si>
  <si>
    <t>Distribution Voltage Control Equip. Pct. ISO</t>
  </si>
  <si>
    <t>Total Distribution Voltage Control Equipment</t>
  </si>
  <si>
    <t>Non-ISO Distribution Voltage Control Equip.</t>
  </si>
  <si>
    <t>592 - Maintenance of Distribution Voltage Control Equipment</t>
  </si>
  <si>
    <t>ISO Distribution Voltage Control Equipment</t>
  </si>
  <si>
    <t>Applied to Accounts</t>
  </si>
  <si>
    <t>Values</t>
  </si>
  <si>
    <t>p) Distribution Voltage Control Equipment</t>
  </si>
  <si>
    <t>Distribution Circuit Breakers Percent ISO</t>
  </si>
  <si>
    <t>Total Distribution Circuit Breakers</t>
  </si>
  <si>
    <t>Non-ISO Distribution Circuit Breakers</t>
  </si>
  <si>
    <t>592 - Maintenance of Distribution Circuit Breakers</t>
  </si>
  <si>
    <t>ISO Distribution Circuit Breakers</t>
  </si>
  <si>
    <t>o) Distribution Circuit Breakers</t>
  </si>
  <si>
    <t>Distribution Transformers Percent ISO</t>
  </si>
  <si>
    <t>Total Distribution Transformers</t>
  </si>
  <si>
    <t>Non-ISO Distribution Transformers</t>
  </si>
  <si>
    <t>592 - Maintenance of Distribution Transformers</t>
  </si>
  <si>
    <t>ISO Distribution Transformers</t>
  </si>
  <si>
    <t>n) Distribution Transformers</t>
  </si>
  <si>
    <t>Trans. Fac. Property Damage Percent ISO</t>
  </si>
  <si>
    <t>Total Transmission Facility Property Damage</t>
  </si>
  <si>
    <t>Non-ISO Transmission Fac. Property Damage</t>
  </si>
  <si>
    <t>573 - Provision for Property Damage Expense to Trans. Fac.</t>
  </si>
  <si>
    <t>ISO Transmission Fac. Property Damage</t>
  </si>
  <si>
    <t>m) Transmission Facility Property Damage</t>
  </si>
  <si>
    <t>Transmission Work Order Costs Percent ISO</t>
  </si>
  <si>
    <t>Total Transmission Work Order Costs</t>
  </si>
  <si>
    <t>Non-ISO Transmission Work Order Costs</t>
  </si>
  <si>
    <t>571 - Transmission Work Order Related Expense</t>
  </si>
  <si>
    <t>ISO Transmission Work Order Costs</t>
  </si>
  <si>
    <t>l) Transmission Work Order Cost</t>
  </si>
  <si>
    <t>Substation Work Order Costs Percent ISO</t>
  </si>
  <si>
    <t>Total Substation Work Order Costs</t>
  </si>
  <si>
    <t>Non-ISO Substation Work Order Costs</t>
  </si>
  <si>
    <t>570 - Substation Work Order Related Expense</t>
  </si>
  <si>
    <t>ISO Substation Work Order Costs</t>
  </si>
  <si>
    <t>k) Substation Work Order Cost</t>
  </si>
  <si>
    <t>Voltage Control Equipment Percent ISO</t>
  </si>
  <si>
    <t>Total Voltage Control Equipment</t>
  </si>
  <si>
    <t>Non-ISO Voltage Control Equipment</t>
  </si>
  <si>
    <t>570 - Maintenance of Transmission Voltage Equipment</t>
  </si>
  <si>
    <t>ISO Voltage Control Equipment</t>
  </si>
  <si>
    <t>j) Voltage Control Equipment</t>
  </si>
  <si>
    <t>Circuit Breakers Percent ISO</t>
  </si>
  <si>
    <t>Total Circuit Breakers</t>
  </si>
  <si>
    <t>Non-ISO Breakers</t>
  </si>
  <si>
    <t>570 - Maintenance of Transmission Circuit Breakers</t>
  </si>
  <si>
    <t>ISO Circuit Breakers</t>
  </si>
  <si>
    <t>i) Circuit Breakers</t>
  </si>
  <si>
    <t>Transformers Percent ISO</t>
  </si>
  <si>
    <t>Total Transformers</t>
  </si>
  <si>
    <t>Non-ISO Transformers</t>
  </si>
  <si>
    <t>570 - Maintenance of Power Transformers</t>
  </si>
  <si>
    <t>ISO Transformers</t>
  </si>
  <si>
    <t>h) Transformers</t>
  </si>
  <si>
    <t>Morongo Acres Percent ISO</t>
  </si>
  <si>
    <t>Total Morongo Acres</t>
  </si>
  <si>
    <t>Non-ISO Morongo Acres</t>
  </si>
  <si>
    <t>567 - Morongo Lease</t>
  </si>
  <si>
    <t>ISO Morongo Acres</t>
  </si>
  <si>
    <t>g) Morongo Acres</t>
  </si>
  <si>
    <t>Line Rent Costs Percent ISO</t>
  </si>
  <si>
    <t>Total Line Rent Costs</t>
  </si>
  <si>
    <t>Non-ISO Line Rent Costs</t>
  </si>
  <si>
    <t>567 - Line Rents</t>
  </si>
  <si>
    <t>ISO Line Rent Costs</t>
  </si>
  <si>
    <t>f) Line Rents Costs</t>
  </si>
  <si>
    <t>Underground Line MIles Percent ISO</t>
  </si>
  <si>
    <t>Total Undergound Line Miles</t>
  </si>
  <si>
    <t>572 - Maintenance of Underground Transmission Lines</t>
  </si>
  <si>
    <t>Non-ISO Underground Line Miles</t>
  </si>
  <si>
    <t>564 - Underground Line Expense</t>
  </si>
  <si>
    <t>ISO Underground Line Miles</t>
  </si>
  <si>
    <t>e) Underground Line Miles</t>
  </si>
  <si>
    <t xml:space="preserve">571 - Transmission Line Rights of Way </t>
  </si>
  <si>
    <t>Line MIles Percent ISO</t>
  </si>
  <si>
    <t>571 - Insulators and Conductors</t>
  </si>
  <si>
    <t>Total Line Miles</t>
  </si>
  <si>
    <t>571 - Poles and Structures</t>
  </si>
  <si>
    <t>Non-ISO Line Miles</t>
  </si>
  <si>
    <t>563 - Inspect and Patrol Line</t>
  </si>
  <si>
    <t>ISO Line Miles</t>
  </si>
  <si>
    <t>d) Line Miles</t>
  </si>
  <si>
    <t>Relay Routines Percent ISO</t>
  </si>
  <si>
    <t>Total Relay Routines</t>
  </si>
  <si>
    <t>Non-ISO Relay Routines</t>
  </si>
  <si>
    <t>562 - Routine Testing and Inspection</t>
  </si>
  <si>
    <t>ISO Relay Routines</t>
  </si>
  <si>
    <t>c) Relay Routines</t>
  </si>
  <si>
    <t>Circuits Percent ISO</t>
  </si>
  <si>
    <t>Total Circuits</t>
  </si>
  <si>
    <t>Non-ISO Circuits</t>
  </si>
  <si>
    <t>562 - Operating Transmission Stations</t>
  </si>
  <si>
    <t>ISO Circuits</t>
  </si>
  <si>
    <t>b) Circuits</t>
  </si>
  <si>
    <t>Outages Percent ISO</t>
  </si>
  <si>
    <t>561.200 Load Dispatch Monitor and Operate Trans. System</t>
  </si>
  <si>
    <t>Total Outages</t>
  </si>
  <si>
    <t>561.100 Load Dispatch-Reliability</t>
  </si>
  <si>
    <t>Non-ISO Outages</t>
  </si>
  <si>
    <t>561.000 Load Dispatching</t>
  </si>
  <si>
    <t>ISO Outages</t>
  </si>
  <si>
    <t>a) Outages</t>
  </si>
  <si>
    <t>3) Schedule 19 "Percent ISO" Allocation Factors (Input values are from SCE Records)</t>
  </si>
  <si>
    <t>Transmission Plant Allocation Factor</t>
  </si>
  <si>
    <t>FF1 207.104g</t>
  </si>
  <si>
    <t>Total Plant In Service</t>
  </si>
  <si>
    <t>General Plant</t>
  </si>
  <si>
    <t>Total General Plant</t>
  </si>
  <si>
    <t>Electric Miscellaneous Intangible Plant</t>
  </si>
  <si>
    <t>Total Electric Miscellaneous Intangible Plant</t>
  </si>
  <si>
    <t>Distribution Plant - ISO</t>
  </si>
  <si>
    <t>Transmission Plant - ISO</t>
  </si>
  <si>
    <t>Value</t>
  </si>
  <si>
    <t>Prior Year</t>
  </si>
  <si>
    <t>2) Calculation of Transmission Plant Allocation Factor</t>
  </si>
  <si>
    <t>Transmission Wages and Salary Allocation Factor</t>
  </si>
  <si>
    <t>Total non-A&amp;G W&amp;S with NOIC</t>
  </si>
  <si>
    <t>NOIC wo A&amp;G NOIC</t>
  </si>
  <si>
    <t>Less A&amp;G NOIC</t>
  </si>
  <si>
    <t>Total NOIC (Non-Officer Incentive Compensation)</t>
  </si>
  <si>
    <t xml:space="preserve">Total Wages and Salaries wo A&amp;G </t>
  </si>
  <si>
    <t>FF1 354.27b</t>
  </si>
  <si>
    <t>Less Total A&amp;G Wages and Salaries</t>
  </si>
  <si>
    <t>FF1 354.28b</t>
  </si>
  <si>
    <t>Total Wages and Salaries</t>
  </si>
  <si>
    <t>ISO Transmission Wages and Salaries</t>
  </si>
  <si>
    <t>1) Calculation of Transmission Wages and Salaries Allocation Factor</t>
  </si>
  <si>
    <t>Calculation of Allocation Factors</t>
  </si>
  <si>
    <t xml:space="preserve"> </t>
  </si>
  <si>
    <t>2015</t>
  </si>
  <si>
    <t>TO11 TUTRR</t>
  </si>
  <si>
    <t>Jan 1, 2015</t>
  </si>
  <si>
    <t>Dec 31, 2015</t>
  </si>
  <si>
    <t>Incremental</t>
  </si>
  <si>
    <t>ER16-2433, Order dated September 28, 2016</t>
  </si>
  <si>
    <t>Total One-Time Adjustment for 2016:</t>
  </si>
  <si>
    <t>4.</t>
  </si>
  <si>
    <t>D</t>
  </si>
  <si>
    <t>5.</t>
  </si>
  <si>
    <t>TO11/TO12</t>
  </si>
  <si>
    <t>G</t>
  </si>
  <si>
    <t>H</t>
  </si>
  <si>
    <t>Changes to 2016</t>
  </si>
  <si>
    <t xml:space="preserve">J = F + I </t>
  </si>
  <si>
    <t xml:space="preserve">C = A + B </t>
  </si>
  <si>
    <t>F</t>
  </si>
  <si>
    <t xml:space="preserve">I = D + E + F + G + H </t>
  </si>
  <si>
    <t>While answering data requests in the TO2018 Formula Rate proceeding, SCE discovered an inadvertent double counting of eleven 55 kV circuit breakers (five ISO and six Non-ISO).  SCE has incorporated this correction that changes the TO11 Schedule 27-Allocators and the impact of this change is a decrease in the 2015 True Up TRR of $5,607.</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</si>
  <si>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2015 True Up TRR of $18,850.</t>
  </si>
  <si>
    <t>Revised TO11 True Up TRR in TO2018 Filing</t>
  </si>
  <si>
    <t>TO2018 Annual Filing - Exhibit SCE-22- WP Schedule 3 - One Time Adj Prior Period, Page 91, Line 45.</t>
  </si>
  <si>
    <t>(1) 2015 ISO Allocator Circuit Breaker Count Adjustment</t>
  </si>
  <si>
    <t>(2) 2015 ISO Facilities Charge Adjustment</t>
  </si>
  <si>
    <t>I</t>
  </si>
  <si>
    <t>J</t>
  </si>
  <si>
    <t>K</t>
  </si>
  <si>
    <t>L</t>
  </si>
  <si>
    <t>M</t>
  </si>
  <si>
    <t>N</t>
  </si>
  <si>
    <t>Traditional OOR</t>
  </si>
  <si>
    <t>GRSM</t>
  </si>
  <si>
    <t>Other Ratemaking</t>
  </si>
  <si>
    <t>FERC ACCT</t>
  </si>
  <si>
    <t>ACCT</t>
  </si>
  <si>
    <t>ACCT DESCRIPTION</t>
  </si>
  <si>
    <t>DOLLARS</t>
  </si>
  <si>
    <t>Category</t>
  </si>
  <si>
    <t>ISO</t>
  </si>
  <si>
    <t>Non-ISO</t>
  </si>
  <si>
    <t>A/P</t>
  </si>
  <si>
    <t>Threshold [10]</t>
  </si>
  <si>
    <t>1a</t>
  </si>
  <si>
    <t>4191110</t>
  </si>
  <si>
    <t>Late Payment Charge- Comm. &amp; Ind.</t>
  </si>
  <si>
    <t>1b</t>
  </si>
  <si>
    <t>4191115</t>
  </si>
  <si>
    <t>Residential Late Payment</t>
  </si>
  <si>
    <t>1c</t>
  </si>
  <si>
    <t>4191120</t>
  </si>
  <si>
    <t>Non-Residential Late Payment</t>
  </si>
  <si>
    <t>450 Total</t>
  </si>
  <si>
    <t>FF-1 Total for Acct 450 - Forfeited Discounts, p300.16b (Must Equal Line 2)
(Must Equal Line X)</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</si>
  <si>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</si>
  <si>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</si>
  <si>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</si>
  <si>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</si>
  <si>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</si>
  <si>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</si>
  <si>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</si>
  <si>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</si>
  <si>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</si>
  <si>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</si>
  <si>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</si>
  <si>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</si>
  <si>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</si>
  <si>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</si>
  <si>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</si>
  <si>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</si>
  <si>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</si>
  <si>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</si>
  <si>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</si>
  <si>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</si>
  <si>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</si>
  <si>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</si>
  <si>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</si>
  <si>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</si>
  <si>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</si>
  <si>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</si>
  <si>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</si>
  <si>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</si>
  <si>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4j</t>
  </si>
  <si>
    <t>Uneconomic Line Extension</t>
  </si>
  <si>
    <t>4k</t>
  </si>
  <si>
    <t>Opt Out CARE-Res-Ini</t>
  </si>
  <si>
    <t>4l</t>
  </si>
  <si>
    <t>Opt Out CARE-Res-Mo</t>
  </si>
  <si>
    <t>4m</t>
  </si>
  <si>
    <t>Opt Out NonCARE-Res-Ini</t>
  </si>
  <si>
    <t>4n</t>
  </si>
  <si>
    <t>Opt Out NonCARE-Res-Mo</t>
  </si>
  <si>
    <t>4o</t>
  </si>
  <si>
    <t>Conn-Charge - Residential</t>
  </si>
  <si>
    <t>4p</t>
  </si>
  <si>
    <t>Conn-Charge - Non-Residential</t>
  </si>
  <si>
    <t>4q</t>
  </si>
  <si>
    <t>Conn-Charge - At Pole</t>
  </si>
  <si>
    <t>451 Total</t>
  </si>
  <si>
    <t>FF-1 Total for Acct 451 - Misc. Service Revenues, p300.17b 
(Must Equal Line 5)</t>
  </si>
  <si>
    <t>7a</t>
  </si>
  <si>
    <t>4183110</t>
  </si>
  <si>
    <t>Sales of Water &amp; Water Power - San Joaquin</t>
  </si>
  <si>
    <t>7b</t>
  </si>
  <si>
    <t>4183115</t>
  </si>
  <si>
    <t>Sales of Water &amp; Water Power - Headwater</t>
  </si>
  <si>
    <t>7c</t>
  </si>
  <si>
    <t>-</t>
  </si>
  <si>
    <t>Miscellaneous Adjustments</t>
  </si>
  <si>
    <t>453 Total</t>
  </si>
  <si>
    <t>FF-1 Total for Acct 453 - Sales of Water and Power, p300.18b
(Must Equal Line 8)</t>
  </si>
  <si>
    <t>10a</t>
  </si>
  <si>
    <t>4184110</t>
  </si>
  <si>
    <t>Joint Pole - Tariffed Conduit Rental</t>
  </si>
  <si>
    <t>10b</t>
  </si>
  <si>
    <t>4184112</t>
  </si>
  <si>
    <t>Joint Pole - Tariffed Pole Rental - Cable Cos.</t>
  </si>
  <si>
    <t>10c</t>
  </si>
  <si>
    <t>4184114</t>
  </si>
  <si>
    <t>Joint Pole - Tariffed Process &amp; Eng Fees - Cable</t>
  </si>
  <si>
    <t>10d</t>
  </si>
  <si>
    <t>4184116</t>
  </si>
  <si>
    <t>Joint Pole - Tariffed Process &amp; Eng Fees - Conduit</t>
  </si>
  <si>
    <t>10e</t>
  </si>
  <si>
    <t>4184118</t>
  </si>
  <si>
    <t>Joint Pole - Pl Attchmnt Audit - Undoc P&amp;E Fee</t>
  </si>
  <si>
    <t>10f</t>
  </si>
  <si>
    <t>Joint Pole - Aud - Unauth Penalty</t>
  </si>
  <si>
    <t>10g</t>
  </si>
  <si>
    <t>4184510</t>
  </si>
  <si>
    <t>Joint Pole - Non-Tariffed Pole Rental</t>
  </si>
  <si>
    <t>10h</t>
  </si>
  <si>
    <t>4184512</t>
  </si>
  <si>
    <t>Joint Pole - Non-Tariff Process &amp; Engineering Fees</t>
  </si>
  <si>
    <t>10i</t>
  </si>
  <si>
    <t>4184514</t>
  </si>
  <si>
    <t>Joint Pole - Non-Tariff Requests for Information</t>
  </si>
  <si>
    <t>10j</t>
  </si>
  <si>
    <t>4184516</t>
  </si>
  <si>
    <t>Oil And Gas Royalties</t>
  </si>
  <si>
    <t>10k</t>
  </si>
  <si>
    <t>4184518</t>
  </si>
  <si>
    <t>Def Operating Land &amp; Facilities Rent Rev</t>
  </si>
  <si>
    <t>10l</t>
  </si>
  <si>
    <t>4184810</t>
  </si>
  <si>
    <t>Facility Cost -EIX/Nonutility</t>
  </si>
  <si>
    <t>6, 12</t>
  </si>
  <si>
    <t>10m</t>
  </si>
  <si>
    <t>4184815</t>
  </si>
  <si>
    <t>Facility Cost- Utility</t>
  </si>
  <si>
    <t>10n</t>
  </si>
  <si>
    <t>4184820</t>
  </si>
  <si>
    <t>Rent Billed to Non-Utility Affiliates</t>
  </si>
  <si>
    <t>10o</t>
  </si>
  <si>
    <t>4184825</t>
  </si>
  <si>
    <t>Rent Billed to Utility Affiliates</t>
  </si>
  <si>
    <t>10p</t>
  </si>
  <si>
    <t>4194110</t>
  </si>
  <si>
    <t>Meter Leasing Revenue</t>
  </si>
  <si>
    <t>10q</t>
  </si>
  <si>
    <t>4194115</t>
  </si>
  <si>
    <t>Company Financed Added Facilities</t>
  </si>
  <si>
    <t>10r</t>
  </si>
  <si>
    <t>4194120</t>
  </si>
  <si>
    <t>Company Financed Interconnect Facilities</t>
  </si>
  <si>
    <t>10s</t>
  </si>
  <si>
    <t>4194130</t>
  </si>
  <si>
    <t>SCE Financed Added Faclty</t>
  </si>
  <si>
    <t>10t</t>
  </si>
  <si>
    <t>4194135</t>
  </si>
  <si>
    <t>Interconnect Facility Finance Charge</t>
  </si>
  <si>
    <t>10u</t>
  </si>
  <si>
    <t>4204515</t>
  </si>
  <si>
    <t>Operating Land &amp; Facilities Rent Revenue</t>
  </si>
  <si>
    <t>10v</t>
  </si>
  <si>
    <t>4867020</t>
  </si>
  <si>
    <t>Nonoperating Misc Land &amp; Facilities Rent</t>
  </si>
  <si>
    <t>10w</t>
  </si>
  <si>
    <t>10x</t>
  </si>
  <si>
    <t>Op Misc Land/Fac Rev</t>
  </si>
  <si>
    <t>10y</t>
  </si>
  <si>
    <t>T-Unauth Pole Rent</t>
  </si>
  <si>
    <t>10z</t>
  </si>
  <si>
    <t>T-P&amp;E Fees</t>
  </si>
  <si>
    <t>454 Total</t>
  </si>
  <si>
    <t>FF-1 Total for Acct 454 - Rent from Elec. Property, p300.19b
(Must Equal Line 11)</t>
  </si>
  <si>
    <t>12a</t>
  </si>
  <si>
    <t>4186114</t>
  </si>
  <si>
    <t>Energy Related Services</t>
  </si>
  <si>
    <t>12b</t>
  </si>
  <si>
    <t>4186118</t>
  </si>
  <si>
    <t>Distribution Miscellaneous Electric Revenues</t>
  </si>
  <si>
    <t>12c</t>
  </si>
  <si>
    <t>4186120</t>
  </si>
  <si>
    <t>Added Facilities - One Time Charge</t>
  </si>
  <si>
    <t>12d</t>
  </si>
  <si>
    <t>4186122</t>
  </si>
  <si>
    <t>Building Rental - Nev Power/Mohave Cr</t>
  </si>
  <si>
    <t>12e</t>
  </si>
  <si>
    <t>4186126</t>
  </si>
  <si>
    <t>Service Fee - Optimal Bill Prd</t>
  </si>
  <si>
    <t>12f</t>
  </si>
  <si>
    <t>4186128</t>
  </si>
  <si>
    <t>Miscellaneous Revenues</t>
  </si>
  <si>
    <t>12g</t>
  </si>
  <si>
    <t>4186130</t>
  </si>
  <si>
    <t>Tule Power Plant - Revenue</t>
  </si>
  <si>
    <t>12h</t>
  </si>
  <si>
    <t>Microwave Agreement</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</si>
  <si>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</si>
  <si>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</si>
  <si>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</si>
  <si>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</si>
  <si>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</si>
  <si>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</si>
  <si>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</si>
  <si>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</si>
  <si>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</si>
  <si>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</si>
  <si>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</si>
  <si>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</si>
  <si>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</si>
  <si>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</si>
  <si>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</si>
  <si>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</si>
  <si>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</si>
  <si>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</si>
  <si>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</si>
  <si>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</si>
  <si>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</si>
  <si>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</si>
  <si>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</si>
  <si>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</si>
  <si>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</si>
  <si>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</si>
  <si>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</si>
  <si>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</si>
  <si>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</si>
  <si>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</si>
  <si>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</si>
  <si>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</si>
  <si>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</si>
  <si>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</si>
  <si>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</si>
  <si>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</si>
  <si>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</si>
  <si>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</si>
  <si>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</si>
  <si>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</si>
  <si>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</si>
  <si>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</si>
  <si>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</si>
  <si>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</si>
  <si>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</si>
  <si>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</si>
  <si>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</si>
  <si>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</si>
  <si>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</si>
  <si>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</si>
  <si>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</si>
  <si>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</si>
  <si>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</si>
  <si>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</si>
  <si>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</si>
  <si>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</si>
  <si>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</si>
  <si>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</si>
  <si>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</si>
  <si>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</si>
  <si>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</si>
  <si>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</si>
  <si>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</si>
  <si>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</si>
  <si>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</si>
  <si>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</si>
  <si>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</si>
  <si>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</si>
  <si>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</si>
  <si>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</si>
  <si>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</si>
  <si>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</si>
  <si>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Revenue From Decommission Trust Fund</t>
  </si>
  <si>
    <t>12hh</t>
  </si>
  <si>
    <t>4186914</t>
  </si>
  <si>
    <t>Revenue From Decommissioning Trust FAS115</t>
  </si>
  <si>
    <t>12ii</t>
  </si>
  <si>
    <t>4186916</t>
  </si>
  <si>
    <t>Offset to Revenue from NDT Earnings/Realized</t>
  </si>
  <si>
    <t>12jj</t>
  </si>
  <si>
    <t>4186918</t>
  </si>
  <si>
    <t>Offset to Revenue from FAS 115 FMV</t>
  </si>
  <si>
    <t>12kk</t>
  </si>
  <si>
    <t>4186920</t>
  </si>
  <si>
    <t>Revenue From Decommissioning Trust FAS115-1</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</si>
  <si>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</si>
  <si>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</si>
  <si>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</si>
  <si>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</si>
  <si>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</si>
  <si>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</si>
  <si>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</si>
  <si>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</si>
  <si>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</si>
  <si>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</si>
  <si>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</si>
  <si>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</si>
  <si>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</si>
  <si>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</si>
  <si>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</si>
  <si>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</si>
  <si>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</si>
  <si>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</si>
  <si>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</si>
  <si>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</si>
  <si>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</si>
  <si>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</si>
  <si>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</si>
  <si>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</si>
  <si>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</si>
  <si>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</si>
  <si>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</si>
  <si>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</si>
  <si>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</si>
  <si>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</si>
  <si>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</si>
  <si>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</si>
  <si>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</si>
  <si>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</si>
  <si>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</si>
  <si>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</si>
  <si>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</si>
  <si>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</si>
  <si>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</si>
  <si>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</si>
  <si>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</si>
  <si>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</si>
  <si>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</si>
  <si>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</si>
  <si>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</si>
  <si>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12aaa</t>
  </si>
  <si>
    <t>4206515</t>
  </si>
  <si>
    <t>Operating Miscellaneous Land &amp; Facilities</t>
  </si>
  <si>
    <t>12bbb</t>
  </si>
  <si>
    <t>12ccc</t>
  </si>
  <si>
    <t>Grant Amortization</t>
  </si>
  <si>
    <t>12ddd</t>
  </si>
  <si>
    <t>GHG Allowance Revenue</t>
  </si>
  <si>
    <t>12eee</t>
  </si>
  <si>
    <t>3rd Party Svs-Outside SCE AES Huntington Beach</t>
  </si>
  <si>
    <t>12fff</t>
  </si>
  <si>
    <t>Advanced Technology 3rd Party Services</t>
  </si>
  <si>
    <t>12ggg</t>
  </si>
  <si>
    <t>EV Charging Revenue</t>
  </si>
  <si>
    <t>12hhh</t>
  </si>
  <si>
    <t>Telcm Sys/Equip Svcs</t>
  </si>
  <si>
    <t>12iii</t>
  </si>
  <si>
    <t>CAMT/8050121</t>
  </si>
  <si>
    <t>456 Total</t>
  </si>
  <si>
    <t>FF-1 Total for Acct 456 - Other electric Revenues, p300.21b
(Must Equal Line 13)</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</si>
  <si>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</si>
  <si>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</si>
  <si>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</si>
  <si>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</si>
  <si>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</si>
  <si>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</si>
  <si>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</si>
  <si>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</si>
  <si>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</si>
  <si>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</si>
  <si>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</si>
  <si>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</si>
  <si>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</si>
  <si>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</si>
  <si>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</si>
  <si>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</si>
  <si>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</si>
  <si>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</si>
  <si>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</si>
  <si>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</si>
  <si>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</si>
  <si>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</si>
  <si>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</si>
  <si>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</si>
  <si>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</si>
  <si>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</si>
  <si>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</si>
  <si>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</si>
  <si>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</si>
  <si>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</si>
  <si>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</si>
  <si>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</si>
  <si>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</si>
  <si>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</si>
  <si>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</si>
  <si>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</si>
  <si>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</si>
  <si>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</si>
  <si>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</si>
  <si>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</si>
  <si>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</si>
  <si>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</si>
  <si>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</si>
  <si>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</si>
  <si>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</si>
  <si>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</si>
  <si>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</si>
  <si>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</si>
  <si>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</si>
  <si>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</si>
  <si>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</si>
  <si>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</si>
  <si>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</si>
  <si>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</si>
  <si>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</si>
  <si>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</si>
  <si>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15t</t>
  </si>
  <si>
    <t>4198132</t>
  </si>
  <si>
    <t>RLA-Base-Mojave Solr</t>
  </si>
  <si>
    <t>15u</t>
  </si>
  <si>
    <t>4198134</t>
  </si>
  <si>
    <t>RLA-O&amp;M-Mojave Solr</t>
  </si>
  <si>
    <t>15v</t>
  </si>
  <si>
    <t>RSR - Non-PTO's</t>
  </si>
  <si>
    <t>15w</t>
  </si>
  <si>
    <t>4188716</t>
  </si>
  <si>
    <t>ISO Non-Ref Int Depo</t>
  </si>
  <si>
    <t>456.1 Total</t>
  </si>
  <si>
    <t>FF-1 Total for Account 456.1 - Revenues from Trans. Of Electricity of Others, p300.22b (Must Equal Line 16)</t>
  </si>
  <si>
    <t>18a</t>
  </si>
  <si>
    <t>457.1 Total</t>
  </si>
  <si>
    <t>FF-1 Total for Account 457.1 - Regional Control Service Revenues, p300.23b (Must Equal Line 19)</t>
  </si>
  <si>
    <t>21a</t>
  </si>
  <si>
    <t>457.2 Total</t>
  </si>
  <si>
    <t>FF-1 Total for Account 457.2- Miscellaneous Revenues, p300.24b 
(Must Equal Line 22)</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</si>
  <si>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</si>
  <si>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</si>
  <si>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</si>
  <si>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</si>
  <si>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</si>
  <si>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</si>
  <si>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</si>
  <si>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</si>
  <si>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</si>
  <si>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</si>
  <si>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</si>
  <si>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</si>
  <si>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</si>
  <si>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</si>
  <si>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ECS - Infrastructure Leasing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</si>
  <si>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</si>
  <si>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</si>
  <si>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</si>
  <si>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</si>
  <si>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</si>
  <si>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</si>
  <si>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</si>
  <si>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</si>
  <si>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</si>
  <si>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</si>
  <si>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</si>
  <si>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</si>
  <si>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</si>
  <si>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</si>
  <si>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</si>
  <si>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</si>
  <si>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</si>
  <si>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</si>
  <si>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FF-1 Total for Account 417 - Revenues From Nonutility Operations  p117.33c (Must Equal Line 25 + 26)</t>
  </si>
  <si>
    <t>Subsidiaries</t>
  </si>
  <si>
    <t>28a</t>
  </si>
  <si>
    <t>ESI (Gross Revenues - Active)</t>
  </si>
  <si>
    <t>2,9</t>
  </si>
  <si>
    <t>28b</t>
  </si>
  <si>
    <t>ESI (Gross Revenues - Passive)</t>
  </si>
  <si>
    <t>28c</t>
  </si>
  <si>
    <t xml:space="preserve">Southern States Realty </t>
  </si>
  <si>
    <t>2, 15</t>
  </si>
  <si>
    <t>28d</t>
  </si>
  <si>
    <t>Mono Power Company</t>
  </si>
  <si>
    <t>28e</t>
  </si>
  <si>
    <t>SCE Capital Company</t>
  </si>
  <si>
    <t>28f</t>
  </si>
  <si>
    <t>Edison Material Supply (EMS)</t>
  </si>
  <si>
    <t>7, 17</t>
  </si>
  <si>
    <t>418.1 Subsidiaries Total</t>
  </si>
  <si>
    <t>418.1 Other (See Note 16)</t>
  </si>
  <si>
    <t>FF-1 Total for Account 418.1 -Equity in Earnings of Subsidiary Companies, p117.36c (Must Equal Line 29 + 30)</t>
  </si>
  <si>
    <t>Totals</t>
  </si>
  <si>
    <t>Ratepayers' Share of Threshold Revenue</t>
  </si>
  <si>
    <t>= Line 32K</t>
  </si>
  <si>
    <t xml:space="preserve">ISO Ratepayers' Share of Threshold Revenue </t>
  </si>
  <si>
    <t>Note 11</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</si>
  <si>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</si>
  <si>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</si>
  <si>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</si>
  <si>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</si>
  <si>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</si>
  <si>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</si>
  <si>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</si>
  <si>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</si>
  <si>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see Note 11</t>
  </si>
  <si>
    <t xml:space="preserve">ISO Ratepayers' Share of Incremental Revenue </t>
  </si>
  <si>
    <t>Tot. ISO Ratepayers' Share NTP&amp;S Gross Rev.</t>
  </si>
  <si>
    <t>Total Revenue Credits:</t>
  </si>
  <si>
    <t>Sum of Column D, Line 43 and Column G, Line 32</t>
  </si>
  <si>
    <t>1-</t>
  </si>
  <si>
    <t>CPUC Jurisdictional service related.</t>
  </si>
  <si>
    <t>2-</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</si>
  <si>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</si>
  <si>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3-</t>
  </si>
  <si>
    <t>Generation related.</t>
  </si>
  <si>
    <t>4-</t>
  </si>
  <si>
    <t>Non-ISO facilities related.</t>
  </si>
  <si>
    <t>5-</t>
  </si>
  <si>
    <t>ISO transmission system related.</t>
  </si>
  <si>
    <t>6-</t>
  </si>
  <si>
    <t>Subject to balancing account treatment</t>
  </si>
  <si>
    <t>7-</t>
  </si>
  <si>
    <t>Allocated based on CPUC GRC allocator in effect during the Prior Year.  The weighted average (by time) shall be used if more than one allocator is in effect during the Prior Year.</t>
  </si>
  <si>
    <t>ISO Allocator =</t>
  </si>
  <si>
    <t>Source:</t>
  </si>
  <si>
    <t>CPUC D. 15-11-021</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</si>
  <si>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</si>
  <si>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</si>
  <si>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</si>
  <si>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</si>
  <si>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</si>
  <si>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</si>
  <si>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</si>
  <si>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</si>
  <si>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12-</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</si>
  <si>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</si>
  <si>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13-</t>
  </si>
  <si>
    <t>Mono Power Company is a subsidiary company.  Net Earnings are reported on Acct 418.1, pg 225.11e.  Revenues and costs shall be non-ISO.</t>
  </si>
  <si>
    <t>14-</t>
  </si>
  <si>
    <t>SCE Capital Company is a subsidiary company.  Net Earnings are reported on Acct 418.1, pg 225.23e.  Revenues and costs shall be non-ISO.</t>
  </si>
  <si>
    <t>15-</t>
  </si>
  <si>
    <t>Southern States Realty is a subsidiary company.  Gross revenues are not reported in FF-1, only net earnings.  Net Earnings for Southern States Realty are reported on Acct 418.1, pg 225.17e.</t>
  </si>
  <si>
    <t>16-</t>
  </si>
  <si>
    <t>For subsidiaries that are subject to GRSM, Column D contains gross revenues.  Input on Line 30D contains the associated expenses.</t>
  </si>
  <si>
    <t>17-</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</si>
  <si>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</si>
  <si>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</si>
  <si>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</si>
  <si>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</si>
  <si>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One Time Adjustment for Revised 2016 True Up TRR </t>
  </si>
  <si>
    <t>One Time Adjustment for Revised 2016 True Up TRR</t>
  </si>
  <si>
    <t>2016</t>
  </si>
  <si>
    <t>TO12 TUTRR</t>
  </si>
  <si>
    <t>Jan 1, 2016</t>
  </si>
  <si>
    <t>Dec 31, 2016</t>
  </si>
  <si>
    <t>(1) 2016 ISO Allocator Circuit Breaker Count Adjustment</t>
  </si>
  <si>
    <t>TO12 Annual Update Filing - Attachment 1 - Schedule 4 , Page 14, Line 45.</t>
  </si>
  <si>
    <t xml:space="preserve">Filed TO12 True Up TRR </t>
  </si>
  <si>
    <t>While answering data requests in the TO2018 Formula Rate proceeding, SCE discovered an inadvertent double counting of eleven 55 kV circuit breakers (five ISO and six Non-ISO).  SCE has incorporated this correction that changes the TO11 Schedule 27-Allocators and the impact of this change is a decrease in the 2015 True Up TRR of $5,407.</t>
  </si>
  <si>
    <t>In preparing the TO2019 Draft Annual Update, SCE discovered that the net income from EMS was incorrect.  SCE has incorporated this correction that changes the TO12 Schedule 21-Revenue Credits and the impact of this change is an increase in the 2016 True Up TRR of $90,625.</t>
  </si>
  <si>
    <t>While answering data requests in the TO2018 Formula Rate proceeding, SCE discovered an inadvertent error carrying over the PBOPs expense amount.  SCE has incorporated this correction that changes the TO12 Schedule 20-A&amp;G and the impact of this change is an increase in the 2016 True Up TRR of $168,606.</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</si>
  <si>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2015 True Up TRR of $48,767.</t>
  </si>
  <si>
    <t>In preparing the TO2019 Draft Annual Update, SCE discovered an inadvertent A&amp;G exclusion.  SCE has incorporated this correction that changes the TO12 Schedule 20-A&amp;G and the impact of this change is a decrease in the 2016 True Up TRR of $33,021.</t>
  </si>
  <si>
    <t>10aa</t>
  </si>
  <si>
    <t>Rent Rev NU-NonBRRBA</t>
  </si>
  <si>
    <t>10bb</t>
  </si>
  <si>
    <t>Fac Cost N/U-BRRBA</t>
  </si>
  <si>
    <t>Intercon One Time</t>
  </si>
  <si>
    <t>Energy Reltd Srv-TSP</t>
  </si>
  <si>
    <t>N/U Labor Mrkp-BRRBA</t>
  </si>
  <si>
    <t>4188720</t>
  </si>
  <si>
    <t>LCFS CR 411.8</t>
  </si>
  <si>
    <t>12jjj</t>
  </si>
  <si>
    <t>Miscellaneous Revenues - ISO</t>
  </si>
  <si>
    <t>Radial Line Agreement-Base-Mojave Solr</t>
  </si>
  <si>
    <t>Radial Line Agreement-O&amp;M-Mojave Solr</t>
  </si>
  <si>
    <t>ISO Non-Refundable Interconnection Deposit</t>
  </si>
  <si>
    <t>24p</t>
  </si>
  <si>
    <t>ECS - Instrastate End User Revenue</t>
  </si>
  <si>
    <t>24q</t>
  </si>
  <si>
    <t>ECS - Intrastate End User Fees</t>
  </si>
  <si>
    <t>(5) 2016 ISO Facilities Charge Adjustment</t>
  </si>
  <si>
    <t>(2) 2016 Net Income EMS Adjustment</t>
  </si>
  <si>
    <t>(3) 2016 PBOPs Expense Amount Adjustment</t>
  </si>
  <si>
    <t>(4) 2016 A&amp;G Exclusion Adjustment</t>
  </si>
  <si>
    <t>TO2019A</t>
  </si>
  <si>
    <t>Total One-Time Adjustment for 2015 Reflected in TO2019A Filing</t>
  </si>
  <si>
    <t>Total One-Time Adjustment for 2016 Reflected in TO2019A Filing</t>
  </si>
  <si>
    <t>Total One-Time Adjustment for 2015 through 2016 Reflected in TO2019A Filing</t>
  </si>
  <si>
    <t>*  The TO2019A One-Time Adjustment is equal to the TO11/TO12 TUTRR Change, plus interest through December 31, 2016.</t>
  </si>
  <si>
    <r>
      <t>TO2019A Filing - WP Schedule 3 - One Time Adj Prior Period, Page</t>
    </r>
    <r>
      <rPr>
        <sz val="11"/>
        <rFont val="Calibri"/>
        <family val="2"/>
        <scheme val="minor"/>
      </rPr>
      <t xml:space="preserve"> 6</t>
    </r>
    <r>
      <rPr>
        <sz val="11"/>
        <color theme="1"/>
        <rFont val="Calibri"/>
        <family val="2"/>
        <scheme val="minor"/>
      </rPr>
      <t>, Line 45.</t>
    </r>
  </si>
  <si>
    <t>Revised TO11 True Up TRR in TO2019A Filing</t>
  </si>
  <si>
    <t>TO12 Revised True Up TRR in TO2019A Filing</t>
  </si>
  <si>
    <r>
      <t>TO2019A Filing - WP Schedule 3 - One Time Adj Prior Period, Page</t>
    </r>
    <r>
      <rPr>
        <sz val="11"/>
        <rFont val="Calibri"/>
        <family val="2"/>
        <scheme val="minor"/>
      </rPr>
      <t xml:space="preserve"> 17</t>
    </r>
    <r>
      <rPr>
        <sz val="11"/>
        <color theme="1"/>
        <rFont val="Calibri"/>
        <family val="2"/>
        <scheme val="minor"/>
      </rPr>
      <t>, Line 45.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</si>
</sst>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0.0%"/>
    <numFmt numFmtId="173" formatCode="#,##0.000"/>
    <numFmt numFmtId="174" formatCode="_-* #,##0\ _D_M_-;\-* #,##0\ _D_M_-;_-* &quot;-&quot;??\ _D_M_-;_-@_-"/>
  </numFmts>
  <fonts count="6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b/>
      <sz val="10"/>
      <color rgb="FFFF0000"/>
      <name val="Arial"/>
      <family val="2"/>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1"/>
        <bgColor indexed="64"/>
      </patternFill>
    </fill>
  </fills>
  <borders count="33">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s>
  <cellStyleXfs count="223">
    <xf numFmtId="0" fontId="0" fillId="0" borderId="0"/>
    <xf numFmtId="0" fontId="28"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9" fillId="18"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9" fillId="9" borderId="0" applyNumberFormat="0" applyBorder="0" applyAlignment="0" applyProtection="0"/>
    <xf numFmtId="0" fontId="28" fillId="20" borderId="0" applyNumberFormat="0" applyBorder="0" applyAlignment="0" applyProtection="0"/>
    <xf numFmtId="0" fontId="28" fillId="13" borderId="0" applyNumberFormat="0" applyBorder="0" applyAlignment="0" applyProtection="0"/>
    <xf numFmtId="0" fontId="29" fillId="21" borderId="0" applyNumberFormat="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6" fillId="0" borderId="0" applyFont="0" applyFill="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9" fontId="34" fillId="0" borderId="0" applyFont="0" applyFill="0" applyBorder="0" applyAlignment="0" applyProtection="0"/>
    <xf numFmtId="9" fontId="26" fillId="0" borderId="0" applyFont="0" applyFill="0" applyBorder="0" applyAlignment="0" applyProtection="0"/>
    <xf numFmtId="4" fontId="33" fillId="25" borderId="1" applyNumberFormat="0" applyProtection="0">
      <alignment vertical="center"/>
    </xf>
    <xf numFmtId="4" fontId="35" fillId="25" borderId="1" applyNumberFormat="0" applyProtection="0">
      <alignment vertical="center"/>
    </xf>
    <xf numFmtId="4" fontId="33" fillId="25" borderId="1" applyNumberFormat="0" applyProtection="0">
      <alignment horizontal="left" vertical="center" indent="1"/>
    </xf>
    <xf numFmtId="0" fontId="33" fillId="25" borderId="1" applyNumberFormat="0" applyProtection="0">
      <alignment horizontal="left" vertical="top" indent="1"/>
    </xf>
    <xf numFmtId="4" fontId="33" fillId="27" borderId="0" applyNumberFormat="0" applyProtection="0">
      <alignment horizontal="left" vertical="center" indent="1"/>
    </xf>
    <xf numFmtId="4" fontId="31" fillId="2" borderId="1" applyNumberFormat="0" applyProtection="0">
      <alignment horizontal="right" vertical="center"/>
    </xf>
    <xf numFmtId="4" fontId="31" fillId="4" borderId="1" applyNumberFormat="0" applyProtection="0">
      <alignment horizontal="right" vertical="center"/>
    </xf>
    <xf numFmtId="4" fontId="31" fillId="11" borderId="1" applyNumberFormat="0" applyProtection="0">
      <alignment horizontal="right" vertical="center"/>
    </xf>
    <xf numFmtId="4" fontId="31" fillId="6" borderId="1" applyNumberFormat="0" applyProtection="0">
      <alignment horizontal="right" vertical="center"/>
    </xf>
    <xf numFmtId="4" fontId="31" fillId="7" borderId="1" applyNumberFormat="0" applyProtection="0">
      <alignment horizontal="right" vertical="center"/>
    </xf>
    <xf numFmtId="4" fontId="31" fillId="19" borderId="1" applyNumberFormat="0" applyProtection="0">
      <alignment horizontal="right" vertical="center"/>
    </xf>
    <xf numFmtId="4" fontId="31" fillId="15" borderId="1" applyNumberFormat="0" applyProtection="0">
      <alignment horizontal="right" vertical="center"/>
    </xf>
    <xf numFmtId="4" fontId="31" fillId="28" borderId="1" applyNumberFormat="0" applyProtection="0">
      <alignment horizontal="right" vertical="center"/>
    </xf>
    <xf numFmtId="4" fontId="31" fillId="5" borderId="1" applyNumberFormat="0" applyProtection="0">
      <alignment horizontal="right" vertical="center"/>
    </xf>
    <xf numFmtId="4" fontId="33" fillId="29" borderId="2" applyNumberFormat="0" applyProtection="0">
      <alignment horizontal="left" vertical="center" indent="1"/>
    </xf>
    <xf numFmtId="4" fontId="31" fillId="30" borderId="0" applyNumberFormat="0" applyProtection="0">
      <alignment horizontal="left" vertical="center" indent="1"/>
    </xf>
    <xf numFmtId="4" fontId="36" fillId="31" borderId="0" applyNumberFormat="0" applyProtection="0">
      <alignment horizontal="left" vertical="center" indent="1"/>
    </xf>
    <xf numFmtId="4" fontId="31" fillId="27" borderId="1" applyNumberFormat="0" applyProtection="0">
      <alignment horizontal="right" vertical="center"/>
    </xf>
    <xf numFmtId="4" fontId="31" fillId="30" borderId="0" applyNumberFormat="0" applyProtection="0">
      <alignment horizontal="left" vertical="center" indent="1"/>
    </xf>
    <xf numFmtId="4" fontId="31" fillId="27" borderId="0" applyNumberFormat="0" applyProtection="0">
      <alignment horizontal="left" vertical="center" indent="1"/>
    </xf>
    <xf numFmtId="0" fontId="26" fillId="31" borderId="1" applyNumberFormat="0" applyProtection="0">
      <alignment horizontal="left" vertical="center" indent="1"/>
    </xf>
    <xf numFmtId="0" fontId="26" fillId="31" borderId="1" applyNumberFormat="0" applyProtection="0">
      <alignment horizontal="left" vertical="top" indent="1"/>
    </xf>
    <xf numFmtId="0" fontId="26" fillId="27" borderId="1" applyNumberFormat="0" applyProtection="0">
      <alignment horizontal="left" vertical="center" indent="1"/>
    </xf>
    <xf numFmtId="0" fontId="26" fillId="27" borderId="1" applyNumberFormat="0" applyProtection="0">
      <alignment horizontal="left" vertical="top" indent="1"/>
    </xf>
    <xf numFmtId="0" fontId="26" fillId="3" borderId="1" applyNumberFormat="0" applyProtection="0">
      <alignment horizontal="left" vertical="center" indent="1"/>
    </xf>
    <xf numFmtId="0" fontId="26" fillId="3" borderId="1" applyNumberFormat="0" applyProtection="0">
      <alignment horizontal="left" vertical="top" indent="1"/>
    </xf>
    <xf numFmtId="0" fontId="26" fillId="30" borderId="1" applyNumberFormat="0" applyProtection="0">
      <alignment horizontal="left" vertical="center" indent="1"/>
    </xf>
    <xf numFmtId="0" fontId="26" fillId="30" borderId="1" applyNumberFormat="0" applyProtection="0">
      <alignment horizontal="left" vertical="top" indent="1"/>
    </xf>
    <xf numFmtId="0" fontId="26" fillId="32" borderId="3" applyNumberFormat="0">
      <protection locked="0"/>
    </xf>
    <xf numFmtId="4" fontId="31" fillId="26" borderId="1" applyNumberFormat="0" applyProtection="0">
      <alignment vertical="center"/>
    </xf>
    <xf numFmtId="4" fontId="37" fillId="26" borderId="1" applyNumberFormat="0" applyProtection="0">
      <alignment vertical="center"/>
    </xf>
    <xf numFmtId="4" fontId="31" fillId="26" borderId="1" applyNumberFormat="0" applyProtection="0">
      <alignment horizontal="left" vertical="center" indent="1"/>
    </xf>
    <xf numFmtId="0" fontId="31" fillId="26" borderId="1" applyNumberFormat="0" applyProtection="0">
      <alignment horizontal="left" vertical="top" indent="1"/>
    </xf>
    <xf numFmtId="4" fontId="31" fillId="30" borderId="1" applyNumberFormat="0" applyProtection="0">
      <alignment horizontal="right" vertical="center"/>
    </xf>
    <xf numFmtId="4" fontId="37" fillId="30" borderId="1" applyNumberFormat="0" applyProtection="0">
      <alignment horizontal="right" vertical="center"/>
    </xf>
    <xf numFmtId="4" fontId="31" fillId="27" borderId="1" applyNumberFormat="0" applyProtection="0">
      <alignment horizontal="left" vertical="center" indent="1"/>
    </xf>
    <xf numFmtId="0" fontId="31" fillId="27" borderId="1" applyNumberFormat="0" applyProtection="0">
      <alignment horizontal="left" vertical="top" indent="1"/>
    </xf>
    <xf numFmtId="4" fontId="38" fillId="33" borderId="0" applyNumberFormat="0" applyProtection="0">
      <alignment horizontal="left" vertical="center" indent="1"/>
    </xf>
    <xf numFmtId="4" fontId="32" fillId="30" borderId="1" applyNumberFormat="0" applyProtection="0">
      <alignment horizontal="right" vertical="center"/>
    </xf>
    <xf numFmtId="0" fontId="39" fillId="0" borderId="0" applyNumberFormat="0" applyFill="0" applyBorder="0" applyAlignment="0" applyProtection="0"/>
    <xf numFmtId="0" fontId="24" fillId="0" borderId="0"/>
    <xf numFmtId="0" fontId="23" fillId="0" borderId="0"/>
    <xf numFmtId="0" fontId="23" fillId="0" borderId="0"/>
    <xf numFmtId="165" fontId="24" fillId="0" borderId="0" applyFont="0" applyFill="0" applyBorder="0" applyAlignment="0" applyProtection="0"/>
    <xf numFmtId="0" fontId="24" fillId="31" borderId="1" applyNumberFormat="0" applyProtection="0">
      <alignment horizontal="left" vertical="center" indent="1"/>
    </xf>
    <xf numFmtId="0" fontId="24" fillId="31" borderId="1" applyNumberFormat="0" applyProtection="0">
      <alignment horizontal="left" vertical="top" indent="1"/>
    </xf>
    <xf numFmtId="0" fontId="24" fillId="27" borderId="1" applyNumberFormat="0" applyProtection="0">
      <alignment horizontal="left" vertical="center" indent="1"/>
    </xf>
    <xf numFmtId="0" fontId="24" fillId="27" borderId="1" applyNumberFormat="0" applyProtection="0">
      <alignment horizontal="left" vertical="top" indent="1"/>
    </xf>
    <xf numFmtId="0" fontId="24" fillId="3" borderId="1" applyNumberFormat="0" applyProtection="0">
      <alignment horizontal="left" vertical="center" indent="1"/>
    </xf>
    <xf numFmtId="0" fontId="24" fillId="3" borderId="1" applyNumberFormat="0" applyProtection="0">
      <alignment horizontal="left" vertical="top" indent="1"/>
    </xf>
    <xf numFmtId="0" fontId="24" fillId="30" borderId="1" applyNumberFormat="0" applyProtection="0">
      <alignment horizontal="left" vertical="center" indent="1"/>
    </xf>
    <xf numFmtId="0" fontId="24" fillId="30" borderId="1" applyNumberFormat="0" applyProtection="0">
      <alignment horizontal="left" vertical="top" indent="1"/>
    </xf>
    <xf numFmtId="0" fontId="24" fillId="32" borderId="3" applyNumberFormat="0">
      <protection locked="0"/>
    </xf>
    <xf numFmtId="0" fontId="4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5"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2" fillId="0" borderId="0"/>
    <xf numFmtId="0" fontId="22"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24" fillId="0" borderId="0"/>
    <xf numFmtId="0" fontId="24" fillId="0" borderId="0"/>
    <xf numFmtId="0" fontId="24" fillId="0" borderId="0"/>
    <xf numFmtId="0" fontId="34" fillId="0" borderId="0"/>
    <xf numFmtId="0" fontId="34" fillId="0" borderId="0"/>
    <xf numFmtId="0" fontId="34" fillId="0" borderId="0"/>
    <xf numFmtId="0" fontId="34" fillId="0" borderId="0"/>
    <xf numFmtId="0" fontId="34" fillId="0" borderId="0"/>
    <xf numFmtId="43" fontId="41" fillId="0" borderId="0" applyFont="0" applyFill="0" applyBorder="0" applyAlignment="0" applyProtection="0"/>
    <xf numFmtId="9" fontId="24" fillId="0" borderId="0" applyFont="0" applyFill="0" applyBorder="0" applyAlignment="0" applyProtection="0"/>
    <xf numFmtId="0" fontId="24" fillId="0" borderId="0"/>
    <xf numFmtId="0" fontId="17" fillId="0" borderId="0"/>
    <xf numFmtId="0" fontId="17" fillId="0" borderId="0"/>
    <xf numFmtId="0" fontId="17"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9" fontId="16"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4" fontId="33" fillId="29" borderId="8" applyNumberFormat="0" applyProtection="0">
      <alignment horizontal="left" vertical="center" inden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0" fontId="13" fillId="0" borderId="0"/>
    <xf numFmtId="0" fontId="13" fillId="0" borderId="0"/>
    <xf numFmtId="0" fontId="45" fillId="0" borderId="0"/>
    <xf numFmtId="43" fontId="24" fillId="0" borderId="0" applyFont="0" applyFill="0" applyBorder="0" applyAlignment="0" applyProtection="0"/>
    <xf numFmtId="43" fontId="48"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7" fillId="0" borderId="0" applyFont="0" applyFill="0" applyBorder="0" applyAlignment="0" applyProtection="0"/>
    <xf numFmtId="0" fontId="9" fillId="0" borderId="0"/>
    <xf numFmtId="9" fontId="9" fillId="0" borderId="0" applyFont="0" applyFill="0" applyBorder="0" applyAlignment="0" applyProtection="0"/>
    <xf numFmtId="43" fontId="9" fillId="0" borderId="0" applyFont="0" applyFill="0" applyBorder="0" applyAlignment="0" applyProtection="0"/>
    <xf numFmtId="44" fontId="24" fillId="0" borderId="0" applyFont="0" applyFill="0" applyBorder="0" applyAlignment="0" applyProtection="0"/>
    <xf numFmtId="0" fontId="6" fillId="0" borderId="0"/>
    <xf numFmtId="0" fontId="6" fillId="0" borderId="0"/>
  </cellStyleXfs>
  <cellXfs count="560">
    <xf numFmtId="0" fontId="0" fillId="0" borderId="0" xfId="0"/>
    <xf numFmtId="0" fontId="15" fillId="0" borderId="0" xfId="157"/>
    <xf numFmtId="0" fontId="40" fillId="35" borderId="4" xfId="157" applyFont="1" applyFill="1" applyBorder="1"/>
    <xf numFmtId="0" fontId="15" fillId="35" borderId="5" xfId="157" applyFill="1" applyBorder="1"/>
    <xf numFmtId="0" fontId="15" fillId="0" borderId="0" xfId="157" applyBorder="1"/>
    <xf numFmtId="0" fontId="25" fillId="0" borderId="0" xfId="157" applyFont="1" applyBorder="1" applyAlignment="1">
      <alignment horizontal="center"/>
    </xf>
    <xf numFmtId="0" fontId="27" fillId="0" borderId="0" xfId="157" quotePrefix="1" applyFont="1" applyBorder="1" applyAlignment="1">
      <alignment horizontal="center"/>
    </xf>
    <xf numFmtId="0" fontId="27" fillId="0" borderId="7" xfId="157" quotePrefix="1" applyFont="1" applyBorder="1" applyAlignment="1">
      <alignment horizontal="center"/>
    </xf>
    <xf numFmtId="0" fontId="40" fillId="0" borderId="0" xfId="157" applyFont="1" applyBorder="1" applyAlignment="1">
      <alignment horizontal="center" vertical="top" wrapText="1"/>
    </xf>
    <xf numFmtId="0" fontId="41" fillId="0" borderId="0" xfId="157" applyFont="1" applyBorder="1"/>
    <xf numFmtId="0" fontId="25" fillId="0" borderId="7" xfId="157" applyFont="1" applyBorder="1" applyAlignment="1">
      <alignment horizontal="center"/>
    </xf>
    <xf numFmtId="0" fontId="40" fillId="0" borderId="0" xfId="157" applyFont="1" applyBorder="1" applyAlignment="1">
      <alignment horizontal="center"/>
    </xf>
    <xf numFmtId="0" fontId="42" fillId="0" borderId="0" xfId="157" applyFont="1" applyBorder="1" applyAlignment="1">
      <alignment horizontal="center"/>
    </xf>
    <xf numFmtId="0" fontId="15" fillId="0" borderId="6" xfId="157" applyBorder="1"/>
    <xf numFmtId="10" fontId="0" fillId="0" borderId="0" xfId="159" applyNumberFormat="1" applyFont="1" applyBorder="1"/>
    <xf numFmtId="164" fontId="41" fillId="34" borderId="0" xfId="157" applyNumberFormat="1" applyFont="1" applyFill="1" applyBorder="1"/>
    <xf numFmtId="164" fontId="41" fillId="0" borderId="0" xfId="157" applyNumberFormat="1" applyFont="1" applyBorder="1" applyAlignment="1">
      <alignment horizontal="right"/>
    </xf>
    <xf numFmtId="164" fontId="41" fillId="0" borderId="0" xfId="157" applyNumberFormat="1" applyFont="1" applyFill="1" applyBorder="1" applyAlignment="1">
      <alignment horizontal="right"/>
    </xf>
    <xf numFmtId="164" fontId="41" fillId="0" borderId="7" xfId="157" applyNumberFormat="1" applyFont="1" applyBorder="1" applyAlignment="1">
      <alignment horizontal="right"/>
    </xf>
    <xf numFmtId="0" fontId="40" fillId="0" borderId="0" xfId="157" applyFont="1" applyAlignment="1">
      <alignment horizontal="center"/>
    </xf>
    <xf numFmtId="0" fontId="40" fillId="0" borderId="0" xfId="157" applyFont="1"/>
    <xf numFmtId="0" fontId="25" fillId="0" borderId="0" xfId="157" applyFont="1" applyAlignment="1">
      <alignment horizontal="center"/>
    </xf>
    <xf numFmtId="0" fontId="15" fillId="0" borderId="0" xfId="157" quotePrefix="1"/>
    <xf numFmtId="164" fontId="15" fillId="0" borderId="0" xfId="157" applyNumberFormat="1"/>
    <xf numFmtId="0" fontId="15" fillId="0" borderId="0" xfId="157" applyAlignment="1">
      <alignment horizontal="right"/>
    </xf>
    <xf numFmtId="164" fontId="15" fillId="0" borderId="0" xfId="157" applyNumberFormat="1" applyFont="1"/>
    <xf numFmtId="0" fontId="27" fillId="0" borderId="0" xfId="157" applyFont="1" applyBorder="1" applyAlignment="1">
      <alignment horizontal="center" vertical="top"/>
    </xf>
    <xf numFmtId="0" fontId="43" fillId="0" borderId="0" xfId="157" applyFont="1" applyBorder="1" applyAlignment="1">
      <alignment horizontal="center" vertical="top"/>
    </xf>
    <xf numFmtId="0" fontId="43" fillId="0" borderId="6" xfId="157" applyFont="1" applyBorder="1" applyAlignment="1">
      <alignment horizontal="center" vertical="top"/>
    </xf>
    <xf numFmtId="0" fontId="27" fillId="0" borderId="7" xfId="157" applyFont="1" applyBorder="1" applyAlignment="1">
      <alignment horizontal="center" vertical="top"/>
    </xf>
    <xf numFmtId="0" fontId="40" fillId="35" borderId="12" xfId="157" applyFont="1" applyFill="1" applyBorder="1"/>
    <xf numFmtId="0" fontId="15" fillId="35" borderId="13" xfId="157" applyFill="1" applyBorder="1"/>
    <xf numFmtId="0" fontId="47" fillId="36" borderId="0" xfId="209" applyFont="1" applyFill="1" applyBorder="1" applyAlignment="1">
      <alignment horizontal="left" vertical="top" wrapText="1"/>
    </xf>
    <xf numFmtId="0" fontId="50" fillId="36" borderId="0" xfId="209" applyFont="1" applyFill="1" applyBorder="1" applyAlignment="1">
      <alignment vertical="top"/>
    </xf>
    <xf numFmtId="0" fontId="49" fillId="0" borderId="9" xfId="157" applyFont="1" applyBorder="1" applyAlignment="1"/>
    <xf numFmtId="0" fontId="49" fillId="0" borderId="10" xfId="157" applyFont="1" applyBorder="1" applyAlignment="1"/>
    <xf numFmtId="0" fontId="15" fillId="0" borderId="12" xfId="157" applyBorder="1"/>
    <xf numFmtId="0" fontId="15" fillId="0" borderId="13" xfId="157" applyBorder="1"/>
    <xf numFmtId="0" fontId="25" fillId="0" borderId="13" xfId="157" applyFont="1" applyBorder="1" applyAlignment="1">
      <alignment horizontal="center"/>
    </xf>
    <xf numFmtId="0" fontId="27" fillId="0" borderId="13" xfId="157" quotePrefix="1" applyFont="1" applyBorder="1" applyAlignment="1">
      <alignment horizontal="center"/>
    </xf>
    <xf numFmtId="0" fontId="27" fillId="0" borderId="14" xfId="157" quotePrefix="1" applyFont="1" applyBorder="1" applyAlignment="1">
      <alignment horizontal="center"/>
    </xf>
    <xf numFmtId="166" fontId="15" fillId="0" borderId="0" xfId="211" applyNumberFormat="1" applyFont="1"/>
    <xf numFmtId="0" fontId="12" fillId="0" borderId="0" xfId="212"/>
    <xf numFmtId="0" fontId="40" fillId="38" borderId="3" xfId="212" applyFont="1" applyFill="1" applyBorder="1" applyAlignment="1">
      <alignment horizontal="center"/>
    </xf>
    <xf numFmtId="0" fontId="12" fillId="0" borderId="0" xfId="212" applyFill="1"/>
    <xf numFmtId="166" fontId="12" fillId="0" borderId="21" xfId="212" applyNumberFormat="1" applyBorder="1"/>
    <xf numFmtId="166" fontId="40" fillId="0" borderId="26" xfId="212" applyNumberFormat="1" applyFont="1" applyFill="1" applyBorder="1"/>
    <xf numFmtId="0" fontId="25" fillId="0" borderId="0" xfId="93" applyNumberFormat="1" applyFont="1" applyFill="1" applyBorder="1" applyAlignment="1">
      <alignment horizontal="left"/>
    </xf>
    <xf numFmtId="0" fontId="24" fillId="0" borderId="0" xfId="93" applyFont="1" applyFill="1" applyBorder="1" applyAlignment="1">
      <alignment horizontal="left" indent="1"/>
    </xf>
    <xf numFmtId="0" fontId="24" fillId="0" borderId="0" xfId="101" applyFont="1" applyFill="1"/>
    <xf numFmtId="0" fontId="24" fillId="0" borderId="0" xfId="101" applyFill="1"/>
    <xf numFmtId="0" fontId="24" fillId="0" borderId="0" xfId="93" applyFill="1"/>
    <xf numFmtId="0" fontId="24" fillId="0" borderId="0" xfId="93" applyNumberFormat="1" applyFont="1" applyFill="1" applyBorder="1" applyAlignment="1">
      <alignment horizontal="left"/>
    </xf>
    <xf numFmtId="1" fontId="24" fillId="0" borderId="0" xfId="93" applyNumberFormat="1" applyFont="1" applyFill="1" applyBorder="1" applyAlignment="1">
      <alignment horizontal="center"/>
    </xf>
    <xf numFmtId="0" fontId="27" fillId="0" borderId="0" xfId="93" applyFont="1" applyFill="1" applyBorder="1" applyAlignment="1">
      <alignment horizontal="center"/>
    </xf>
    <xf numFmtId="0" fontId="24" fillId="0" borderId="0" xfId="93" applyNumberFormat="1" applyFont="1" applyFill="1" applyBorder="1" applyAlignment="1">
      <alignment horizontal="right"/>
    </xf>
    <xf numFmtId="0" fontId="27" fillId="0" borderId="0" xfId="93" applyFont="1" applyBorder="1" applyAlignment="1">
      <alignment horizontal="center"/>
    </xf>
    <xf numFmtId="0" fontId="24" fillId="0" borderId="0" xfId="93" applyFont="1" applyBorder="1" applyAlignment="1">
      <alignment horizontal="left"/>
    </xf>
    <xf numFmtId="1" fontId="24" fillId="0" borderId="0" xfId="93" applyNumberFormat="1" applyFont="1" applyFill="1" applyBorder="1" applyAlignment="1">
      <alignment horizontal="right"/>
    </xf>
    <xf numFmtId="164" fontId="24" fillId="34" borderId="0" xfId="93" applyNumberFormat="1" applyFont="1" applyFill="1"/>
    <xf numFmtId="0" fontId="24" fillId="0" borderId="0" xfId="93" applyFont="1" applyFill="1"/>
    <xf numFmtId="0" fontId="25" fillId="0" borderId="0" xfId="93" applyFont="1" applyAlignment="1">
      <alignment horizontal="center"/>
    </xf>
    <xf numFmtId="0" fontId="27" fillId="0" borderId="0" xfId="118" applyFont="1" applyFill="1" applyAlignment="1">
      <alignment horizontal="center"/>
    </xf>
    <xf numFmtId="0" fontId="24" fillId="0" borderId="0" xfId="118"/>
    <xf numFmtId="164" fontId="55" fillId="0" borderId="0" xfId="93" applyNumberFormat="1" applyFont="1" applyFill="1"/>
    <xf numFmtId="164" fontId="52" fillId="34" borderId="0" xfId="93" applyNumberFormat="1" applyFont="1" applyFill="1"/>
    <xf numFmtId="0" fontId="24" fillId="0" borderId="0" xfId="93" applyFont="1" applyFill="1" applyAlignment="1">
      <alignment horizontal="left" indent="2"/>
    </xf>
    <xf numFmtId="0" fontId="24" fillId="0" borderId="0" xfId="93" applyFont="1" applyFill="1" applyAlignment="1">
      <alignment horizontal="left"/>
    </xf>
    <xf numFmtId="0" fontId="58" fillId="36" borderId="0" xfId="209" applyFont="1" applyFill="1" applyBorder="1" applyAlignment="1">
      <alignment horizontal="left" vertical="top"/>
    </xf>
    <xf numFmtId="0" fontId="58" fillId="36" borderId="0" xfId="209" applyFont="1" applyFill="1" applyBorder="1" applyAlignment="1">
      <alignment horizontal="left" vertical="top" wrapText="1"/>
    </xf>
    <xf numFmtId="0" fontId="58" fillId="36" borderId="0" xfId="209" applyFont="1" applyFill="1" applyBorder="1" applyAlignment="1">
      <alignment horizontal="center" vertical="center"/>
    </xf>
    <xf numFmtId="171" fontId="58" fillId="0" borderId="0" xfId="216" applyNumberFormat="1" applyFont="1" applyFill="1" applyBorder="1" applyAlignment="1">
      <alignment horizontal="left" vertical="center"/>
    </xf>
    <xf numFmtId="171" fontId="59" fillId="0" borderId="0" xfId="216" applyNumberFormat="1" applyFont="1" applyFill="1" applyBorder="1" applyAlignment="1">
      <alignment horizontal="center" vertical="center"/>
    </xf>
    <xf numFmtId="171" fontId="59" fillId="0" borderId="0" xfId="216" applyNumberFormat="1" applyFont="1" applyFill="1" applyBorder="1" applyAlignment="1">
      <alignment horizontal="center" vertical="center" wrapText="1"/>
    </xf>
    <xf numFmtId="0" fontId="47" fillId="36" borderId="0" xfId="209" applyFont="1" applyFill="1" applyBorder="1" applyAlignment="1">
      <alignment horizontal="left" vertical="top"/>
    </xf>
    <xf numFmtId="0" fontId="47" fillId="36" borderId="0" xfId="209" applyFont="1" applyFill="1" applyBorder="1" applyAlignment="1">
      <alignment horizontal="center" vertical="top" wrapText="1"/>
    </xf>
    <xf numFmtId="0" fontId="47" fillId="36" borderId="0" xfId="209" quotePrefix="1" applyFont="1" applyFill="1" applyBorder="1" applyAlignment="1">
      <alignment horizontal="right" vertical="top"/>
    </xf>
    <xf numFmtId="164" fontId="24" fillId="0" borderId="0" xfId="157" applyNumberFormat="1" applyFont="1" applyFill="1" applyBorder="1" applyAlignment="1">
      <alignment horizontal="center" vertical="center"/>
    </xf>
    <xf numFmtId="164" fontId="41" fillId="34" borderId="6" xfId="157" applyNumberFormat="1" applyFont="1" applyFill="1" applyBorder="1"/>
    <xf numFmtId="0" fontId="40" fillId="0" borderId="0" xfId="157" applyFont="1" applyFill="1" applyBorder="1" applyAlignment="1">
      <alignment horizontal="right"/>
    </xf>
    <xf numFmtId="164" fontId="40" fillId="0" borderId="7" xfId="157" applyNumberFormat="1" applyFont="1" applyFill="1" applyBorder="1"/>
    <xf numFmtId="0" fontId="15" fillId="0" borderId="0" xfId="157" applyFill="1"/>
    <xf numFmtId="0" fontId="11" fillId="0" borderId="0" xfId="212" applyFont="1"/>
    <xf numFmtId="0" fontId="24" fillId="34" borderId="0" xfId="118" applyFill="1"/>
    <xf numFmtId="0" fontId="25" fillId="0" borderId="0" xfId="118" applyFont="1" applyAlignment="1">
      <alignment horizontal="center"/>
    </xf>
    <xf numFmtId="0" fontId="27" fillId="0" borderId="0" xfId="118" applyFont="1" applyAlignment="1">
      <alignment horizontal="center"/>
    </xf>
    <xf numFmtId="164" fontId="24" fillId="0" borderId="0" xfId="118" applyNumberFormat="1" applyFill="1"/>
    <xf numFmtId="164" fontId="24" fillId="0" borderId="0" xfId="118" applyNumberFormat="1"/>
    <xf numFmtId="0" fontId="24" fillId="0" borderId="0" xfId="118" applyFont="1"/>
    <xf numFmtId="0" fontId="24" fillId="0" borderId="0" xfId="118" applyFill="1" applyAlignment="1">
      <alignment horizontal="left" indent="1"/>
    </xf>
    <xf numFmtId="0" fontId="24" fillId="0" borderId="0" xfId="118" applyFill="1"/>
    <xf numFmtId="0" fontId="24" fillId="0" borderId="0" xfId="118" applyFill="1" applyAlignment="1">
      <alignment horizontal="right"/>
    </xf>
    <xf numFmtId="0" fontId="25" fillId="0" borderId="0" xfId="118" applyFont="1"/>
    <xf numFmtId="0" fontId="25" fillId="0" borderId="0" xfId="118" applyFont="1" applyFill="1" applyAlignment="1">
      <alignment horizontal="center"/>
    </xf>
    <xf numFmtId="164" fontId="24" fillId="34" borderId="0" xfId="118" applyNumberFormat="1" applyFill="1"/>
    <xf numFmtId="0" fontId="25" fillId="0" borderId="0" xfId="118" applyFont="1" applyFill="1"/>
    <xf numFmtId="0" fontId="24" fillId="0" borderId="0" xfId="118" applyFont="1" applyFill="1"/>
    <xf numFmtId="0" fontId="27" fillId="0" borderId="0" xfId="118" applyFont="1"/>
    <xf numFmtId="0" fontId="49" fillId="0" borderId="9" xfId="157" applyFont="1" applyFill="1" applyBorder="1" applyAlignment="1">
      <alignment horizontal="right"/>
    </xf>
    <xf numFmtId="0" fontId="24" fillId="0" borderId="0" xfId="118" applyFill="1" applyAlignment="1">
      <alignment horizontal="left"/>
    </xf>
    <xf numFmtId="0" fontId="27" fillId="0" borderId="0" xfId="118" applyFont="1" applyFill="1" applyAlignment="1">
      <alignment horizontal="left"/>
    </xf>
    <xf numFmtId="0" fontId="24" fillId="0" borderId="0" xfId="118" applyFont="1" applyFill="1" applyAlignment="1">
      <alignment horizontal="center"/>
    </xf>
    <xf numFmtId="0" fontId="25" fillId="0" borderId="0" xfId="118" quotePrefix="1" applyFont="1" applyAlignment="1">
      <alignment horizontal="center"/>
    </xf>
    <xf numFmtId="167" fontId="24" fillId="0" borderId="0" xfId="118" applyNumberFormat="1"/>
    <xf numFmtId="0" fontId="63" fillId="36" borderId="0" xfId="209" applyFont="1" applyFill="1" applyBorder="1" applyAlignment="1">
      <alignment horizontal="center" vertical="center"/>
    </xf>
    <xf numFmtId="3" fontId="24" fillId="0" borderId="0" xfId="118" applyNumberFormat="1"/>
    <xf numFmtId="0" fontId="8" fillId="0" borderId="0" xfId="157" quotePrefix="1" applyFont="1" applyBorder="1" applyAlignment="1">
      <alignment horizontal="center"/>
    </xf>
    <xf numFmtId="0" fontId="40" fillId="0" borderId="0" xfId="157" applyFont="1" applyFill="1" applyBorder="1"/>
    <xf numFmtId="0" fontId="49" fillId="0" borderId="10" xfId="157" applyFont="1" applyFill="1" applyBorder="1" applyAlignment="1"/>
    <xf numFmtId="0" fontId="25" fillId="0" borderId="0" xfId="0" applyFont="1"/>
    <xf numFmtId="0" fontId="0" fillId="0" borderId="0" xfId="0" applyFill="1"/>
    <xf numFmtId="0" fontId="25" fillId="0" borderId="0" xfId="0" applyFont="1" applyAlignment="1">
      <alignment horizontal="left"/>
    </xf>
    <xf numFmtId="0" fontId="25" fillId="0" borderId="0" xfId="0" applyFont="1" applyAlignment="1">
      <alignment horizontal="left" indent="1"/>
    </xf>
    <xf numFmtId="0" fontId="25" fillId="0" borderId="0" xfId="0" applyFont="1" applyAlignment="1">
      <alignment horizontal="center"/>
    </xf>
    <xf numFmtId="0" fontId="27" fillId="0" borderId="0" xfId="0" applyFont="1" applyAlignment="1">
      <alignment horizontal="left"/>
    </xf>
    <xf numFmtId="0" fontId="0" fillId="0" borderId="0" xfId="0" applyAlignment="1">
      <alignment horizontal="left" indent="1"/>
    </xf>
    <xf numFmtId="0" fontId="27" fillId="0" borderId="0" xfId="0" applyFont="1"/>
    <xf numFmtId="0" fontId="27" fillId="0" borderId="0" xfId="0" applyFont="1" applyAlignment="1">
      <alignment horizontal="center"/>
    </xf>
    <xf numFmtId="0" fontId="25" fillId="0" borderId="0" xfId="0" applyFont="1" applyFill="1" applyAlignment="1">
      <alignment horizontal="center"/>
    </xf>
    <xf numFmtId="0" fontId="24" fillId="0" borderId="0" xfId="0" applyFont="1" applyFill="1" applyAlignment="1">
      <alignment horizontal="left"/>
    </xf>
    <xf numFmtId="164" fontId="0" fillId="0" borderId="0" xfId="0" applyNumberFormat="1" applyFill="1"/>
    <xf numFmtId="0" fontId="24" fillId="0" borderId="0" xfId="0" applyFont="1" applyFill="1"/>
    <xf numFmtId="0" fontId="52" fillId="0" borderId="0" xfId="0" applyFont="1" applyFill="1"/>
    <xf numFmtId="0" fontId="24" fillId="0" borderId="0" xfId="0" applyFont="1" applyFill="1" applyAlignment="1">
      <alignment horizontal="left" indent="1"/>
    </xf>
    <xf numFmtId="0" fontId="0" fillId="0" borderId="0" xfId="0" applyFill="1" applyAlignment="1">
      <alignment horizontal="left" indent="1"/>
    </xf>
    <xf numFmtId="164" fontId="52" fillId="37" borderId="0" xfId="0" applyNumberFormat="1" applyFont="1" applyFill="1"/>
    <xf numFmtId="164" fontId="0" fillId="37" borderId="0" xfId="0" applyNumberFormat="1" applyFill="1"/>
    <xf numFmtId="0" fontId="52" fillId="0" borderId="0" xfId="0" applyFont="1" applyFill="1" applyAlignment="1">
      <alignment horizontal="left"/>
    </xf>
    <xf numFmtId="164" fontId="52" fillId="0" borderId="0" xfId="0" applyNumberFormat="1" applyFont="1" applyFill="1"/>
    <xf numFmtId="0" fontId="0" fillId="0" borderId="0" xfId="0" applyFill="1" applyAlignment="1">
      <alignment horizontal="left"/>
    </xf>
    <xf numFmtId="0" fontId="25" fillId="0" borderId="0" xfId="0" applyFont="1" applyFill="1"/>
    <xf numFmtId="0" fontId="27" fillId="0" borderId="0" xfId="0" applyFont="1" applyFill="1" applyAlignment="1">
      <alignment horizontal="left"/>
    </xf>
    <xf numFmtId="167" fontId="24" fillId="0" borderId="0" xfId="0" applyNumberFormat="1" applyFont="1" applyFill="1"/>
    <xf numFmtId="164" fontId="24" fillId="37" borderId="0" xfId="0" applyNumberFormat="1" applyFont="1" applyFill="1"/>
    <xf numFmtId="167" fontId="0" fillId="0" borderId="0" xfId="0" applyNumberFormat="1" applyFill="1"/>
    <xf numFmtId="164" fontId="24" fillId="0" borderId="0" xfId="0" applyNumberFormat="1" applyFont="1" applyFill="1"/>
    <xf numFmtId="0" fontId="25" fillId="0" borderId="0" xfId="0" applyFont="1" applyFill="1" applyBorder="1" applyAlignment="1">
      <alignment horizontal="center"/>
    </xf>
    <xf numFmtId="0" fontId="0" fillId="0" borderId="0" xfId="0" applyFill="1" applyBorder="1" applyAlignment="1">
      <alignment horizontal="left" indent="1"/>
    </xf>
    <xf numFmtId="0" fontId="24" fillId="0" borderId="0" xfId="0" applyFont="1" applyFill="1" applyBorder="1"/>
    <xf numFmtId="0" fontId="0" fillId="0" borderId="0" xfId="0" applyFill="1" applyBorder="1"/>
    <xf numFmtId="164" fontId="0" fillId="37" borderId="0" xfId="0" applyNumberFormat="1" applyFill="1" applyBorder="1"/>
    <xf numFmtId="0" fontId="25" fillId="0" borderId="0" xfId="0" applyFont="1" applyFill="1" applyAlignment="1">
      <alignment horizontal="left"/>
    </xf>
    <xf numFmtId="0" fontId="0" fillId="0" borderId="0" xfId="0" applyAlignment="1">
      <alignment horizontal="left"/>
    </xf>
    <xf numFmtId="0" fontId="24" fillId="0" borderId="0" xfId="0" applyFont="1" applyFill="1" applyAlignment="1">
      <alignment horizontal="right"/>
    </xf>
    <xf numFmtId="0" fontId="25" fillId="37" borderId="15" xfId="0" applyFont="1" applyFill="1" applyBorder="1" applyAlignment="1">
      <alignment horizontal="center"/>
    </xf>
    <xf numFmtId="168" fontId="0" fillId="0" borderId="0" xfId="0" applyNumberFormat="1" applyFill="1"/>
    <xf numFmtId="0" fontId="25" fillId="37" borderId="16" xfId="0" applyFont="1" applyFill="1" applyBorder="1" applyAlignment="1">
      <alignment horizontal="center"/>
    </xf>
    <xf numFmtId="170" fontId="0" fillId="0" borderId="0" xfId="0" applyNumberFormat="1"/>
    <xf numFmtId="0" fontId="0" fillId="0" borderId="0" xfId="0" applyFill="1" applyAlignment="1">
      <alignment horizontal="right"/>
    </xf>
    <xf numFmtId="164" fontId="24" fillId="37" borderId="16" xfId="0" applyNumberFormat="1" applyFont="1" applyFill="1" applyBorder="1"/>
    <xf numFmtId="169" fontId="52" fillId="37" borderId="16" xfId="0" applyNumberFormat="1" applyFont="1" applyFill="1" applyBorder="1"/>
    <xf numFmtId="164" fontId="41" fillId="37" borderId="17" xfId="0" applyNumberFormat="1" applyFont="1" applyFill="1" applyBorder="1"/>
    <xf numFmtId="0" fontId="25" fillId="0" borderId="0" xfId="0" applyNumberFormat="1" applyFont="1" applyFill="1" applyAlignment="1">
      <alignment horizontal="left"/>
    </xf>
    <xf numFmtId="0" fontId="27" fillId="0" borderId="0" xfId="0" applyFont="1" applyFill="1" applyAlignment="1">
      <alignment horizontal="center"/>
    </xf>
    <xf numFmtId="0" fontId="27" fillId="0" borderId="0" xfId="0" applyFont="1" applyFill="1"/>
    <xf numFmtId="0" fontId="25" fillId="0" borderId="0" xfId="0" quotePrefix="1" applyFont="1" applyFill="1" applyAlignment="1">
      <alignment horizontal="center"/>
    </xf>
    <xf numFmtId="10" fontId="0" fillId="0" borderId="0" xfId="0" applyNumberFormat="1" applyFill="1"/>
    <xf numFmtId="15" fontId="24" fillId="34" borderId="0" xfId="0" quotePrefix="1" applyNumberFormat="1" applyFont="1" applyFill="1" applyAlignment="1">
      <alignment horizontal="center"/>
    </xf>
    <xf numFmtId="0" fontId="24" fillId="34" borderId="0" xfId="0" quotePrefix="1" applyFont="1" applyFill="1" applyAlignment="1">
      <alignment horizontal="center"/>
    </xf>
    <xf numFmtId="0" fontId="24" fillId="34" borderId="0" xfId="0" applyFont="1" applyFill="1"/>
    <xf numFmtId="10" fontId="24" fillId="34" borderId="0" xfId="0" quotePrefix="1" applyNumberFormat="1" applyFont="1" applyFill="1" applyAlignment="1">
      <alignment horizontal="right"/>
    </xf>
    <xf numFmtId="0" fontId="24" fillId="0" borderId="0" xfId="0" applyFont="1" applyFill="1" applyAlignment="1"/>
    <xf numFmtId="10" fontId="24" fillId="0" borderId="0" xfId="0" quotePrefix="1" applyNumberFormat="1" applyFont="1" applyFill="1" applyAlignment="1">
      <alignment horizontal="right"/>
    </xf>
    <xf numFmtId="0" fontId="24" fillId="0" borderId="0" xfId="0" quotePrefix="1" applyFont="1" applyFill="1" applyAlignment="1">
      <alignment horizontal="center"/>
    </xf>
    <xf numFmtId="0" fontId="0" fillId="34" borderId="0" xfId="0" applyFill="1"/>
    <xf numFmtId="0" fontId="24"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4" fillId="0" borderId="0" xfId="0" applyFont="1"/>
    <xf numFmtId="0" fontId="24" fillId="0" borderId="0" xfId="0" applyFont="1" applyAlignment="1">
      <alignment horizontal="right"/>
    </xf>
    <xf numFmtId="164" fontId="52" fillId="0" borderId="0" xfId="0" applyNumberFormat="1" applyFont="1"/>
    <xf numFmtId="0" fontId="25" fillId="0" borderId="0" xfId="0" quotePrefix="1" applyFont="1" applyAlignment="1">
      <alignment horizontal="center"/>
    </xf>
    <xf numFmtId="0" fontId="27" fillId="0" borderId="0" xfId="0" quotePrefix="1" applyFont="1" applyAlignment="1">
      <alignment horizontal="center"/>
    </xf>
    <xf numFmtId="170" fontId="0" fillId="0" borderId="0" xfId="0" applyNumberFormat="1" applyFill="1"/>
    <xf numFmtId="170" fontId="24" fillId="0" borderId="0" xfId="0" applyNumberFormat="1" applyFont="1" applyFill="1" applyAlignment="1">
      <alignment horizontal="left" indent="1"/>
    </xf>
    <xf numFmtId="0" fontId="0" fillId="0" borderId="0" xfId="0" applyAlignment="1">
      <alignment horizontal="right"/>
    </xf>
    <xf numFmtId="170" fontId="24" fillId="0" borderId="0" xfId="0" applyNumberFormat="1" applyFont="1" applyAlignment="1">
      <alignment horizontal="left" indent="1"/>
    </xf>
    <xf numFmtId="167" fontId="53" fillId="0" borderId="0" xfId="0" applyNumberFormat="1" applyFont="1"/>
    <xf numFmtId="167" fontId="0" fillId="0" borderId="0" xfId="0" applyNumberFormat="1"/>
    <xf numFmtId="167" fontId="54" fillId="0" borderId="0" xfId="0" applyNumberFormat="1" applyFont="1"/>
    <xf numFmtId="167" fontId="52" fillId="0" borderId="0" xfId="0" applyNumberFormat="1" applyFont="1"/>
    <xf numFmtId="0" fontId="58" fillId="0" borderId="0" xfId="209" applyFont="1" applyFill="1" applyBorder="1" applyAlignment="1">
      <alignment horizontal="left" vertical="top"/>
    </xf>
    <xf numFmtId="0" fontId="58" fillId="0" borderId="0" xfId="209" applyFont="1" applyFill="1" applyBorder="1" applyAlignment="1">
      <alignment horizontal="center" vertical="center"/>
    </xf>
    <xf numFmtId="0" fontId="47" fillId="0"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164" fontId="25" fillId="0" borderId="10" xfId="157" applyNumberFormat="1" applyFont="1" applyFill="1" applyBorder="1" applyAlignment="1">
      <alignment horizontal="center" vertical="center"/>
    </xf>
    <xf numFmtId="164" fontId="24" fillId="37" borderId="0" xfId="118" applyNumberFormat="1" applyFill="1"/>
    <xf numFmtId="0" fontId="40" fillId="38" borderId="3" xfId="212" applyFont="1" applyFill="1" applyBorder="1" applyAlignment="1">
      <alignment horizontal="center"/>
    </xf>
    <xf numFmtId="0" fontId="7" fillId="0" borderId="0" xfId="212" applyFont="1"/>
    <xf numFmtId="0" fontId="7" fillId="0" borderId="0" xfId="212" applyFont="1" applyFill="1"/>
    <xf numFmtId="164" fontId="24" fillId="0" borderId="0" xfId="118" applyNumberFormat="1" applyFont="1" applyFill="1"/>
    <xf numFmtId="166" fontId="62" fillId="0" borderId="22" xfId="213" applyNumberFormat="1" applyFont="1" applyFill="1" applyBorder="1"/>
    <xf numFmtId="172" fontId="24" fillId="0" borderId="0" xfId="118" applyNumberFormat="1" applyFill="1"/>
    <xf numFmtId="0" fontId="24" fillId="0" borderId="0" xfId="118" applyFill="1" applyAlignment="1">
      <alignment horizontal="center"/>
    </xf>
    <xf numFmtId="3" fontId="24" fillId="0" borderId="0" xfId="118" applyNumberFormat="1" applyFill="1"/>
    <xf numFmtId="0" fontId="24" fillId="0" borderId="0" xfId="118" quotePrefix="1" applyFill="1"/>
    <xf numFmtId="3" fontId="24" fillId="34" borderId="0" xfId="118" applyNumberFormat="1" applyFill="1"/>
    <xf numFmtId="3" fontId="24" fillId="37" borderId="0" xfId="118" applyNumberFormat="1" applyFill="1"/>
    <xf numFmtId="173" fontId="24" fillId="0" borderId="0" xfId="118" applyNumberFormat="1" applyFill="1"/>
    <xf numFmtId="0" fontId="24" fillId="0" borderId="0" xfId="118" applyFont="1" applyFill="1" applyBorder="1" applyAlignment="1">
      <alignment horizontal="left"/>
    </xf>
    <xf numFmtId="0" fontId="24" fillId="0" borderId="0" xfId="118" applyFont="1" applyFill="1" applyBorder="1" applyAlignment="1">
      <alignment horizontal="left" indent="1"/>
    </xf>
    <xf numFmtId="164" fontId="24" fillId="39" borderId="0" xfId="118" applyNumberFormat="1" applyFill="1"/>
    <xf numFmtId="166" fontId="7" fillId="0" borderId="31" xfId="212" applyNumberFormat="1" applyFont="1" applyFill="1" applyBorder="1"/>
    <xf numFmtId="166" fontId="62" fillId="0" borderId="30" xfId="213" applyNumberFormat="1" applyFont="1" applyFill="1" applyBorder="1"/>
    <xf numFmtId="166" fontId="40" fillId="0" borderId="32" xfId="212" applyNumberFormat="1" applyFont="1" applyFill="1" applyBorder="1"/>
    <xf numFmtId="0" fontId="47" fillId="36"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15" fillId="0" borderId="6" xfId="157" applyFill="1" applyBorder="1"/>
    <xf numFmtId="0" fontId="15" fillId="0" borderId="0" xfId="157" applyFill="1" applyBorder="1"/>
    <xf numFmtId="164" fontId="40" fillId="0" borderId="0" xfId="157" applyNumberFormat="1" applyFont="1" applyFill="1" applyBorder="1"/>
    <xf numFmtId="164" fontId="40" fillId="0" borderId="6" xfId="157" applyNumberFormat="1" applyFont="1" applyFill="1" applyBorder="1"/>
    <xf numFmtId="164" fontId="24" fillId="0" borderId="0" xfId="211" applyNumberFormat="1" applyFont="1" applyFill="1" applyBorder="1" applyAlignment="1">
      <alignment horizontal="center" vertical="center"/>
    </xf>
    <xf numFmtId="0" fontId="59" fillId="0" borderId="0" xfId="209" quotePrefix="1" applyFont="1" applyFill="1" applyBorder="1" applyAlignment="1">
      <alignment horizontal="center" vertical="center" wrapText="1"/>
    </xf>
    <xf numFmtId="0" fontId="59" fillId="0" borderId="0" xfId="209" applyFont="1" applyFill="1" applyBorder="1" applyAlignment="1">
      <alignment horizontal="left" vertical="top"/>
    </xf>
    <xf numFmtId="0" fontId="58" fillId="0" borderId="10" xfId="209" applyFont="1" applyFill="1" applyBorder="1" applyAlignment="1">
      <alignment horizontal="left" vertical="top"/>
    </xf>
    <xf numFmtId="0" fontId="59" fillId="0" borderId="10" xfId="209" applyFont="1" applyFill="1" applyBorder="1" applyAlignment="1">
      <alignment horizontal="center" vertical="center"/>
    </xf>
    <xf numFmtId="0" fontId="5" fillId="0" borderId="0" xfId="212" applyFont="1"/>
    <xf numFmtId="164" fontId="49" fillId="0" borderId="11" xfId="157" applyNumberFormat="1" applyFont="1" applyFill="1" applyBorder="1" applyAlignment="1"/>
    <xf numFmtId="0" fontId="46" fillId="0" borderId="0" xfId="209" applyFont="1" applyFill="1" applyBorder="1" applyAlignment="1">
      <alignment horizontal="left" vertical="top" wrapText="1"/>
    </xf>
    <xf numFmtId="171" fontId="58" fillId="0" borderId="0" xfId="91" applyNumberFormat="1" applyFont="1" applyFill="1" applyBorder="1" applyAlignment="1">
      <alignment horizontal="left" vertical="center"/>
    </xf>
    <xf numFmtId="0" fontId="47" fillId="0" borderId="0" xfId="209" applyFont="1" applyFill="1" applyBorder="1" applyAlignment="1">
      <alignment horizontal="left" vertical="top" wrapText="1"/>
    </xf>
    <xf numFmtId="0" fontId="47" fillId="0" borderId="0" xfId="209" applyFont="1" applyFill="1" applyBorder="1" applyAlignment="1">
      <alignment vertical="top" wrapText="1"/>
    </xf>
    <xf numFmtId="0" fontId="36" fillId="0" borderId="0" xfId="0" applyFont="1" applyFill="1"/>
    <xf numFmtId="167" fontId="52" fillId="0" borderId="0" xfId="0" applyNumberFormat="1" applyFont="1" applyFill="1"/>
    <xf numFmtId="0" fontId="4" fillId="0" borderId="0" xfId="212" applyFont="1"/>
    <xf numFmtId="167" fontId="24" fillId="37" borderId="0" xfId="118" applyNumberFormat="1" applyFill="1"/>
    <xf numFmtId="3" fontId="24" fillId="34" borderId="0" xfId="118" applyNumberFormat="1" applyFill="1" applyBorder="1"/>
    <xf numFmtId="0" fontId="24" fillId="0" borderId="0" xfId="118" applyFont="1" applyFill="1" applyBorder="1"/>
    <xf numFmtId="3" fontId="24" fillId="34" borderId="15" xfId="118" applyNumberFormat="1" applyFill="1" applyBorder="1"/>
    <xf numFmtId="3" fontId="24" fillId="34" borderId="17" xfId="118" applyNumberFormat="1" applyFill="1" applyBorder="1"/>
    <xf numFmtId="0" fontId="25" fillId="40" borderId="3" xfId="118" applyFont="1" applyFill="1" applyBorder="1" applyAlignment="1">
      <alignment horizontal="center"/>
    </xf>
    <xf numFmtId="0" fontId="25" fillId="0" borderId="3" xfId="118" applyFont="1" applyBorder="1" applyAlignment="1">
      <alignment horizontal="center"/>
    </xf>
    <xf numFmtId="0" fontId="25" fillId="0" borderId="3" xfId="118" applyFont="1" applyFill="1" applyBorder="1" applyAlignment="1">
      <alignment horizontal="center"/>
    </xf>
    <xf numFmtId="0" fontId="24" fillId="40" borderId="3" xfId="118" applyFont="1" applyFill="1" applyBorder="1" applyAlignment="1">
      <alignment horizontal="center"/>
    </xf>
    <xf numFmtId="0" fontId="24" fillId="40" borderId="3" xfId="118" applyFont="1" applyFill="1" applyBorder="1"/>
    <xf numFmtId="39" fontId="24" fillId="40" borderId="3" xfId="90" applyNumberFormat="1" applyFont="1" applyFill="1" applyBorder="1" applyAlignment="1">
      <alignment horizontal="center"/>
    </xf>
    <xf numFmtId="39" fontId="24" fillId="0" borderId="3" xfId="90" applyNumberFormat="1" applyFont="1" applyBorder="1" applyAlignment="1">
      <alignment horizontal="center" wrapText="1"/>
    </xf>
    <xf numFmtId="0" fontId="25" fillId="0" borderId="3" xfId="118" applyNumberFormat="1" applyFont="1" applyBorder="1" applyAlignment="1">
      <alignment horizontal="center" wrapText="1"/>
    </xf>
    <xf numFmtId="0" fontId="25" fillId="0" borderId="3" xfId="118" applyNumberFormat="1" applyFont="1" applyFill="1" applyBorder="1" applyAlignment="1">
      <alignment wrapText="1"/>
    </xf>
    <xf numFmtId="0" fontId="25" fillId="0" borderId="3" xfId="118" applyNumberFormat="1" applyFont="1" applyBorder="1" applyAlignment="1">
      <alignment wrapText="1"/>
    </xf>
    <xf numFmtId="39" fontId="25" fillId="0" borderId="3" xfId="90" quotePrefix="1" applyNumberFormat="1" applyFont="1" applyBorder="1" applyAlignment="1">
      <alignment horizontal="center" wrapText="1"/>
    </xf>
    <xf numFmtId="39" fontId="25" fillId="0" borderId="3" xfId="90" applyNumberFormat="1" applyFont="1" applyBorder="1" applyAlignment="1">
      <alignment horizontal="center" wrapText="1"/>
    </xf>
    <xf numFmtId="0" fontId="25" fillId="0" borderId="3" xfId="118" applyFont="1" applyFill="1" applyBorder="1" applyAlignment="1">
      <alignment horizontal="center" wrapText="1"/>
    </xf>
    <xf numFmtId="39" fontId="25" fillId="0" borderId="3" xfId="90" applyNumberFormat="1" applyFont="1" applyFill="1" applyBorder="1" applyAlignment="1">
      <alignment horizontal="center" wrapText="1"/>
    </xf>
    <xf numFmtId="165" fontId="25" fillId="0" borderId="3" xfId="90" applyNumberFormat="1" applyFont="1" applyBorder="1" applyAlignment="1">
      <alignment horizontal="center" wrapText="1"/>
    </xf>
    <xf numFmtId="0" fontId="25" fillId="0" borderId="3" xfId="118" applyFont="1" applyBorder="1" applyAlignment="1">
      <alignment horizontal="center" wrapText="1"/>
    </xf>
    <xf numFmtId="0" fontId="24" fillId="0" borderId="3" xfId="118" quotePrefix="1" applyNumberFormat="1" applyFont="1" applyFill="1" applyBorder="1" applyAlignment="1">
      <alignment horizontal="center"/>
    </xf>
    <xf numFmtId="0" fontId="24" fillId="0" borderId="3" xfId="118" quotePrefix="1" applyNumberFormat="1" applyFont="1" applyFill="1" applyBorder="1" applyAlignment="1">
      <alignment horizontal="left"/>
    </xf>
    <xf numFmtId="0" fontId="24" fillId="0" borderId="3" xfId="118" quotePrefix="1" applyNumberFormat="1" applyFont="1" applyFill="1" applyBorder="1"/>
    <xf numFmtId="164" fontId="24" fillId="34" borderId="3" xfId="90" quotePrefix="1" applyNumberFormat="1" applyFont="1" applyFill="1" applyBorder="1" applyAlignment="1">
      <alignment horizontal="center"/>
    </xf>
    <xf numFmtId="37" fontId="24" fillId="0" borderId="3" xfId="90" quotePrefix="1" applyNumberFormat="1" applyFont="1" applyFill="1" applyBorder="1" applyAlignment="1">
      <alignment horizontal="center"/>
    </xf>
    <xf numFmtId="164" fontId="24" fillId="0" borderId="3" xfId="90" quotePrefix="1" applyNumberFormat="1" applyFont="1" applyFill="1" applyBorder="1" applyAlignment="1">
      <alignment horizontal="center"/>
    </xf>
    <xf numFmtId="164" fontId="24" fillId="0" borderId="3" xfId="118" applyNumberFormat="1" applyFont="1" applyFill="1" applyBorder="1" applyAlignment="1">
      <alignment horizontal="center"/>
    </xf>
    <xf numFmtId="164" fontId="24" fillId="0" borderId="3" xfId="118" applyNumberFormat="1" applyFont="1" applyBorder="1" applyAlignment="1">
      <alignment horizontal="center"/>
    </xf>
    <xf numFmtId="0" fontId="24" fillId="0" borderId="3" xfId="118" applyFont="1" applyFill="1" applyBorder="1" applyAlignment="1">
      <alignment horizontal="center"/>
    </xf>
    <xf numFmtId="0" fontId="24" fillId="0" borderId="3" xfId="118" quotePrefix="1" applyNumberFormat="1" applyFont="1" applyBorder="1" applyAlignment="1">
      <alignment horizontal="center"/>
    </xf>
    <xf numFmtId="0" fontId="24" fillId="0" borderId="3" xfId="118" quotePrefix="1" applyNumberFormat="1" applyFont="1" applyBorder="1"/>
    <xf numFmtId="0" fontId="24" fillId="0" borderId="3" xfId="118" applyFont="1" applyBorder="1" applyAlignment="1">
      <alignment horizontal="center"/>
    </xf>
    <xf numFmtId="164" fontId="24" fillId="34" borderId="20" xfId="90" quotePrefix="1" applyNumberFormat="1" applyFont="1" applyFill="1" applyBorder="1" applyAlignment="1">
      <alignment horizontal="center"/>
    </xf>
    <xf numFmtId="0" fontId="24" fillId="34" borderId="3" xfId="118" quotePrefix="1" applyNumberFormat="1" applyFont="1" applyFill="1" applyBorder="1" applyAlignment="1">
      <alignment horizontal="center"/>
    </xf>
    <xf numFmtId="0" fontId="24" fillId="34" borderId="3" xfId="118" quotePrefix="1" applyNumberFormat="1" applyFont="1" applyFill="1" applyBorder="1" applyAlignment="1">
      <alignment horizontal="left"/>
    </xf>
    <xf numFmtId="0" fontId="24" fillId="34" borderId="3" xfId="118" quotePrefix="1" applyNumberFormat="1" applyFont="1" applyFill="1" applyBorder="1"/>
    <xf numFmtId="0" fontId="24" fillId="34" borderId="3" xfId="118" applyNumberFormat="1" applyFont="1" applyFill="1" applyBorder="1"/>
    <xf numFmtId="39" fontId="24" fillId="34" borderId="20" xfId="90" quotePrefix="1" applyNumberFormat="1" applyFont="1" applyFill="1" applyBorder="1" applyAlignment="1">
      <alignment horizontal="center"/>
    </xf>
    <xf numFmtId="164" fontId="24" fillId="34" borderId="3" xfId="118" applyNumberFormat="1" applyFont="1" applyFill="1" applyBorder="1" applyAlignment="1">
      <alignment horizontal="center"/>
    </xf>
    <xf numFmtId="0" fontId="24" fillId="34" borderId="3" xfId="118" applyFont="1" applyFill="1" applyBorder="1" applyAlignment="1">
      <alignment horizontal="center"/>
    </xf>
    <xf numFmtId="164" fontId="25" fillId="0" borderId="3" xfId="90" quotePrefix="1" applyNumberFormat="1" applyFont="1" applyBorder="1" applyAlignment="1">
      <alignment horizontal="center"/>
    </xf>
    <xf numFmtId="37" fontId="25" fillId="40" borderId="3" xfId="90" quotePrefix="1" applyNumberFormat="1" applyFont="1" applyFill="1" applyBorder="1" applyAlignment="1">
      <alignment horizontal="center"/>
    </xf>
    <xf numFmtId="164" fontId="25" fillId="0" borderId="3" xfId="118" applyNumberFormat="1" applyFont="1" applyFill="1" applyBorder="1" applyAlignment="1">
      <alignment horizontal="center"/>
    </xf>
    <xf numFmtId="164" fontId="25" fillId="0" borderId="3" xfId="90" quotePrefix="1" applyNumberFormat="1" applyFont="1" applyFill="1" applyBorder="1" applyAlignment="1">
      <alignment horizontal="center"/>
    </xf>
    <xf numFmtId="164" fontId="25" fillId="40" borderId="3" xfId="90" quotePrefix="1" applyNumberFormat="1" applyFont="1" applyFill="1" applyBorder="1" applyAlignment="1">
      <alignment horizontal="center"/>
    </xf>
    <xf numFmtId="164" fontId="25" fillId="34" borderId="3" xfId="90" quotePrefix="1" applyNumberFormat="1" applyFont="1" applyFill="1" applyBorder="1" applyAlignment="1">
      <alignment horizontal="center"/>
    </xf>
    <xf numFmtId="37" fontId="25" fillId="0" borderId="0" xfId="90" quotePrefix="1" applyNumberFormat="1" applyFont="1" applyFill="1" applyBorder="1" applyAlignment="1">
      <alignment horizontal="center"/>
    </xf>
    <xf numFmtId="37" fontId="25" fillId="0" borderId="0" xfId="90" quotePrefix="1" applyNumberFormat="1" applyFont="1" applyBorder="1" applyAlignment="1">
      <alignment horizontal="center"/>
    </xf>
    <xf numFmtId="0" fontId="25" fillId="0" borderId="0" xfId="118" applyFont="1" applyBorder="1" applyAlignment="1">
      <alignment horizontal="center"/>
    </xf>
    <xf numFmtId="0" fontId="25" fillId="0" borderId="0" xfId="118" quotePrefix="1" applyNumberFormat="1" applyFont="1" applyBorder="1" applyAlignment="1">
      <alignment horizontal="center"/>
    </xf>
    <xf numFmtId="0" fontId="25" fillId="0" borderId="0" xfId="118" applyNumberFormat="1" applyFont="1" applyFill="1" applyBorder="1"/>
    <xf numFmtId="0" fontId="25" fillId="0" borderId="0" xfId="118" quotePrefix="1" applyNumberFormat="1" applyFont="1" applyBorder="1"/>
    <xf numFmtId="0" fontId="25" fillId="0" borderId="0" xfId="118" quotePrefix="1" applyNumberFormat="1" applyFont="1" applyFill="1" applyBorder="1"/>
    <xf numFmtId="164" fontId="24" fillId="0" borderId="3" xfId="90" applyNumberFormat="1" applyFont="1" applyFill="1" applyBorder="1" applyAlignment="1">
      <alignment horizontal="center"/>
    </xf>
    <xf numFmtId="0" fontId="24" fillId="0" borderId="3" xfId="118" applyNumberFormat="1" applyFont="1" applyFill="1" applyBorder="1"/>
    <xf numFmtId="0" fontId="24" fillId="0" borderId="20" xfId="118" applyNumberFormat="1" applyFont="1" applyFill="1" applyBorder="1"/>
    <xf numFmtId="0" fontId="24" fillId="34" borderId="20" xfId="118" applyNumberFormat="1" applyFont="1" applyFill="1" applyBorder="1"/>
    <xf numFmtId="37" fontId="24" fillId="34" borderId="3" xfId="90" quotePrefix="1" applyNumberFormat="1" applyFont="1" applyFill="1" applyBorder="1" applyAlignment="1">
      <alignment horizontal="center"/>
    </xf>
    <xf numFmtId="37" fontId="24" fillId="0" borderId="0" xfId="118" applyNumberFormat="1" applyFont="1" applyFill="1" applyBorder="1" applyAlignment="1">
      <alignment horizontal="center"/>
    </xf>
    <xf numFmtId="0" fontId="24" fillId="0" borderId="0" xfId="118" applyFont="1" applyBorder="1" applyAlignment="1">
      <alignment horizontal="center"/>
    </xf>
    <xf numFmtId="0" fontId="24" fillId="0" borderId="0" xfId="118" quotePrefix="1" applyNumberFormat="1" applyFont="1" applyBorder="1" applyAlignment="1">
      <alignment horizontal="center"/>
    </xf>
    <xf numFmtId="0" fontId="25" fillId="0" borderId="3" xfId="118" applyNumberFormat="1" applyFont="1" applyFill="1" applyBorder="1" applyAlignment="1">
      <alignment wrapText="1"/>
    </xf>
    <xf numFmtId="164" fontId="25" fillId="34" borderId="24" xfId="90" quotePrefix="1" applyNumberFormat="1" applyFont="1" applyFill="1" applyBorder="1" applyAlignment="1">
      <alignment horizontal="center"/>
    </xf>
    <xf numFmtId="37" fontId="25" fillId="0" borderId="0" xfId="118" applyNumberFormat="1" applyFont="1" applyFill="1" applyBorder="1" applyAlignment="1">
      <alignment horizontal="center"/>
    </xf>
    <xf numFmtId="164" fontId="25" fillId="0" borderId="0" xfId="90" quotePrefix="1" applyNumberFormat="1" applyFont="1" applyBorder="1" applyAlignment="1">
      <alignment horizontal="center"/>
    </xf>
    <xf numFmtId="0" fontId="24" fillId="0" borderId="3" xfId="118" quotePrefix="1" applyNumberFormat="1" applyFont="1" applyBorder="1" applyAlignment="1">
      <alignment horizontal="left"/>
    </xf>
    <xf numFmtId="164" fontId="24" fillId="34" borderId="3" xfId="90" applyNumberFormat="1" applyFont="1" applyFill="1" applyBorder="1" applyAlignment="1">
      <alignment horizontal="center"/>
    </xf>
    <xf numFmtId="164" fontId="24" fillId="34" borderId="0" xfId="90" applyNumberFormat="1" applyFont="1" applyFill="1" applyBorder="1" applyAlignment="1">
      <alignment horizontal="center"/>
    </xf>
    <xf numFmtId="164" fontId="24" fillId="0" borderId="21" xfId="118" applyNumberFormat="1" applyFont="1" applyFill="1" applyBorder="1" applyAlignment="1">
      <alignment horizontal="center"/>
    </xf>
    <xf numFmtId="164" fontId="24" fillId="0" borderId="18" xfId="90" quotePrefix="1" applyNumberFormat="1" applyFont="1" applyFill="1" applyBorder="1" applyAlignment="1">
      <alignment horizontal="center"/>
    </xf>
    <xf numFmtId="164" fontId="24" fillId="34" borderId="29" xfId="118" applyNumberFormat="1" applyFont="1" applyFill="1" applyBorder="1" applyAlignment="1">
      <alignment horizontal="center"/>
    </xf>
    <xf numFmtId="164" fontId="24" fillId="0" borderId="20" xfId="118" applyNumberFormat="1" applyFont="1" applyFill="1" applyBorder="1" applyAlignment="1">
      <alignment horizontal="center"/>
    </xf>
    <xf numFmtId="164" fontId="24" fillId="0" borderId="24" xfId="118" applyNumberFormat="1" applyFont="1" applyFill="1" applyBorder="1" applyAlignment="1">
      <alignment horizontal="center"/>
    </xf>
    <xf numFmtId="164" fontId="25" fillId="37" borderId="3" xfId="90" quotePrefix="1" applyNumberFormat="1" applyFont="1" applyFill="1" applyBorder="1" applyAlignment="1">
      <alignment horizontal="center"/>
    </xf>
    <xf numFmtId="37" fontId="64" fillId="0" borderId="0" xfId="90" quotePrefix="1" applyNumberFormat="1" applyFont="1" applyBorder="1" applyAlignment="1">
      <alignment horizontal="center"/>
    </xf>
    <xf numFmtId="0" fontId="24" fillId="34" borderId="18" xfId="118" quotePrefix="1" applyNumberFormat="1" applyFont="1" applyFill="1" applyBorder="1" applyAlignment="1">
      <alignment horizontal="left"/>
    </xf>
    <xf numFmtId="0" fontId="24" fillId="34" borderId="19" xfId="118" quotePrefix="1" applyNumberFormat="1" applyFont="1" applyFill="1" applyBorder="1" applyAlignment="1">
      <alignment horizontal="left"/>
    </xf>
    <xf numFmtId="37" fontId="24" fillId="34" borderId="3" xfId="90" applyNumberFormat="1" applyFont="1" applyFill="1" applyBorder="1" applyAlignment="1">
      <alignment horizontal="center"/>
    </xf>
    <xf numFmtId="39" fontId="64" fillId="0" borderId="0" xfId="90" quotePrefix="1" applyNumberFormat="1" applyFont="1" applyBorder="1" applyAlignment="1">
      <alignment horizontal="center"/>
    </xf>
    <xf numFmtId="39" fontId="25" fillId="0" borderId="0" xfId="90" quotePrefix="1" applyNumberFormat="1" applyFont="1" applyFill="1" applyBorder="1" applyAlignment="1">
      <alignment horizontal="center"/>
    </xf>
    <xf numFmtId="39" fontId="25" fillId="0" borderId="0" xfId="90" quotePrefix="1" applyNumberFormat="1" applyFont="1" applyBorder="1" applyAlignment="1">
      <alignment horizontal="center"/>
    </xf>
    <xf numFmtId="0" fontId="24" fillId="34" borderId="3" xfId="118" applyNumberFormat="1" applyFont="1" applyFill="1" applyBorder="1" applyAlignment="1">
      <alignment horizontal="left"/>
    </xf>
    <xf numFmtId="0" fontId="25" fillId="34" borderId="3" xfId="118" quotePrefix="1" applyNumberFormat="1" applyFont="1" applyFill="1" applyBorder="1"/>
    <xf numFmtId="0" fontId="25" fillId="34" borderId="3" xfId="118" applyNumberFormat="1" applyFont="1" applyFill="1" applyBorder="1"/>
    <xf numFmtId="164" fontId="25" fillId="40" borderId="0" xfId="90" quotePrefix="1" applyNumberFormat="1" applyFont="1" applyFill="1" applyBorder="1" applyAlignment="1">
      <alignment horizontal="center"/>
    </xf>
    <xf numFmtId="37" fontId="25" fillId="0" borderId="3" xfId="90" quotePrefix="1" applyNumberFormat="1" applyFont="1" applyBorder="1" applyAlignment="1">
      <alignment horizontal="center"/>
    </xf>
    <xf numFmtId="164" fontId="25" fillId="0" borderId="0" xfId="90" quotePrefix="1" applyNumberFormat="1" applyFont="1" applyFill="1" applyBorder="1" applyAlignment="1">
      <alignment horizontal="center"/>
    </xf>
    <xf numFmtId="37" fontId="25" fillId="0" borderId="0" xfId="118" applyNumberFormat="1" applyFont="1" applyBorder="1" applyAlignment="1">
      <alignment horizontal="center"/>
    </xf>
    <xf numFmtId="39" fontId="25" fillId="34" borderId="3" xfId="90" quotePrefix="1" applyNumberFormat="1" applyFont="1" applyFill="1" applyBorder="1" applyAlignment="1">
      <alignment horizontal="center"/>
    </xf>
    <xf numFmtId="37" fontId="25" fillId="34" borderId="3" xfId="90" quotePrefix="1" applyNumberFormat="1" applyFont="1" applyFill="1" applyBorder="1" applyAlignment="1">
      <alignment horizontal="center"/>
    </xf>
    <xf numFmtId="37" fontId="24" fillId="34" borderId="3" xfId="118" applyNumberFormat="1" applyFont="1" applyFill="1" applyBorder="1" applyAlignment="1">
      <alignment horizontal="center"/>
    </xf>
    <xf numFmtId="39" fontId="25" fillId="40" borderId="0" xfId="90" quotePrefix="1" applyNumberFormat="1" applyFont="1" applyFill="1" applyBorder="1" applyAlignment="1">
      <alignment horizontal="center"/>
    </xf>
    <xf numFmtId="0" fontId="24" fillId="0" borderId="3" xfId="118" applyNumberFormat="1" applyFont="1" applyFill="1" applyBorder="1" applyAlignment="1">
      <alignment horizontal="left"/>
    </xf>
    <xf numFmtId="0" fontId="24" fillId="0" borderId="3" xfId="90" applyNumberFormat="1" applyFont="1" applyFill="1" applyBorder="1" applyAlignment="1">
      <alignment horizontal="left"/>
    </xf>
    <xf numFmtId="0" fontId="24" fillId="0" borderId="3" xfId="118" applyFont="1" applyFill="1" applyBorder="1"/>
    <xf numFmtId="164" fontId="24" fillId="0" borderId="3" xfId="90" quotePrefix="1" applyNumberFormat="1" applyFont="1" applyBorder="1" applyAlignment="1">
      <alignment horizontal="center"/>
    </xf>
    <xf numFmtId="0" fontId="24" fillId="34" borderId="3" xfId="90" applyNumberFormat="1" applyFont="1" applyFill="1" applyBorder="1" applyAlignment="1">
      <alignment horizontal="left"/>
    </xf>
    <xf numFmtId="164" fontId="24" fillId="34" borderId="3" xfId="90" applyNumberFormat="1" applyFont="1" applyFill="1" applyBorder="1"/>
    <xf numFmtId="174" fontId="24" fillId="34" borderId="3" xfId="90" applyNumberFormat="1" applyFont="1" applyFill="1" applyBorder="1"/>
    <xf numFmtId="37" fontId="25" fillId="0" borderId="0" xfId="90" applyNumberFormat="1" applyFont="1" applyFill="1" applyBorder="1" applyAlignment="1">
      <alignment horizontal="center"/>
    </xf>
    <xf numFmtId="39" fontId="24" fillId="0" borderId="0" xfId="90" applyNumberFormat="1" applyFont="1" applyBorder="1" applyAlignment="1">
      <alignment horizontal="center"/>
    </xf>
    <xf numFmtId="0" fontId="24" fillId="0" borderId="0" xfId="118" applyFont="1" applyFill="1" applyBorder="1" applyAlignment="1">
      <alignment horizontal="center"/>
    </xf>
    <xf numFmtId="39" fontId="24" fillId="0" borderId="0" xfId="90" applyNumberFormat="1" applyFont="1" applyFill="1" applyBorder="1" applyAlignment="1">
      <alignment horizontal="center"/>
    </xf>
    <xf numFmtId="165" fontId="24" fillId="0" borderId="0" xfId="90" applyNumberFormat="1" applyFont="1" applyBorder="1" applyAlignment="1">
      <alignment horizontal="center"/>
    </xf>
    <xf numFmtId="0" fontId="24" fillId="0" borderId="0" xfId="118" applyFont="1" applyBorder="1"/>
    <xf numFmtId="164" fontId="24" fillId="0" borderId="0" xfId="90" applyNumberFormat="1" applyFont="1" applyBorder="1" applyAlignment="1">
      <alignment horizontal="center"/>
    </xf>
    <xf numFmtId="0" fontId="25" fillId="0" borderId="0" xfId="118" applyFont="1" applyFill="1" applyBorder="1"/>
    <xf numFmtId="0" fontId="24" fillId="0" borderId="18" xfId="118" applyFont="1" applyFill="1" applyBorder="1" applyAlignment="1">
      <alignment horizontal="left"/>
    </xf>
    <xf numFmtId="0" fontId="24" fillId="0" borderId="20" xfId="118" applyFont="1" applyFill="1" applyBorder="1" applyAlignment="1">
      <alignment horizontal="left"/>
    </xf>
    <xf numFmtId="0" fontId="24" fillId="34" borderId="18" xfId="118" applyFont="1" applyFill="1" applyBorder="1" applyAlignment="1"/>
    <xf numFmtId="0" fontId="24" fillId="34" borderId="20" xfId="118" applyFont="1" applyFill="1" applyBorder="1" applyAlignment="1"/>
    <xf numFmtId="0" fontId="24" fillId="34" borderId="3" xfId="118" applyFont="1" applyFill="1" applyBorder="1"/>
    <xf numFmtId="164" fontId="25" fillId="0" borderId="3" xfId="90" applyNumberFormat="1" applyFont="1" applyBorder="1" applyAlignment="1">
      <alignment horizontal="center"/>
    </xf>
    <xf numFmtId="39" fontId="25" fillId="40" borderId="21" xfId="90" applyNumberFormat="1" applyFont="1" applyFill="1" applyBorder="1" applyAlignment="1">
      <alignment horizontal="center"/>
    </xf>
    <xf numFmtId="164" fontId="25" fillId="0" borderId="3" xfId="90" applyNumberFormat="1" applyFont="1" applyFill="1" applyBorder="1" applyAlignment="1">
      <alignment horizontal="center"/>
    </xf>
    <xf numFmtId="164" fontId="25" fillId="40" borderId="3" xfId="90" applyNumberFormat="1" applyFont="1" applyFill="1" applyBorder="1" applyAlignment="1">
      <alignment horizontal="center"/>
    </xf>
    <xf numFmtId="164" fontId="25" fillId="34" borderId="3" xfId="90" applyNumberFormat="1" applyFont="1" applyFill="1" applyBorder="1" applyAlignment="1">
      <alignment horizontal="center"/>
    </xf>
    <xf numFmtId="39" fontId="25" fillId="0" borderId="0" xfId="90" applyNumberFormat="1" applyFont="1" applyFill="1" applyBorder="1" applyAlignment="1">
      <alignment horizontal="center"/>
    </xf>
    <xf numFmtId="39" fontId="25" fillId="0" borderId="0" xfId="90" applyNumberFormat="1" applyFont="1" applyBorder="1" applyAlignment="1">
      <alignment horizontal="center"/>
    </xf>
    <xf numFmtId="0" fontId="25" fillId="40" borderId="0" xfId="118" applyFont="1" applyFill="1" applyBorder="1"/>
    <xf numFmtId="0" fontId="25" fillId="40" borderId="0" xfId="118" quotePrefix="1" applyNumberFormat="1" applyFont="1" applyFill="1" applyBorder="1"/>
    <xf numFmtId="0" fontId="25" fillId="0" borderId="3" xfId="118" applyNumberFormat="1" applyFont="1" applyFill="1" applyBorder="1" applyAlignment="1">
      <alignment horizontal="right"/>
    </xf>
    <xf numFmtId="164" fontId="25" fillId="0" borderId="3" xfId="118" applyNumberFormat="1" applyFont="1" applyBorder="1" applyAlignment="1">
      <alignment horizontal="center"/>
    </xf>
    <xf numFmtId="37" fontId="25" fillId="40" borderId="3" xfId="118" applyNumberFormat="1" applyFont="1" applyFill="1" applyBorder="1" applyAlignment="1">
      <alignment horizontal="center"/>
    </xf>
    <xf numFmtId="164" fontId="25" fillId="37" borderId="3" xfId="118" applyNumberFormat="1" applyFont="1" applyFill="1" applyBorder="1" applyAlignment="1">
      <alignment horizontal="center"/>
    </xf>
    <xf numFmtId="164" fontId="25" fillId="40" borderId="3" xfId="118" applyNumberFormat="1" applyFont="1" applyFill="1" applyBorder="1" applyAlignment="1">
      <alignment horizontal="center"/>
    </xf>
    <xf numFmtId="0" fontId="24" fillId="0" borderId="0" xfId="118" quotePrefix="1" applyNumberFormat="1" applyFont="1" applyBorder="1"/>
    <xf numFmtId="0" fontId="24" fillId="0" borderId="0" xfId="118" quotePrefix="1" applyNumberFormat="1" applyFont="1" applyFill="1" applyBorder="1"/>
    <xf numFmtId="39" fontId="24" fillId="0" borderId="0" xfId="90" quotePrefix="1" applyNumberFormat="1" applyFont="1" applyBorder="1" applyAlignment="1">
      <alignment horizontal="center"/>
    </xf>
    <xf numFmtId="39" fontId="55" fillId="0" borderId="0" xfId="90" quotePrefix="1" applyNumberFormat="1" applyFont="1" applyBorder="1" applyAlignment="1">
      <alignment horizontal="center"/>
    </xf>
    <xf numFmtId="39" fontId="24" fillId="0" borderId="0" xfId="90" quotePrefix="1" applyNumberFormat="1" applyFont="1" applyFill="1" applyBorder="1" applyAlignment="1">
      <alignment horizontal="center"/>
    </xf>
    <xf numFmtId="0" fontId="24" fillId="40" borderId="3" xfId="118" quotePrefix="1" applyNumberFormat="1" applyFont="1" applyFill="1" applyBorder="1"/>
    <xf numFmtId="39" fontId="24" fillId="0" borderId="3" xfId="90" applyNumberFormat="1" applyFont="1" applyBorder="1" applyAlignment="1">
      <alignment horizontal="right"/>
    </xf>
    <xf numFmtId="49" fontId="24" fillId="0" borderId="0" xfId="90" applyNumberFormat="1" applyFont="1" applyBorder="1" applyAlignment="1">
      <alignment horizontal="left"/>
    </xf>
    <xf numFmtId="49" fontId="24" fillId="0" borderId="0" xfId="90" applyNumberFormat="1" applyFont="1" applyFill="1" applyBorder="1" applyAlignment="1">
      <alignment horizontal="left"/>
    </xf>
    <xf numFmtId="39" fontId="24" fillId="0" borderId="3" xfId="90" quotePrefix="1" applyNumberFormat="1" applyFont="1" applyBorder="1" applyAlignment="1">
      <alignment horizontal="center"/>
    </xf>
    <xf numFmtId="39" fontId="24" fillId="0" borderId="3" xfId="90" quotePrefix="1" applyNumberFormat="1" applyFont="1" applyFill="1" applyBorder="1" applyAlignment="1">
      <alignment horizontal="center"/>
    </xf>
    <xf numFmtId="49" fontId="24" fillId="0" borderId="0" xfId="90" quotePrefix="1" applyNumberFormat="1" applyFont="1" applyFill="1" applyBorder="1" applyAlignment="1">
      <alignment horizontal="left"/>
    </xf>
    <xf numFmtId="174" fontId="55" fillId="0" borderId="0" xfId="90" applyNumberFormat="1" applyFont="1" applyBorder="1" applyAlignment="1">
      <alignment horizontal="center"/>
    </xf>
    <xf numFmtId="39" fontId="55" fillId="0" borderId="0" xfId="90" applyNumberFormat="1" applyFont="1" applyBorder="1" applyAlignment="1">
      <alignment horizontal="left"/>
    </xf>
    <xf numFmtId="49" fontId="24" fillId="0" borderId="0" xfId="118" applyNumberFormat="1" applyFont="1" applyFill="1" applyBorder="1" applyAlignment="1">
      <alignment horizontal="left"/>
    </xf>
    <xf numFmtId="10" fontId="24" fillId="0" borderId="3" xfId="31" applyNumberFormat="1" applyFont="1" applyFill="1" applyBorder="1" applyAlignment="1">
      <alignment horizontal="center"/>
    </xf>
    <xf numFmtId="39" fontId="25" fillId="0" borderId="3" xfId="90" applyNumberFormat="1" applyFont="1" applyFill="1" applyBorder="1" applyAlignment="1">
      <alignment horizontal="right" wrapText="1"/>
    </xf>
    <xf numFmtId="165" fontId="24" fillId="0" borderId="0" xfId="90" applyNumberFormat="1" applyFont="1" applyFill="1" applyBorder="1" applyAlignment="1">
      <alignment horizontal="center"/>
    </xf>
    <xf numFmtId="39" fontId="24" fillId="0" borderId="0" xfId="210" applyNumberFormat="1" applyFont="1" applyFill="1" applyBorder="1" applyAlignment="1">
      <alignment horizontal="center"/>
    </xf>
    <xf numFmtId="0" fontId="52" fillId="0" borderId="0" xfId="118" applyFont="1" applyBorder="1" applyAlignment="1">
      <alignment horizontal="center"/>
    </xf>
    <xf numFmtId="39" fontId="24" fillId="0" borderId="0" xfId="210" applyNumberFormat="1" applyFont="1" applyBorder="1" applyAlignment="1">
      <alignment horizontal="center"/>
    </xf>
    <xf numFmtId="164" fontId="24" fillId="37" borderId="0" xfId="210" applyNumberFormat="1" applyFont="1" applyFill="1" applyBorder="1" applyAlignment="1">
      <alignment horizontal="center"/>
    </xf>
    <xf numFmtId="49" fontId="24" fillId="0" borderId="0" xfId="210" applyNumberFormat="1" applyFont="1" applyBorder="1" applyAlignment="1">
      <alignment horizontal="left" indent="1"/>
    </xf>
    <xf numFmtId="164" fontId="24" fillId="0" borderId="0" xfId="210" applyNumberFormat="1" applyFont="1" applyBorder="1" applyAlignment="1">
      <alignment horizontal="right"/>
    </xf>
    <xf numFmtId="0" fontId="24" fillId="0" borderId="0" xfId="118" applyFont="1" applyBorder="1" applyAlignment="1">
      <alignment vertical="top"/>
    </xf>
    <xf numFmtId="0" fontId="24" fillId="0" borderId="0" xfId="118" applyFont="1" applyFill="1" applyBorder="1" applyAlignment="1">
      <alignment vertical="top"/>
    </xf>
    <xf numFmtId="0" fontId="24" fillId="34" borderId="0" xfId="118" applyFill="1" applyAlignment="1">
      <alignment horizontal="left" vertical="top" wrapText="1"/>
    </xf>
    <xf numFmtId="39" fontId="24" fillId="0" borderId="0" xfId="90" applyNumberFormat="1" applyFont="1" applyFill="1" applyBorder="1" applyAlignment="1">
      <alignment horizontal="right"/>
    </xf>
    <xf numFmtId="0" fontId="24" fillId="34" borderId="0" xfId="118" applyFont="1" applyFill="1" applyAlignment="1"/>
    <xf numFmtId="39" fontId="24" fillId="34" borderId="0" xfId="90" applyNumberFormat="1" applyFont="1" applyFill="1" applyBorder="1" applyAlignment="1">
      <alignment horizontal="center"/>
    </xf>
    <xf numFmtId="0" fontId="4" fillId="0" borderId="0" xfId="157" quotePrefix="1" applyFont="1" applyBorder="1" applyAlignment="1">
      <alignment horizontal="center"/>
    </xf>
    <xf numFmtId="0" fontId="25" fillId="0" borderId="0" xfId="118" applyFont="1" applyAlignment="1">
      <alignment horizontal="left"/>
    </xf>
    <xf numFmtId="0" fontId="25" fillId="0" borderId="0" xfId="118" applyFont="1" applyAlignment="1">
      <alignment horizontal="left" indent="1"/>
    </xf>
    <xf numFmtId="0" fontId="27" fillId="0" borderId="0" xfId="118" applyFont="1" applyAlignment="1">
      <alignment horizontal="left"/>
    </xf>
    <xf numFmtId="0" fontId="24" fillId="0" borderId="0" xfId="118" applyAlignment="1">
      <alignment horizontal="left" indent="1"/>
    </xf>
    <xf numFmtId="0" fontId="24" fillId="0" borderId="0" xfId="118" applyFont="1" applyFill="1" applyAlignment="1">
      <alignment horizontal="left"/>
    </xf>
    <xf numFmtId="0" fontId="52" fillId="0" borderId="0" xfId="118" applyFont="1" applyFill="1"/>
    <xf numFmtId="0" fontId="24" fillId="0" borderId="0" xfId="118" applyFont="1" applyFill="1" applyAlignment="1">
      <alignment horizontal="left" indent="1"/>
    </xf>
    <xf numFmtId="164" fontId="52" fillId="37" borderId="0" xfId="118" applyNumberFormat="1" applyFont="1" applyFill="1"/>
    <xf numFmtId="0" fontId="52" fillId="0" borderId="0" xfId="118" applyFont="1" applyFill="1" applyAlignment="1">
      <alignment horizontal="left"/>
    </xf>
    <xf numFmtId="167" fontId="24" fillId="0" borderId="0" xfId="118" applyNumberFormat="1" applyFont="1" applyFill="1"/>
    <xf numFmtId="164" fontId="24" fillId="37" borderId="0" xfId="118" applyNumberFormat="1" applyFont="1" applyFill="1"/>
    <xf numFmtId="167" fontId="24" fillId="0" borderId="0" xfId="118" applyNumberFormat="1" applyFill="1"/>
    <xf numFmtId="0" fontId="25" fillId="0" borderId="0" xfId="118" applyFont="1" applyFill="1" applyBorder="1" applyAlignment="1">
      <alignment horizontal="center"/>
    </xf>
    <xf numFmtId="0" fontId="24" fillId="0" borderId="0" xfId="118" applyFill="1" applyBorder="1" applyAlignment="1">
      <alignment horizontal="left" indent="1"/>
    </xf>
    <xf numFmtId="0" fontId="24" fillId="0" borderId="0" xfId="118" applyFill="1" applyBorder="1"/>
    <xf numFmtId="164" fontId="24" fillId="37" borderId="0" xfId="118" applyNumberFormat="1" applyFill="1" applyBorder="1"/>
    <xf numFmtId="164" fontId="52" fillId="0" borderId="0" xfId="118" applyNumberFormat="1" applyFont="1" applyFill="1"/>
    <xf numFmtId="0" fontId="25" fillId="0" borderId="0" xfId="118" applyFont="1" applyFill="1" applyAlignment="1">
      <alignment horizontal="left"/>
    </xf>
    <xf numFmtId="0" fontId="24" fillId="0" borderId="0" xfId="118" applyAlignment="1">
      <alignment horizontal="left"/>
    </xf>
    <xf numFmtId="0" fontId="24" fillId="0" borderId="0" xfId="118" applyFont="1" applyFill="1" applyAlignment="1">
      <alignment horizontal="right"/>
    </xf>
    <xf numFmtId="0" fontId="25" fillId="37" borderId="15" xfId="118" applyFont="1" applyFill="1" applyBorder="1" applyAlignment="1">
      <alignment horizontal="center"/>
    </xf>
    <xf numFmtId="168" fontId="24" fillId="0" borderId="0" xfId="118" applyNumberFormat="1" applyFill="1"/>
    <xf numFmtId="0" fontId="25" fillId="37" borderId="16" xfId="118" applyFont="1" applyFill="1" applyBorder="1" applyAlignment="1">
      <alignment horizontal="center"/>
    </xf>
    <xf numFmtId="164" fontId="24" fillId="37" borderId="16" xfId="118" applyNumberFormat="1" applyFont="1" applyFill="1" applyBorder="1"/>
    <xf numFmtId="169" fontId="52" fillId="37" borderId="16" xfId="118" applyNumberFormat="1" applyFont="1" applyFill="1" applyBorder="1"/>
    <xf numFmtId="164" fontId="41" fillId="37" borderId="17" xfId="118" applyNumberFormat="1" applyFont="1" applyFill="1" applyBorder="1"/>
    <xf numFmtId="0" fontId="25" fillId="0" borderId="0" xfId="118" applyNumberFormat="1" applyFont="1" applyFill="1" applyAlignment="1">
      <alignment horizontal="left"/>
    </xf>
    <xf numFmtId="0" fontId="27" fillId="0" borderId="0" xfId="118" applyFont="1" applyFill="1"/>
    <xf numFmtId="0" fontId="25" fillId="0" borderId="0" xfId="118" quotePrefix="1" applyFont="1" applyFill="1" applyAlignment="1">
      <alignment horizontal="center"/>
    </xf>
    <xf numFmtId="10" fontId="24" fillId="0" borderId="0" xfId="118" applyNumberFormat="1" applyFill="1"/>
    <xf numFmtId="15" fontId="24" fillId="34" borderId="0" xfId="118" quotePrefix="1" applyNumberFormat="1" applyFont="1" applyFill="1" applyAlignment="1">
      <alignment horizontal="center"/>
    </xf>
    <xf numFmtId="0" fontId="24" fillId="34" borderId="0" xfId="118" quotePrefix="1" applyFont="1" applyFill="1" applyAlignment="1">
      <alignment horizontal="center"/>
    </xf>
    <xf numFmtId="0" fontId="24" fillId="34" borderId="0" xfId="118" applyFont="1" applyFill="1"/>
    <xf numFmtId="10" fontId="24" fillId="34" borderId="0" xfId="118" quotePrefix="1" applyNumberFormat="1" applyFont="1" applyFill="1" applyAlignment="1">
      <alignment horizontal="right"/>
    </xf>
    <xf numFmtId="0" fontId="24" fillId="0" borderId="0" xfId="118" applyFont="1" applyFill="1" applyAlignment="1"/>
    <xf numFmtId="10" fontId="24" fillId="0" borderId="0" xfId="118" quotePrefix="1" applyNumberFormat="1" applyFont="1" applyFill="1" applyAlignment="1">
      <alignment horizontal="right"/>
    </xf>
    <xf numFmtId="0" fontId="24" fillId="0" borderId="0" xfId="118" quotePrefix="1" applyFont="1" applyFill="1" applyAlignment="1">
      <alignment horizontal="center"/>
    </xf>
    <xf numFmtId="167" fontId="52" fillId="0" borderId="0" xfId="118" applyNumberFormat="1" applyFont="1" applyFill="1"/>
    <xf numFmtId="3" fontId="24" fillId="0" borderId="0" xfId="118" applyNumberFormat="1" applyFill="1" applyAlignment="1">
      <alignment horizontal="center"/>
    </xf>
    <xf numFmtId="3" fontId="24" fillId="0" borderId="0" xfId="118" applyNumberFormat="1" applyAlignment="1">
      <alignment horizontal="center"/>
    </xf>
    <xf numFmtId="0" fontId="24" fillId="0" borderId="0" xfId="118" applyFont="1" applyAlignment="1">
      <alignment horizontal="right"/>
    </xf>
    <xf numFmtId="164" fontId="52" fillId="0" borderId="0" xfId="118" applyNumberFormat="1" applyFont="1"/>
    <xf numFmtId="0" fontId="27" fillId="0" borderId="0" xfId="118" quotePrefix="1" applyFont="1" applyAlignment="1">
      <alignment horizontal="center"/>
    </xf>
    <xf numFmtId="170" fontId="24" fillId="0" borderId="0" xfId="118" applyNumberFormat="1" applyFill="1"/>
    <xf numFmtId="170" fontId="24" fillId="0" borderId="0" xfId="118" applyNumberFormat="1"/>
    <xf numFmtId="170" fontId="24" fillId="0" borderId="0" xfId="118" applyNumberFormat="1" applyFont="1" applyFill="1" applyAlignment="1">
      <alignment horizontal="left" indent="1"/>
    </xf>
    <xf numFmtId="0" fontId="24" fillId="0" borderId="0" xfId="118" applyAlignment="1">
      <alignment horizontal="right"/>
    </xf>
    <xf numFmtId="170" fontId="24" fillId="0" borderId="0" xfId="118" applyNumberFormat="1" applyFont="1" applyAlignment="1">
      <alignment horizontal="left" indent="1"/>
    </xf>
    <xf numFmtId="167" fontId="53" fillId="0" borderId="0" xfId="118" applyNumberFormat="1" applyFont="1"/>
    <xf numFmtId="167" fontId="54" fillId="0" borderId="0" xfId="118" applyNumberFormat="1" applyFont="1"/>
    <xf numFmtId="167" fontId="52" fillId="0" borderId="0" xfId="118" applyNumberFormat="1" applyFont="1"/>
    <xf numFmtId="164" fontId="25" fillId="0" borderId="11" xfId="157" applyNumberFormat="1" applyFont="1" applyFill="1" applyBorder="1" applyAlignment="1">
      <alignment horizontal="center" vertical="center"/>
    </xf>
    <xf numFmtId="0" fontId="24" fillId="39" borderId="0" xfId="118" applyFill="1"/>
    <xf numFmtId="0" fontId="24" fillId="0" borderId="0" xfId="118" applyAlignment="1">
      <alignment horizontal="center"/>
    </xf>
    <xf numFmtId="164" fontId="24" fillId="39" borderId="0" xfId="118" applyNumberFormat="1" applyFill="1" applyAlignment="1"/>
    <xf numFmtId="164" fontId="52" fillId="39" borderId="0" xfId="118" applyNumberFormat="1" applyFont="1" applyFill="1" applyAlignment="1"/>
    <xf numFmtId="167" fontId="52" fillId="37" borderId="0" xfId="118" applyNumberFormat="1" applyFont="1" applyFill="1"/>
    <xf numFmtId="0" fontId="27" fillId="0" borderId="0" xfId="118" quotePrefix="1" applyFont="1" applyFill="1" applyAlignment="1">
      <alignment horizontal="center"/>
    </xf>
    <xf numFmtId="164" fontId="24" fillId="37" borderId="0" xfId="118" applyNumberFormat="1" applyFill="1" applyAlignment="1">
      <alignment horizontal="right" indent="1"/>
    </xf>
    <xf numFmtId="164" fontId="24" fillId="34" borderId="29" xfId="118" applyNumberFormat="1" applyFont="1" applyFill="1" applyBorder="1"/>
    <xf numFmtId="164" fontId="24" fillId="0" borderId="0" xfId="118" applyNumberFormat="1" applyAlignment="1">
      <alignment horizontal="right" indent="1"/>
    </xf>
    <xf numFmtId="164" fontId="24" fillId="34" borderId="0" xfId="118" applyNumberFormat="1" applyFont="1" applyFill="1"/>
    <xf numFmtId="164" fontId="24" fillId="34" borderId="0" xfId="118" applyNumberFormat="1" applyFont="1" applyFill="1" applyBorder="1"/>
    <xf numFmtId="0" fontId="24" fillId="0" borderId="0" xfId="118" applyFont="1" applyAlignment="1">
      <alignment horizontal="left" indent="1"/>
    </xf>
    <xf numFmtId="164" fontId="24" fillId="0" borderId="0" xfId="118" applyNumberFormat="1" applyFill="1" applyAlignment="1"/>
    <xf numFmtId="164" fontId="24" fillId="0" borderId="0" xfId="118" applyNumberFormat="1" applyFont="1"/>
    <xf numFmtId="0" fontId="27" fillId="0" borderId="0" xfId="118" applyFont="1" applyBorder="1" applyAlignment="1">
      <alignment horizontal="center"/>
    </xf>
    <xf numFmtId="0" fontId="25" fillId="0" borderId="0" xfId="118" applyFont="1" applyBorder="1"/>
    <xf numFmtId="0" fontId="24" fillId="0" borderId="0" xfId="118" applyBorder="1"/>
    <xf numFmtId="0" fontId="27" fillId="0" borderId="0" xfId="118" applyFont="1" applyFill="1" applyBorder="1"/>
    <xf numFmtId="0" fontId="24" fillId="0" borderId="0" xfId="118" applyFont="1" applyBorder="1" applyAlignment="1">
      <alignment horizontal="right"/>
    </xf>
    <xf numFmtId="164" fontId="24" fillId="0" borderId="0" xfId="118" applyNumberFormat="1" applyFont="1" applyFill="1" applyBorder="1" applyAlignment="1">
      <alignment horizontal="right"/>
    </xf>
    <xf numFmtId="164" fontId="52" fillId="34" borderId="29" xfId="118" applyNumberFormat="1" applyFont="1" applyFill="1" applyBorder="1" applyAlignment="1"/>
    <xf numFmtId="164" fontId="24" fillId="37" borderId="0" xfId="118" applyNumberFormat="1" applyFill="1" applyBorder="1" applyAlignment="1"/>
    <xf numFmtId="0" fontId="24" fillId="0" borderId="0" xfId="118" applyFont="1" applyBorder="1" applyAlignment="1">
      <alignment horizontal="left" indent="1"/>
    </xf>
    <xf numFmtId="164" fontId="24" fillId="0" borderId="0" xfId="118" applyNumberFormat="1" applyAlignment="1"/>
    <xf numFmtId="0" fontId="56" fillId="0" borderId="0" xfId="118" applyFont="1" applyFill="1"/>
    <xf numFmtId="0" fontId="24" fillId="0" borderId="0" xfId="118" applyFont="1" applyFill="1" applyAlignment="1">
      <alignment horizontal="left" indent="2"/>
    </xf>
    <xf numFmtId="0" fontId="24" fillId="34" borderId="0" xfId="118" applyFont="1" applyFill="1" applyBorder="1"/>
    <xf numFmtId="0" fontId="24" fillId="34" borderId="0" xfId="118" applyFill="1" applyBorder="1"/>
    <xf numFmtId="37" fontId="24" fillId="0" borderId="3" xfId="118" applyNumberFormat="1" applyFont="1" applyFill="1" applyBorder="1" applyAlignment="1">
      <alignment horizontal="center"/>
    </xf>
    <xf numFmtId="37" fontId="24" fillId="0" borderId="3" xfId="118" applyNumberFormat="1" applyFont="1" applyBorder="1" applyAlignment="1">
      <alignment horizontal="center"/>
    </xf>
    <xf numFmtId="37" fontId="24" fillId="34" borderId="20" xfId="90" quotePrefix="1" applyNumberFormat="1" applyFont="1" applyFill="1" applyBorder="1" applyAlignment="1">
      <alignment horizontal="center"/>
    </xf>
    <xf numFmtId="39" fontId="24" fillId="34" borderId="3" xfId="90" quotePrefix="1" applyNumberFormat="1" applyFont="1" applyFill="1" applyBorder="1" applyAlignment="1">
      <alignment horizontal="center"/>
    </xf>
    <xf numFmtId="37" fontId="25" fillId="0" borderId="3" xfId="90" quotePrefix="1" applyNumberFormat="1" applyFont="1" applyFill="1" applyBorder="1" applyAlignment="1">
      <alignment horizontal="center"/>
    </xf>
    <xf numFmtId="37" fontId="24" fillId="0" borderId="3" xfId="90" applyNumberFormat="1" applyFont="1" applyFill="1" applyBorder="1" applyAlignment="1">
      <alignment horizontal="center"/>
    </xf>
    <xf numFmtId="37" fontId="25" fillId="34" borderId="24" xfId="90" quotePrefix="1" applyNumberFormat="1" applyFont="1" applyFill="1" applyBorder="1" applyAlignment="1">
      <alignment horizontal="center"/>
    </xf>
    <xf numFmtId="37" fontId="24" fillId="34" borderId="29" xfId="118" applyNumberFormat="1" applyFont="1" applyFill="1" applyBorder="1" applyAlignment="1">
      <alignment horizontal="center"/>
    </xf>
    <xf numFmtId="37" fontId="25" fillId="37" borderId="3" xfId="90" quotePrefix="1" applyNumberFormat="1" applyFont="1" applyFill="1" applyBorder="1" applyAlignment="1">
      <alignment horizontal="center"/>
    </xf>
    <xf numFmtId="37" fontId="24" fillId="0" borderId="3" xfId="90" quotePrefix="1" applyNumberFormat="1" applyFont="1" applyBorder="1" applyAlignment="1">
      <alignment horizontal="center"/>
    </xf>
    <xf numFmtId="174" fontId="24" fillId="34" borderId="3" xfId="90" applyNumberFormat="1" applyFont="1" applyFill="1" applyBorder="1" applyAlignment="1">
      <alignment horizontal="center"/>
    </xf>
    <xf numFmtId="39" fontId="24" fillId="0" borderId="3" xfId="90" applyNumberFormat="1" applyFont="1" applyFill="1" applyBorder="1" applyAlignment="1">
      <alignment horizontal="center"/>
    </xf>
    <xf numFmtId="37" fontId="24" fillId="34" borderId="29" xfId="90" applyNumberFormat="1" applyFont="1" applyFill="1" applyBorder="1" applyAlignment="1">
      <alignment horizontal="center"/>
    </xf>
    <xf numFmtId="39" fontId="24" fillId="34" borderId="3" xfId="90" applyNumberFormat="1" applyFont="1" applyFill="1" applyBorder="1" applyAlignment="1">
      <alignment horizontal="center"/>
    </xf>
    <xf numFmtId="39" fontId="24" fillId="34" borderId="3" xfId="118" applyNumberFormat="1" applyFont="1" applyFill="1" applyBorder="1" applyAlignment="1">
      <alignment horizontal="center"/>
    </xf>
    <xf numFmtId="37" fontId="25" fillId="37" borderId="21" xfId="90" applyNumberFormat="1" applyFont="1" applyFill="1" applyBorder="1" applyAlignment="1">
      <alignment horizontal="center"/>
    </xf>
    <xf numFmtId="37" fontId="25" fillId="37" borderId="3" xfId="90" applyNumberFormat="1" applyFont="1" applyFill="1" applyBorder="1" applyAlignment="1">
      <alignment horizontal="center"/>
    </xf>
    <xf numFmtId="37" fontId="25" fillId="0" borderId="3" xfId="90" applyNumberFormat="1" applyFont="1" applyBorder="1" applyAlignment="1">
      <alignment horizontal="center"/>
    </xf>
    <xf numFmtId="39" fontId="25" fillId="40" borderId="3" xfId="90" applyNumberFormat="1" applyFont="1" applyFill="1" applyBorder="1" applyAlignment="1">
      <alignment horizontal="center"/>
    </xf>
    <xf numFmtId="37" fontId="25" fillId="34" borderId="29" xfId="90" applyNumberFormat="1" applyFont="1" applyFill="1" applyBorder="1" applyAlignment="1">
      <alignment horizontal="center"/>
    </xf>
    <xf numFmtId="37" fontId="25" fillId="34" borderId="24" xfId="90" applyNumberFormat="1" applyFont="1" applyFill="1" applyBorder="1" applyAlignment="1">
      <alignment horizontal="center"/>
    </xf>
    <xf numFmtId="37" fontId="25" fillId="37" borderId="3" xfId="118" applyNumberFormat="1" applyFont="1" applyFill="1" applyBorder="1" applyAlignment="1">
      <alignment horizontal="center"/>
    </xf>
    <xf numFmtId="37" fontId="25" fillId="0" borderId="3" xfId="118" applyNumberFormat="1" applyFont="1" applyBorder="1" applyAlignment="1">
      <alignment horizontal="center"/>
    </xf>
    <xf numFmtId="37" fontId="25" fillId="0" borderId="3" xfId="90" applyNumberFormat="1" applyFont="1" applyFill="1" applyBorder="1" applyAlignment="1">
      <alignment horizontal="center"/>
    </xf>
    <xf numFmtId="0" fontId="2" fillId="0" borderId="0" xfId="212" applyFont="1"/>
    <xf numFmtId="2" fontId="0" fillId="0" borderId="0" xfId="0" applyNumberFormat="1" applyBorder="1"/>
    <xf numFmtId="0" fontId="0" fillId="0" borderId="0" xfId="0" applyBorder="1"/>
    <xf numFmtId="0" fontId="46" fillId="0" borderId="0" xfId="209" applyFont="1" applyFill="1" applyBorder="1" applyAlignment="1">
      <alignment horizontal="left" vertical="top" wrapText="1"/>
    </xf>
    <xf numFmtId="0" fontId="46" fillId="0" borderId="9" xfId="209" applyFont="1" applyFill="1" applyBorder="1" applyAlignment="1">
      <alignment horizontal="left" vertical="top" wrapText="1"/>
    </xf>
    <xf numFmtId="0" fontId="46" fillId="0" borderId="10" xfId="209" applyFont="1" applyFill="1" applyBorder="1" applyAlignment="1">
      <alignment horizontal="left" vertical="top" wrapText="1"/>
    </xf>
    <xf numFmtId="0" fontId="46" fillId="36" borderId="0" xfId="209" applyFont="1" applyFill="1" applyBorder="1" applyAlignment="1">
      <alignment horizontal="center" vertical="top" wrapText="1"/>
    </xf>
    <xf numFmtId="0" fontId="47" fillId="36" borderId="0" xfId="209" applyFont="1" applyFill="1" applyBorder="1" applyAlignment="1">
      <alignment horizontal="center" vertical="top" wrapText="1"/>
    </xf>
    <xf numFmtId="0" fontId="46" fillId="36"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0" fillId="35" borderId="9" xfId="157" applyFont="1" applyFill="1" applyBorder="1" applyAlignment="1">
      <alignment horizontal="center"/>
    </xf>
    <xf numFmtId="0" fontId="40" fillId="35" borderId="10" xfId="157" applyFont="1" applyFill="1" applyBorder="1" applyAlignment="1">
      <alignment horizontal="center"/>
    </xf>
    <xf numFmtId="0" fontId="40" fillId="35" borderId="11" xfId="157" applyFont="1" applyFill="1" applyBorder="1" applyAlignment="1">
      <alignment horizontal="center"/>
    </xf>
    <xf numFmtId="0" fontId="7" fillId="0" borderId="19" xfId="212" applyFont="1" applyFill="1" applyBorder="1" applyAlignment="1">
      <alignment horizontal="left" wrapText="1"/>
    </xf>
    <xf numFmtId="0" fontId="7" fillId="0" borderId="20" xfId="212" applyFont="1" applyFill="1" applyBorder="1" applyAlignment="1">
      <alignment horizontal="left" wrapText="1"/>
    </xf>
    <xf numFmtId="0" fontId="7" fillId="0" borderId="3" xfId="212" applyFont="1" applyFill="1" applyBorder="1" applyAlignment="1">
      <alignment wrapText="1"/>
    </xf>
    <xf numFmtId="0" fontId="51" fillId="38" borderId="3" xfId="212" applyFont="1" applyFill="1" applyBorder="1" applyAlignment="1">
      <alignment horizontal="center" vertical="center" wrapText="1"/>
    </xf>
    <xf numFmtId="0" fontId="40" fillId="38" borderId="3" xfId="212" quotePrefix="1" applyFont="1" applyFill="1" applyBorder="1" applyAlignment="1">
      <alignment horizontal="center"/>
    </xf>
    <xf numFmtId="0" fontId="40" fillId="38" borderId="3" xfId="212" applyFont="1" applyFill="1" applyBorder="1" applyAlignment="1">
      <alignment horizontal="center"/>
    </xf>
    <xf numFmtId="0" fontId="4" fillId="0" borderId="18" xfId="212" applyFont="1" applyFill="1" applyBorder="1" applyAlignment="1">
      <alignment horizontal="left" wrapText="1"/>
    </xf>
    <xf numFmtId="0" fontId="4" fillId="0" borderId="3" xfId="212" applyFont="1" applyFill="1" applyBorder="1" applyAlignment="1">
      <alignment wrapText="1"/>
    </xf>
    <xf numFmtId="0" fontId="5" fillId="0" borderId="0" xfId="212" applyFont="1" applyAlignment="1">
      <alignment horizontal="left" wrapText="1"/>
    </xf>
    <xf numFmtId="0" fontId="7" fillId="0" borderId="0" xfId="212" applyFont="1" applyAlignment="1">
      <alignment horizontal="left" wrapText="1"/>
    </xf>
    <xf numFmtId="0" fontId="40" fillId="0" borderId="24" xfId="212" applyFont="1" applyBorder="1" applyAlignment="1">
      <alignment horizontal="right"/>
    </xf>
    <xf numFmtId="0" fontId="40" fillId="0" borderId="25" xfId="212" applyFont="1" applyBorder="1" applyAlignment="1">
      <alignment horizontal="right"/>
    </xf>
    <xf numFmtId="0" fontId="7" fillId="0" borderId="3" xfId="212" applyFont="1" applyFill="1" applyBorder="1" applyAlignment="1">
      <alignment horizontal="left"/>
    </xf>
    <xf numFmtId="0" fontId="3" fillId="0" borderId="0" xfId="212" applyFont="1" applyAlignment="1">
      <alignment horizontal="left" wrapText="1"/>
    </xf>
    <xf numFmtId="0" fontId="24" fillId="0" borderId="0" xfId="118" applyFont="1" applyFill="1" applyBorder="1" applyAlignment="1">
      <alignment vertical="top" wrapText="1"/>
    </xf>
    <xf numFmtId="0" fontId="24" fillId="0" borderId="0" xfId="118" applyAlignment="1">
      <alignment vertical="top" wrapText="1"/>
    </xf>
    <xf numFmtId="0" fontId="24" fillId="0" borderId="0" xfId="118" applyFill="1" applyAlignment="1">
      <alignment vertical="top" wrapText="1"/>
    </xf>
    <xf numFmtId="0" fontId="24" fillId="0" borderId="0" xfId="118" applyFill="1" applyAlignment="1">
      <alignment wrapText="1"/>
    </xf>
    <xf numFmtId="0" fontId="24" fillId="0" borderId="0" xfId="118" applyFill="1" applyAlignment="1"/>
    <xf numFmtId="0" fontId="24" fillId="0" borderId="0" xfId="118" applyAlignment="1"/>
    <xf numFmtId="0" fontId="24" fillId="0" borderId="18" xfId="118" applyFont="1" applyFill="1" applyBorder="1" applyAlignment="1">
      <alignment horizontal="left"/>
    </xf>
    <xf numFmtId="0" fontId="24" fillId="0" borderId="20" xfId="118" applyFont="1" applyFill="1" applyBorder="1" applyAlignment="1">
      <alignment horizontal="left"/>
    </xf>
    <xf numFmtId="0" fontId="25" fillId="0" borderId="18" xfId="118" applyFont="1" applyFill="1" applyBorder="1" applyAlignment="1"/>
    <xf numFmtId="0" fontId="24" fillId="0" borderId="19" xfId="118" applyBorder="1" applyAlignment="1"/>
    <xf numFmtId="0" fontId="24" fillId="0" borderId="20" xfId="118" applyBorder="1" applyAlignment="1"/>
    <xf numFmtId="0" fontId="24" fillId="0" borderId="19" xfId="118" applyFill="1" applyBorder="1" applyAlignment="1"/>
    <xf numFmtId="0" fontId="24" fillId="0" borderId="20" xfId="118" applyFill="1" applyBorder="1" applyAlignment="1"/>
    <xf numFmtId="0" fontId="25" fillId="0" borderId="3" xfId="118" applyFont="1" applyFill="1" applyBorder="1" applyAlignment="1">
      <alignment wrapText="1"/>
    </xf>
    <xf numFmtId="0" fontId="24" fillId="0" borderId="3" xfId="118" applyBorder="1" applyAlignment="1">
      <alignment wrapText="1"/>
    </xf>
    <xf numFmtId="0" fontId="24" fillId="0" borderId="0" xfId="118" applyFont="1" applyFill="1" applyBorder="1" applyAlignment="1">
      <alignment wrapText="1"/>
    </xf>
    <xf numFmtId="0" fontId="24" fillId="0" borderId="0" xfId="118" applyAlignment="1">
      <alignment wrapText="1"/>
    </xf>
    <xf numFmtId="0" fontId="25" fillId="0" borderId="18" xfId="118" applyNumberFormat="1" applyFont="1" applyFill="1" applyBorder="1" applyAlignment="1"/>
    <xf numFmtId="0" fontId="25" fillId="0" borderId="18" xfId="118" applyNumberFormat="1" applyFont="1" applyFill="1" applyBorder="1" applyAlignment="1">
      <alignment wrapText="1"/>
    </xf>
    <xf numFmtId="0" fontId="24" fillId="0" borderId="19" xfId="118" applyBorder="1" applyAlignment="1">
      <alignment wrapText="1"/>
    </xf>
    <xf numFmtId="0" fontId="24" fillId="0" borderId="20" xfId="118" applyBorder="1" applyAlignment="1">
      <alignment wrapText="1"/>
    </xf>
    <xf numFmtId="0" fontId="25" fillId="0" borderId="25" xfId="118" applyNumberFormat="1" applyFont="1" applyFill="1" applyBorder="1" applyAlignment="1">
      <alignment wrapText="1"/>
    </xf>
    <xf numFmtId="0" fontId="24" fillId="0" borderId="27" xfId="118" applyBorder="1" applyAlignment="1">
      <alignment wrapText="1"/>
    </xf>
    <xf numFmtId="0" fontId="24" fillId="0" borderId="28" xfId="118" applyBorder="1" applyAlignment="1">
      <alignment wrapText="1"/>
    </xf>
    <xf numFmtId="39" fontId="24" fillId="0" borderId="18" xfId="90" applyNumberFormat="1" applyFont="1" applyBorder="1" applyAlignment="1">
      <alignment horizontal="center"/>
    </xf>
    <xf numFmtId="0" fontId="24" fillId="0" borderId="19" xfId="118" applyBorder="1"/>
    <xf numFmtId="0" fontId="24" fillId="0" borderId="20" xfId="118" applyBorder="1"/>
    <xf numFmtId="0" fontId="25" fillId="0" borderId="3" xfId="118" applyNumberFormat="1" applyFont="1" applyFill="1" applyBorder="1" applyAlignment="1">
      <alignment wrapText="1"/>
    </xf>
    <xf numFmtId="0" fontId="2" fillId="0" borderId="0" xfId="212" applyFont="1" applyAlignment="1">
      <alignment horizontal="left" wrapText="1"/>
    </xf>
    <xf numFmtId="0" fontId="3" fillId="0" borderId="18" xfId="212" applyFont="1" applyBorder="1" applyAlignment="1">
      <alignment horizontal="left"/>
    </xf>
    <xf numFmtId="0" fontId="12" fillId="0" borderId="19" xfId="212" applyBorder="1" applyAlignment="1">
      <alignment horizontal="left"/>
    </xf>
    <xf numFmtId="0" fontId="12" fillId="0" borderId="20" xfId="212" applyBorder="1" applyAlignment="1">
      <alignment horizontal="left"/>
    </xf>
    <xf numFmtId="0" fontId="3" fillId="0" borderId="22" xfId="212" applyFont="1" applyFill="1" applyBorder="1" applyAlignment="1">
      <alignment wrapText="1"/>
    </xf>
    <xf numFmtId="0" fontId="12" fillId="0" borderId="22" xfId="212" applyFill="1" applyBorder="1" applyAlignment="1">
      <alignment wrapText="1"/>
    </xf>
    <xf numFmtId="0" fontId="12" fillId="0" borderId="23" xfId="212" applyFill="1" applyBorder="1" applyAlignment="1">
      <alignment wrapText="1"/>
    </xf>
    <xf numFmtId="0" fontId="12" fillId="0" borderId="27" xfId="212" applyFill="1" applyBorder="1" applyAlignment="1">
      <alignment horizontal="left"/>
    </xf>
    <xf numFmtId="0" fontId="12" fillId="0" borderId="28" xfId="212" applyFill="1" applyBorder="1" applyAlignment="1">
      <alignment horizontal="left"/>
    </xf>
    <xf numFmtId="0" fontId="12" fillId="0" borderId="3" xfId="212" applyFill="1" applyBorder="1" applyAlignment="1">
      <alignment wrapText="1"/>
    </xf>
    <xf numFmtId="0" fontId="10" fillId="0" borderId="19" xfId="212" applyFont="1" applyBorder="1" applyAlignment="1">
      <alignment horizontal="left" wrapText="1"/>
    </xf>
    <xf numFmtId="0" fontId="10" fillId="0" borderId="20" xfId="212" applyFont="1" applyBorder="1" applyAlignment="1">
      <alignment horizontal="left" wrapText="1"/>
    </xf>
    <xf numFmtId="0" fontId="1" fillId="0" borderId="3" xfId="212" applyFont="1" applyFill="1" applyBorder="1" applyAlignment="1">
      <alignment wrapText="1"/>
    </xf>
    <xf numFmtId="0" fontId="1" fillId="0" borderId="18" xfId="212" applyFont="1" applyFill="1" applyBorder="1" applyAlignment="1">
      <alignment horizontal="left" wrapText="1"/>
    </xf>
    <xf numFmtId="0" fontId="1" fillId="0" borderId="18" xfId="212" applyFont="1" applyBorder="1" applyAlignment="1">
      <alignment horizontal="left" wrapText="1"/>
    </xf>
  </cellXfs>
  <cellStyles count="223">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2"/>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1"/>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15">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CCFFFF"/>
      <color rgb="FFCCFFCC"/>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ERC-REG/FERC/FERC%20Contract%20&amp;%20Cost%20Analysis/2019%20FERC%20Rate%20Case%20TO2019/Schedule%203/Revised%20TO11/Revised%20TO11_ISO%20Al,ISOAFC.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ERC-REG/FERC/FERC%20Contract%20&amp;%20Cost%20Analysis/2019%20FERC%20Rate%20Case%20TO2019/Schedule%203/Revised%20TO12/Revised%20TO12_ISO%20AL,EMS,PBOP,A&amp;G,ISOAF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8206986.4563380685</v>
          </cell>
        </row>
        <row r="80">
          <cell r="A80">
            <v>46</v>
          </cell>
          <cell r="K80">
            <v>0.47813581977705777</v>
          </cell>
        </row>
        <row r="85">
          <cell r="A85">
            <v>49</v>
          </cell>
          <cell r="K85">
            <v>9.8000000000000004E-2</v>
          </cell>
        </row>
        <row r="88">
          <cell r="A88">
            <v>50</v>
          </cell>
          <cell r="K88">
            <v>2.0564820791106758E-2</v>
          </cell>
        </row>
        <row r="89">
          <cell r="A89">
            <v>51</v>
          </cell>
          <cell r="K89">
            <v>4.7484367756137295E-3</v>
          </cell>
        </row>
        <row r="102">
          <cell r="A102">
            <v>58</v>
          </cell>
          <cell r="K102">
            <v>0.40754725118781476</v>
          </cell>
        </row>
        <row r="108">
          <cell r="A108">
            <v>62</v>
          </cell>
          <cell r="K108">
            <v>2086200</v>
          </cell>
        </row>
        <row r="112">
          <cell r="A112">
            <v>64</v>
          </cell>
        </row>
        <row r="119">
          <cell r="K119">
            <v>2892817</v>
          </cell>
        </row>
        <row r="124">
          <cell r="A124">
            <v>65</v>
          </cell>
          <cell r="K124">
            <v>80036269.421181321</v>
          </cell>
        </row>
        <row r="125">
          <cell r="A125">
            <v>66</v>
          </cell>
          <cell r="K125">
            <v>51275513.880227782</v>
          </cell>
        </row>
        <row r="126">
          <cell r="A126">
            <v>67</v>
          </cell>
          <cell r="K126">
            <v>1403660</v>
          </cell>
        </row>
        <row r="127">
          <cell r="A127">
            <v>68</v>
          </cell>
          <cell r="K127">
            <v>216794581.25901765</v>
          </cell>
        </row>
        <row r="128">
          <cell r="A128">
            <v>69</v>
          </cell>
          <cell r="K128">
            <v>0</v>
          </cell>
        </row>
        <row r="129">
          <cell r="A129">
            <v>70</v>
          </cell>
          <cell r="K129">
            <v>53571530.921241835</v>
          </cell>
        </row>
        <row r="130">
          <cell r="A130">
            <v>71</v>
          </cell>
          <cell r="K130">
            <v>-55106642.357153259</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7336125811.7188454</v>
          </cell>
        </row>
        <row r="53">
          <cell r="A53">
            <v>21</v>
          </cell>
          <cell r="F53">
            <v>2810955447</v>
          </cell>
          <cell r="G53">
            <v>1597954444</v>
          </cell>
        </row>
        <row r="58">
          <cell r="A58">
            <v>24</v>
          </cell>
          <cell r="F58">
            <v>270627473.33784723</v>
          </cell>
        </row>
      </sheetData>
      <sheetData sheetId="10">
        <row r="28">
          <cell r="A28">
            <v>21</v>
          </cell>
          <cell r="E28">
            <v>7656336713.6343288</v>
          </cell>
        </row>
        <row r="42">
          <cell r="A42">
            <v>30</v>
          </cell>
          <cell r="E42">
            <v>0</v>
          </cell>
        </row>
      </sheetData>
      <sheetData sheetId="11">
        <row r="25">
          <cell r="A25">
            <v>14</v>
          </cell>
          <cell r="N25">
            <v>1246135909.221061</v>
          </cell>
        </row>
        <row r="35">
          <cell r="A35">
            <v>17</v>
          </cell>
          <cell r="G35">
            <v>0</v>
          </cell>
        </row>
        <row r="53">
          <cell r="A53">
            <v>23</v>
          </cell>
          <cell r="F53">
            <v>117525593.7932701</v>
          </cell>
        </row>
      </sheetData>
      <sheetData sheetId="12">
        <row r="24">
          <cell r="A24">
            <v>15</v>
          </cell>
          <cell r="D24">
            <v>-1289565209.3954203</v>
          </cell>
        </row>
      </sheetData>
      <sheetData sheetId="13" refreshError="1"/>
      <sheetData sheetId="14">
        <row r="41">
          <cell r="A41">
            <v>9</v>
          </cell>
          <cell r="D41">
            <v>9942155</v>
          </cell>
        </row>
      </sheetData>
      <sheetData sheetId="15">
        <row r="21">
          <cell r="A21">
            <v>4</v>
          </cell>
          <cell r="G21">
            <v>0</v>
          </cell>
        </row>
      </sheetData>
      <sheetData sheetId="16">
        <row r="27">
          <cell r="A27">
            <v>17</v>
          </cell>
          <cell r="F27">
            <v>15777539.567100493</v>
          </cell>
        </row>
        <row r="51">
          <cell r="A51">
            <v>33</v>
          </cell>
          <cell r="F51">
            <v>5071512.3926396742</v>
          </cell>
        </row>
      </sheetData>
      <sheetData sheetId="17">
        <row r="37">
          <cell r="A37">
            <v>12</v>
          </cell>
          <cell r="F37">
            <v>378577965.22230768</v>
          </cell>
        </row>
      </sheetData>
      <sheetData sheetId="18">
        <row r="59">
          <cell r="A59">
            <v>20</v>
          </cell>
          <cell r="G59">
            <v>33453290.244726196</v>
          </cell>
        </row>
      </sheetData>
      <sheetData sheetId="19" refreshError="1"/>
      <sheetData sheetId="20" refreshError="1"/>
      <sheetData sheetId="21" refreshError="1"/>
      <sheetData sheetId="22">
        <row r="170">
          <cell r="A170">
            <v>137</v>
          </cell>
          <cell r="H170">
            <v>35008841.722656645</v>
          </cell>
        </row>
      </sheetData>
      <sheetData sheetId="23">
        <row r="61">
          <cell r="E61">
            <v>28016504.916686665</v>
          </cell>
        </row>
        <row r="64">
          <cell r="E64">
            <v>77964598.463410825</v>
          </cell>
        </row>
      </sheetData>
      <sheetData sheetId="24"/>
      <sheetData sheetId="25">
        <row r="17">
          <cell r="A17">
            <v>9</v>
          </cell>
          <cell r="E17">
            <v>31931714</v>
          </cell>
        </row>
      </sheetData>
      <sheetData sheetId="26">
        <row r="18">
          <cell r="A18">
            <v>15</v>
          </cell>
          <cell r="E18">
            <v>0</v>
          </cell>
        </row>
      </sheetData>
      <sheetData sheetId="27" refreshError="1"/>
      <sheetData sheetId="28" refreshError="1"/>
      <sheetData sheetId="29" refreshError="1"/>
      <sheetData sheetId="30"/>
      <sheetData sheetId="31">
        <row r="22">
          <cell r="A22">
            <v>5</v>
          </cell>
          <cell r="D22">
            <v>9.2056812204103118E-3</v>
          </cell>
          <cell r="E22">
            <v>2.4076397037996198E-3</v>
          </cell>
        </row>
      </sheetData>
      <sheetData sheetId="32" refreshError="1"/>
      <sheetData sheetId="33" refreshError="1"/>
      <sheetData sheetId="34" refreshError="1"/>
      <sheetData sheetId="35" refreshError="1"/>
      <sheetData sheetId="36" refreshError="1"/>
      <sheetData sheetId="37">
        <row r="10">
          <cell r="A10">
            <v>7</v>
          </cell>
          <cell r="K10">
            <v>-14911861.313116848</v>
          </cell>
        </row>
      </sheetData>
      <sheetData sheetId="38">
        <row r="38">
          <cell r="A38">
            <v>14</v>
          </cell>
          <cell r="G38">
            <v>-1125993.3508003007</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sheetData sheetId="1"/>
      <sheetData sheetId="2"/>
      <sheetData sheetId="3">
        <row r="17">
          <cell r="A17">
            <v>7</v>
          </cell>
          <cell r="K17">
            <v>8056123.2318254448</v>
          </cell>
        </row>
        <row r="80">
          <cell r="A80">
            <v>46</v>
          </cell>
          <cell r="K80">
            <v>0.48421955317211685</v>
          </cell>
        </row>
        <row r="85">
          <cell r="A85">
            <v>49</v>
          </cell>
          <cell r="K85">
            <v>9.8000000000000004E-2</v>
          </cell>
        </row>
        <row r="88">
          <cell r="A88">
            <v>50</v>
          </cell>
          <cell r="K88">
            <v>1.995961372710912E-2</v>
          </cell>
        </row>
        <row r="89">
          <cell r="A89">
            <v>51</v>
          </cell>
          <cell r="K89">
            <v>5.136127971127352E-3</v>
          </cell>
        </row>
        <row r="102">
          <cell r="A102">
            <v>58</v>
          </cell>
          <cell r="K102">
            <v>0.40745999999999999</v>
          </cell>
        </row>
        <row r="108">
          <cell r="A108">
            <v>62</v>
          </cell>
          <cell r="K108">
            <v>2086200</v>
          </cell>
        </row>
        <row r="112">
          <cell r="A112">
            <v>64</v>
          </cell>
        </row>
        <row r="119">
          <cell r="K119">
            <v>3296636</v>
          </cell>
        </row>
        <row r="124">
          <cell r="A124">
            <v>65</v>
          </cell>
          <cell r="K124">
            <v>82055346.087123767</v>
          </cell>
        </row>
        <row r="125">
          <cell r="A125">
            <v>66</v>
          </cell>
          <cell r="K125">
            <v>46842625.622083358</v>
          </cell>
        </row>
        <row r="126">
          <cell r="A126">
            <v>67</v>
          </cell>
          <cell r="K126">
            <v>2616282.5299999998</v>
          </cell>
        </row>
        <row r="127">
          <cell r="A127">
            <v>68</v>
          </cell>
          <cell r="K127">
            <v>228276528.67688429</v>
          </cell>
        </row>
        <row r="128">
          <cell r="A128">
            <v>69</v>
          </cell>
          <cell r="K128">
            <v>37069049</v>
          </cell>
        </row>
        <row r="129">
          <cell r="A129">
            <v>70</v>
          </cell>
          <cell r="K129">
            <v>58138922.660697684</v>
          </cell>
        </row>
        <row r="130">
          <cell r="A130">
            <v>71</v>
          </cell>
          <cell r="K130">
            <v>-77887588.468262196</v>
          </cell>
        </row>
        <row r="133">
          <cell r="A133">
            <v>74</v>
          </cell>
          <cell r="K133">
            <v>0</v>
          </cell>
        </row>
        <row r="134">
          <cell r="A134">
            <v>75</v>
          </cell>
          <cell r="K134">
            <v>0</v>
          </cell>
        </row>
      </sheetData>
      <sheetData sheetId="4"/>
      <sheetData sheetId="5"/>
      <sheetData sheetId="6"/>
      <sheetData sheetId="7"/>
      <sheetData sheetId="8"/>
      <sheetData sheetId="9">
        <row r="42">
          <cell r="A42">
            <v>18</v>
          </cell>
          <cell r="D42">
            <v>7902835352.5954552</v>
          </cell>
        </row>
        <row r="53">
          <cell r="A53">
            <v>21</v>
          </cell>
          <cell r="F53">
            <v>2941903413</v>
          </cell>
          <cell r="G53">
            <v>1588136353</v>
          </cell>
        </row>
        <row r="58">
          <cell r="A58">
            <v>24</v>
          </cell>
          <cell r="F58">
            <v>256061815.89145824</v>
          </cell>
        </row>
      </sheetData>
      <sheetData sheetId="10">
        <row r="28">
          <cell r="A28">
            <v>21</v>
          </cell>
          <cell r="E28">
            <v>8276570295.1064177</v>
          </cell>
        </row>
        <row r="42">
          <cell r="A42">
            <v>30</v>
          </cell>
          <cell r="E42">
            <v>0</v>
          </cell>
        </row>
      </sheetData>
      <sheetData sheetId="11">
        <row r="25">
          <cell r="A25">
            <v>14</v>
          </cell>
          <cell r="N25">
            <v>1388640790.6733401</v>
          </cell>
        </row>
        <row r="35">
          <cell r="A35">
            <v>17</v>
          </cell>
          <cell r="G35">
            <v>0</v>
          </cell>
        </row>
        <row r="53">
          <cell r="A53">
            <v>23</v>
          </cell>
          <cell r="F53">
            <v>111020981.33803944</v>
          </cell>
        </row>
      </sheetData>
      <sheetData sheetId="12">
        <row r="23">
          <cell r="A23">
            <v>14</v>
          </cell>
          <cell r="D23">
            <v>-1431150165.2744904</v>
          </cell>
        </row>
      </sheetData>
      <sheetData sheetId="13"/>
      <sheetData sheetId="14">
        <row r="41">
          <cell r="A41">
            <v>9</v>
          </cell>
          <cell r="D41">
            <v>9942155</v>
          </cell>
        </row>
      </sheetData>
      <sheetData sheetId="15">
        <row r="21">
          <cell r="A21">
            <v>4</v>
          </cell>
          <cell r="G21">
            <v>18534524.5</v>
          </cell>
        </row>
      </sheetData>
      <sheetData sheetId="16">
        <row r="27">
          <cell r="A27">
            <v>17</v>
          </cell>
          <cell r="F27">
            <v>14352006.969473332</v>
          </cell>
        </row>
        <row r="51">
          <cell r="A51">
            <v>33</v>
          </cell>
          <cell r="F51">
            <v>4739146.5968116177</v>
          </cell>
        </row>
      </sheetData>
      <sheetData sheetId="17">
        <row r="37">
          <cell r="A37">
            <v>12</v>
          </cell>
          <cell r="F37">
            <v>271933898.42538464</v>
          </cell>
        </row>
      </sheetData>
      <sheetData sheetId="18">
        <row r="59">
          <cell r="A59">
            <v>20</v>
          </cell>
          <cell r="G59">
            <v>35016998.566422842</v>
          </cell>
        </row>
      </sheetData>
      <sheetData sheetId="19"/>
      <sheetData sheetId="20"/>
      <sheetData sheetId="21"/>
      <sheetData sheetId="22">
        <row r="170">
          <cell r="A170">
            <v>137</v>
          </cell>
          <cell r="H170">
            <v>33251375.720437568</v>
          </cell>
        </row>
      </sheetData>
      <sheetData sheetId="23">
        <row r="61">
          <cell r="E61">
            <v>23529615.574556775</v>
          </cell>
        </row>
        <row r="64">
          <cell r="E64">
            <v>71991890.000000045</v>
          </cell>
        </row>
      </sheetData>
      <sheetData sheetId="24"/>
      <sheetData sheetId="25">
        <row r="17">
          <cell r="A17">
            <v>9</v>
          </cell>
          <cell r="E17">
            <v>73457041.180000007</v>
          </cell>
        </row>
      </sheetData>
      <sheetData sheetId="26">
        <row r="18">
          <cell r="A18">
            <v>15</v>
          </cell>
          <cell r="E18">
            <v>0</v>
          </cell>
        </row>
      </sheetData>
      <sheetData sheetId="27"/>
      <sheetData sheetId="28"/>
      <sheetData sheetId="29"/>
      <sheetData sheetId="30">
        <row r="15">
          <cell r="A15">
            <v>9</v>
          </cell>
          <cell r="G15">
            <v>5.7291253607394212E-2</v>
          </cell>
        </row>
        <row r="28">
          <cell r="A28">
            <v>22</v>
          </cell>
          <cell r="G28">
            <v>0.19269684752161567</v>
          </cell>
        </row>
      </sheetData>
      <sheetData sheetId="31">
        <row r="22">
          <cell r="A22">
            <v>5</v>
          </cell>
          <cell r="D22">
            <v>9.2309210958904115E-3</v>
          </cell>
          <cell r="E22">
            <v>2.4141961643835618E-3</v>
          </cell>
        </row>
      </sheetData>
      <sheetData sheetId="32"/>
      <sheetData sheetId="33"/>
      <sheetData sheetId="34"/>
      <sheetData sheetId="35"/>
      <sheetData sheetId="36"/>
      <sheetData sheetId="37">
        <row r="10">
          <cell r="A10">
            <v>7</v>
          </cell>
          <cell r="K10">
            <v>-11536540.975080583</v>
          </cell>
        </row>
      </sheetData>
      <sheetData sheetId="38">
        <row r="38">
          <cell r="A38">
            <v>14</v>
          </cell>
          <cell r="G38">
            <v>-134118.82469490985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30"/>
  <sheetViews>
    <sheetView showGridLines="0" tabSelected="1" zoomScaleNormal="100" workbookViewId="0"/>
  </sheetViews>
  <sheetFormatPr defaultRowHeight="12.75" x14ac:dyDescent="0.2"/>
  <cols>
    <col min="1" max="1" width="5.28515625" style="68" customWidth="1"/>
    <col min="2" max="2" width="111.28515625" style="69" customWidth="1"/>
    <col min="3" max="3" width="5.42578125" style="68" customWidth="1"/>
    <col min="4" max="4" width="19.7109375" style="70" customWidth="1"/>
    <col min="5" max="5" width="20.42578125" style="71" bestFit="1" customWidth="1"/>
    <col min="6" max="6" width="14.42578125" style="71" bestFit="1" customWidth="1"/>
    <col min="7" max="7" width="10.42578125" style="68" bestFit="1" customWidth="1"/>
    <col min="8" max="16384" width="9.140625" style="68"/>
  </cols>
  <sheetData>
    <row r="1" spans="1:7" ht="18" customHeight="1" x14ac:dyDescent="0.2"/>
    <row r="2" spans="1:7" ht="18" customHeight="1" x14ac:dyDescent="0.2">
      <c r="A2" s="495" t="s">
        <v>274</v>
      </c>
      <c r="B2" s="496"/>
    </row>
    <row r="3" spans="1:7" ht="18" customHeight="1" x14ac:dyDescent="0.2">
      <c r="A3" s="496" t="s">
        <v>29</v>
      </c>
      <c r="B3" s="496"/>
      <c r="E3" s="72" t="s">
        <v>427</v>
      </c>
      <c r="F3" s="73" t="s">
        <v>997</v>
      </c>
    </row>
    <row r="4" spans="1:7" ht="15.75" customHeight="1" x14ac:dyDescent="0.2">
      <c r="A4" s="74"/>
      <c r="B4" s="75"/>
      <c r="E4" s="72" t="s">
        <v>270</v>
      </c>
      <c r="F4" s="72" t="s">
        <v>272</v>
      </c>
    </row>
    <row r="5" spans="1:7" ht="20.25" customHeight="1" x14ac:dyDescent="0.2">
      <c r="A5" s="497" t="s">
        <v>282</v>
      </c>
      <c r="B5" s="498"/>
      <c r="E5" s="77"/>
      <c r="F5" s="77"/>
    </row>
    <row r="6" spans="1:7" ht="63.75" customHeight="1" x14ac:dyDescent="0.2">
      <c r="A6" s="184" t="s">
        <v>28</v>
      </c>
      <c r="B6" s="208" t="s">
        <v>435</v>
      </c>
      <c r="C6" s="182"/>
      <c r="D6" s="183" t="s">
        <v>271</v>
      </c>
      <c r="E6" s="77">
        <v>-5607.4393725395203</v>
      </c>
      <c r="F6" s="213">
        <f>(E6/E$10)*F$10</f>
        <v>-5897.0615894983666</v>
      </c>
      <c r="G6" s="182"/>
    </row>
    <row r="7" spans="1:7" ht="15.75" x14ac:dyDescent="0.2">
      <c r="A7" s="184"/>
      <c r="B7" s="208"/>
      <c r="C7" s="182"/>
      <c r="D7" s="183"/>
      <c r="E7" s="77"/>
      <c r="F7" s="213"/>
      <c r="G7" s="182"/>
    </row>
    <row r="8" spans="1:7" ht="64.5" customHeight="1" x14ac:dyDescent="0.2">
      <c r="A8" s="76" t="s">
        <v>276</v>
      </c>
      <c r="B8" s="208" t="s">
        <v>436</v>
      </c>
      <c r="C8" s="182"/>
      <c r="D8" s="183" t="s">
        <v>275</v>
      </c>
      <c r="E8" s="77">
        <v>-29951.321166992188</v>
      </c>
      <c r="F8" s="213">
        <f>(E8/E$10)*F$10</f>
        <v>-31498.296080303135</v>
      </c>
    </row>
    <row r="9" spans="1:7" ht="15.75" x14ac:dyDescent="0.2">
      <c r="A9" s="184"/>
      <c r="B9" s="208"/>
      <c r="C9" s="182"/>
      <c r="D9" s="183"/>
      <c r="E9" s="77"/>
      <c r="F9" s="77"/>
      <c r="G9" s="182"/>
    </row>
    <row r="10" spans="1:7" ht="15.75" customHeight="1" x14ac:dyDescent="0.2">
      <c r="A10" s="492" t="s">
        <v>998</v>
      </c>
      <c r="B10" s="492"/>
      <c r="C10" s="215"/>
      <c r="D10" s="214" t="s">
        <v>432</v>
      </c>
      <c r="E10" s="185">
        <f>SUM(E6:E9)</f>
        <v>-35558.760539531708</v>
      </c>
      <c r="F10" s="185">
        <f>'WP-Total Adj with Int'!G36</f>
        <v>-37395.357669801502</v>
      </c>
      <c r="G10" s="182"/>
    </row>
    <row r="11" spans="1:7" ht="15.75" customHeight="1" x14ac:dyDescent="0.2">
      <c r="A11" s="220"/>
      <c r="B11" s="220"/>
      <c r="C11" s="215"/>
      <c r="D11" s="214"/>
      <c r="E11" s="185"/>
      <c r="F11" s="185"/>
      <c r="G11" s="182"/>
    </row>
    <row r="12" spans="1:7" ht="20.25" customHeight="1" x14ac:dyDescent="0.2">
      <c r="A12" s="497" t="s">
        <v>430</v>
      </c>
      <c r="B12" s="498"/>
      <c r="E12" s="221"/>
      <c r="F12" s="221"/>
    </row>
    <row r="13" spans="1:7" ht="70.5" customHeight="1" x14ac:dyDescent="0.2">
      <c r="A13" s="76" t="s">
        <v>28</v>
      </c>
      <c r="B13" s="222" t="s">
        <v>970</v>
      </c>
      <c r="C13" s="182"/>
      <c r="D13" s="183" t="s">
        <v>425</v>
      </c>
      <c r="E13" s="77">
        <v>-5407.185586810112</v>
      </c>
      <c r="F13" s="77">
        <f>(E13/E$23)*F$23</f>
        <v>-5501.8158551878441</v>
      </c>
    </row>
    <row r="14" spans="1:7" ht="15.75" x14ac:dyDescent="0.2">
      <c r="A14" s="76"/>
      <c r="B14" s="222"/>
      <c r="E14" s="77"/>
      <c r="F14" s="77"/>
    </row>
    <row r="15" spans="1:7" ht="53.25" customHeight="1" x14ac:dyDescent="0.2">
      <c r="A15" s="76" t="s">
        <v>276</v>
      </c>
      <c r="B15" s="222" t="s">
        <v>971</v>
      </c>
      <c r="C15" s="182"/>
      <c r="D15" s="183" t="s">
        <v>281</v>
      </c>
      <c r="E15" s="77">
        <v>90625.121497273445</v>
      </c>
      <c r="F15" s="77">
        <f>(E15/E$23)*F$23</f>
        <v>92211.136889452857</v>
      </c>
    </row>
    <row r="16" spans="1:7" ht="15.75" x14ac:dyDescent="0.2">
      <c r="A16" s="76"/>
      <c r="B16" s="222"/>
      <c r="C16" s="182"/>
      <c r="D16" s="183"/>
      <c r="E16" s="77"/>
      <c r="F16" s="77"/>
    </row>
    <row r="17" spans="1:9" ht="66" customHeight="1" x14ac:dyDescent="0.2">
      <c r="A17" s="76" t="s">
        <v>279</v>
      </c>
      <c r="B17" s="222" t="s">
        <v>972</v>
      </c>
      <c r="C17" s="182"/>
      <c r="D17" s="183" t="s">
        <v>433</v>
      </c>
      <c r="E17" s="77">
        <v>168606.04769682884</v>
      </c>
      <c r="F17" s="213">
        <f>(E17/E$23)*F$23</f>
        <v>171556.79449245939</v>
      </c>
    </row>
    <row r="18" spans="1:9" ht="15.75" x14ac:dyDescent="0.2">
      <c r="A18" s="184"/>
      <c r="B18" s="222"/>
      <c r="C18" s="182"/>
      <c r="D18" s="183"/>
      <c r="E18" s="77"/>
      <c r="F18" s="213"/>
    </row>
    <row r="19" spans="1:9" ht="55.5" customHeight="1" x14ac:dyDescent="0.2">
      <c r="A19" s="76" t="s">
        <v>424</v>
      </c>
      <c r="B19" s="222" t="s">
        <v>974</v>
      </c>
      <c r="C19" s="182"/>
      <c r="D19" s="183" t="s">
        <v>428</v>
      </c>
      <c r="E19" s="77">
        <v>-33020.549374461174</v>
      </c>
      <c r="F19" s="213">
        <f>(E19/E$23)*F$23</f>
        <v>-33598.436594923449</v>
      </c>
      <c r="G19" s="182"/>
      <c r="H19" s="182"/>
    </row>
    <row r="20" spans="1:9" ht="15.75" x14ac:dyDescent="0.2">
      <c r="A20" s="76"/>
      <c r="B20" s="222"/>
      <c r="C20" s="182"/>
      <c r="D20" s="183"/>
      <c r="E20" s="77"/>
      <c r="F20" s="213"/>
    </row>
    <row r="21" spans="1:9" ht="66.75" customHeight="1" x14ac:dyDescent="0.2">
      <c r="A21" s="76" t="s">
        <v>426</v>
      </c>
      <c r="B21" s="222" t="s">
        <v>973</v>
      </c>
      <c r="C21" s="182"/>
      <c r="D21" s="183" t="s">
        <v>429</v>
      </c>
      <c r="E21" s="77">
        <v>-48767.141960740089</v>
      </c>
      <c r="F21" s="213">
        <f>(E21/E$23)*F$23</f>
        <v>-49620.607716200175</v>
      </c>
    </row>
    <row r="22" spans="1:9" ht="15.75" x14ac:dyDescent="0.2">
      <c r="A22" s="76"/>
      <c r="B22" s="208"/>
      <c r="C22" s="182"/>
      <c r="D22" s="183"/>
      <c r="E22" s="77"/>
      <c r="F22" s="213"/>
    </row>
    <row r="23" spans="1:9" ht="29.25" customHeight="1" x14ac:dyDescent="0.2">
      <c r="A23" s="492" t="s">
        <v>999</v>
      </c>
      <c r="B23" s="499"/>
      <c r="C23" s="223"/>
      <c r="D23" s="214" t="s">
        <v>434</v>
      </c>
      <c r="E23" s="185">
        <f>SUM(E13:E21)</f>
        <v>172036.29227209091</v>
      </c>
      <c r="F23" s="185">
        <f>'WP-Total Adj with Int'!K36</f>
        <v>175047.07121560076</v>
      </c>
      <c r="G23" s="182"/>
      <c r="H23" s="182"/>
      <c r="I23" s="182"/>
    </row>
    <row r="24" spans="1:9" ht="16.5" thickBot="1" x14ac:dyDescent="0.25">
      <c r="A24" s="207"/>
      <c r="B24" s="208"/>
      <c r="C24" s="182"/>
      <c r="D24" s="183"/>
      <c r="F24" s="77"/>
      <c r="G24" s="182"/>
    </row>
    <row r="25" spans="1:9" ht="16.5" customHeight="1" thickBot="1" x14ac:dyDescent="0.25">
      <c r="A25" s="493" t="s">
        <v>1000</v>
      </c>
      <c r="B25" s="494"/>
      <c r="C25" s="216"/>
      <c r="D25" s="217" t="s">
        <v>431</v>
      </c>
      <c r="E25" s="186">
        <f>+E10+E23</f>
        <v>136477.5317325592</v>
      </c>
      <c r="F25" s="436">
        <f>+F10+F23</f>
        <v>137651.71354579926</v>
      </c>
      <c r="G25" s="182"/>
    </row>
    <row r="26" spans="1:9" ht="15.75" x14ac:dyDescent="0.2">
      <c r="A26" s="207"/>
      <c r="B26" s="208"/>
      <c r="C26" s="182"/>
      <c r="D26" s="183"/>
      <c r="E26" s="77"/>
      <c r="F26" s="77"/>
      <c r="G26" s="182"/>
    </row>
    <row r="27" spans="1:9" ht="18" customHeight="1" x14ac:dyDescent="0.2">
      <c r="A27" s="74"/>
      <c r="B27" s="206"/>
      <c r="E27" s="77"/>
      <c r="F27" s="77"/>
    </row>
    <row r="28" spans="1:9" ht="21" x14ac:dyDescent="0.2">
      <c r="A28" s="68" t="s">
        <v>1001</v>
      </c>
      <c r="B28" s="33"/>
      <c r="C28" s="33"/>
      <c r="D28" s="104"/>
      <c r="E28" s="77"/>
      <c r="F28" s="77"/>
    </row>
    <row r="29" spans="1:9" ht="15.75" x14ac:dyDescent="0.2">
      <c r="A29" s="74"/>
      <c r="B29" s="32"/>
      <c r="E29" s="77"/>
      <c r="F29" s="77"/>
    </row>
    <row r="30" spans="1:9" x14ac:dyDescent="0.2">
      <c r="E30" s="77"/>
      <c r="F30" s="77"/>
    </row>
  </sheetData>
  <mergeCells count="7">
    <mergeCell ref="A10:B10"/>
    <mergeCell ref="A25:B25"/>
    <mergeCell ref="A2:B2"/>
    <mergeCell ref="A3:B3"/>
    <mergeCell ref="A5:B5"/>
    <mergeCell ref="A12:B12"/>
    <mergeCell ref="A23:B23"/>
  </mergeCells>
  <printOptions horizontalCentered="1"/>
  <pageMargins left="0.7" right="0.7" top="0.75" bottom="0.75" header="0.3" footer="0.3"/>
  <pageSetup scale="70" fitToHeight="0" orientation="landscape" r:id="rId1"/>
  <headerFooter>
    <oddHeader xml:space="preserve">&amp;R&amp;8Exhibit SCE-29
TO2019A
WP-Schedule 3-One Time Adj Prior Period
Page &amp;P of &amp;N
</oddHeader>
    <oddFooter>&amp;R&amp;A</oddFooter>
  </headerFooter>
  <rowBreaks count="1" manualBreakCount="1">
    <brk id="19" max="5"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T258"/>
  <sheetViews>
    <sheetView zoomScale="120" zoomScaleNormal="120" zoomScalePageLayoutView="80" workbookViewId="0">
      <selection activeCell="A3" sqref="A3"/>
    </sheetView>
  </sheetViews>
  <sheetFormatPr defaultRowHeight="12.75" x14ac:dyDescent="0.2"/>
  <cols>
    <col min="1" max="1" width="6.28515625" style="332" customWidth="1"/>
    <col min="2" max="2" width="8.5703125" style="229" customWidth="1"/>
    <col min="3" max="3" width="9.85546875" style="332" customWidth="1"/>
    <col min="4" max="4" width="51.5703125" style="229" customWidth="1"/>
    <col min="5" max="5" width="16.28515625" style="328" customWidth="1"/>
    <col min="6" max="6" width="16.140625" style="328" customWidth="1"/>
    <col min="7" max="7" width="18.42578125" style="328" customWidth="1"/>
    <col min="8" max="8" width="15.85546875" style="329" bestFit="1" customWidth="1"/>
    <col min="9" max="9" width="16.85546875" style="329" bestFit="1" customWidth="1"/>
    <col min="10" max="10" width="15.7109375" style="328" customWidth="1"/>
    <col min="11" max="11" width="6.5703125" style="330" customWidth="1"/>
    <col min="12" max="12" width="16.42578125" style="331" customWidth="1"/>
    <col min="13" max="13" width="17.140625" style="287" bestFit="1" customWidth="1"/>
    <col min="14" max="14" width="18.42578125" style="328" bestFit="1" customWidth="1"/>
    <col min="15" max="15" width="8.5703125" style="287" customWidth="1"/>
    <col min="16" max="16384" width="9.140625" style="63"/>
  </cols>
  <sheetData>
    <row r="1" spans="1:15" x14ac:dyDescent="0.2">
      <c r="A1" s="232"/>
      <c r="B1" s="233" t="s">
        <v>271</v>
      </c>
      <c r="C1" s="234" t="s">
        <v>275</v>
      </c>
      <c r="D1" s="233" t="s">
        <v>280</v>
      </c>
      <c r="E1" s="234" t="s">
        <v>425</v>
      </c>
      <c r="F1" s="233" t="s">
        <v>281</v>
      </c>
      <c r="G1" s="234" t="s">
        <v>433</v>
      </c>
      <c r="H1" s="233" t="s">
        <v>428</v>
      </c>
      <c r="I1" s="234" t="s">
        <v>429</v>
      </c>
      <c r="J1" s="233" t="s">
        <v>441</v>
      </c>
      <c r="K1" s="234" t="s">
        <v>442</v>
      </c>
      <c r="L1" s="233" t="s">
        <v>443</v>
      </c>
      <c r="M1" s="234" t="s">
        <v>444</v>
      </c>
      <c r="N1" s="233" t="s">
        <v>445</v>
      </c>
      <c r="O1" s="234" t="s">
        <v>446</v>
      </c>
    </row>
    <row r="2" spans="1:15" x14ac:dyDescent="0.2">
      <c r="A2" s="235"/>
      <c r="B2" s="236"/>
      <c r="C2" s="236"/>
      <c r="D2" s="236"/>
      <c r="E2" s="237"/>
      <c r="F2" s="237"/>
      <c r="G2" s="541" t="s">
        <v>447</v>
      </c>
      <c r="H2" s="542"/>
      <c r="I2" s="543"/>
      <c r="J2" s="541" t="s">
        <v>448</v>
      </c>
      <c r="K2" s="542"/>
      <c r="L2" s="542"/>
      <c r="M2" s="543"/>
      <c r="N2" s="238" t="s">
        <v>449</v>
      </c>
      <c r="O2" s="235"/>
    </row>
    <row r="3" spans="1:15" ht="25.5" x14ac:dyDescent="0.2">
      <c r="A3" s="239" t="s">
        <v>277</v>
      </c>
      <c r="B3" s="289" t="s">
        <v>450</v>
      </c>
      <c r="C3" s="241" t="s">
        <v>451</v>
      </c>
      <c r="D3" s="289" t="s">
        <v>452</v>
      </c>
      <c r="E3" s="242" t="s">
        <v>453</v>
      </c>
      <c r="F3" s="243" t="s">
        <v>454</v>
      </c>
      <c r="G3" s="243" t="s">
        <v>285</v>
      </c>
      <c r="H3" s="244" t="s">
        <v>455</v>
      </c>
      <c r="I3" s="244" t="s">
        <v>456</v>
      </c>
      <c r="J3" s="242" t="s">
        <v>285</v>
      </c>
      <c r="K3" s="245" t="s">
        <v>457</v>
      </c>
      <c r="L3" s="246" t="s">
        <v>458</v>
      </c>
      <c r="M3" s="247" t="s">
        <v>421</v>
      </c>
      <c r="N3" s="242" t="s">
        <v>285</v>
      </c>
      <c r="O3" s="247" t="s">
        <v>42</v>
      </c>
    </row>
    <row r="4" spans="1:15" x14ac:dyDescent="0.2">
      <c r="A4" s="248" t="s">
        <v>459</v>
      </c>
      <c r="B4" s="249">
        <v>450</v>
      </c>
      <c r="C4" s="249" t="s">
        <v>460</v>
      </c>
      <c r="D4" s="250" t="s">
        <v>461</v>
      </c>
      <c r="E4" s="285">
        <v>5497689.6799999997</v>
      </c>
      <c r="F4" s="252" t="str">
        <f>$G$2</f>
        <v>Traditional OOR</v>
      </c>
      <c r="G4" s="252">
        <f>IF(F4=$G$2,E4,0)</f>
        <v>5497689.6799999997</v>
      </c>
      <c r="H4" s="256">
        <v>0</v>
      </c>
      <c r="I4" s="465">
        <f>G4-H4</f>
        <v>5497689.6799999997</v>
      </c>
      <c r="J4" s="252">
        <f>IF(F4=$J$2,E4,0)</f>
        <v>0</v>
      </c>
      <c r="K4" s="364"/>
      <c r="L4" s="285"/>
      <c r="M4" s="466">
        <f>J4-L4</f>
        <v>0</v>
      </c>
      <c r="N4" s="252">
        <f>IF(F4=$N$2,E4,0)</f>
        <v>0</v>
      </c>
      <c r="O4" s="256">
        <v>1</v>
      </c>
    </row>
    <row r="5" spans="1:15" x14ac:dyDescent="0.2">
      <c r="A5" s="257" t="s">
        <v>462</v>
      </c>
      <c r="B5" s="249">
        <v>450</v>
      </c>
      <c r="C5" s="258" t="s">
        <v>463</v>
      </c>
      <c r="D5" s="250" t="s">
        <v>464</v>
      </c>
      <c r="E5" s="285">
        <v>10731848.529999999</v>
      </c>
      <c r="F5" s="252" t="str">
        <f>$G$2</f>
        <v>Traditional OOR</v>
      </c>
      <c r="G5" s="252">
        <f>IF(F5=$G$2,E5,0)</f>
        <v>10731848.529999999</v>
      </c>
      <c r="H5" s="256">
        <v>0</v>
      </c>
      <c r="I5" s="465">
        <f>G5-H5</f>
        <v>10731848.529999999</v>
      </c>
      <c r="J5" s="252">
        <f>IF(F5=$J$2,E5,0)</f>
        <v>0</v>
      </c>
      <c r="K5" s="364"/>
      <c r="L5" s="285"/>
      <c r="M5" s="466">
        <f>J5-L5</f>
        <v>0</v>
      </c>
      <c r="N5" s="252">
        <f>IF(F5=$N$2,E5,0)</f>
        <v>0</v>
      </c>
      <c r="O5" s="259">
        <v>1</v>
      </c>
    </row>
    <row r="6" spans="1:15" x14ac:dyDescent="0.2">
      <c r="A6" s="257" t="s">
        <v>465</v>
      </c>
      <c r="B6" s="249">
        <v>450</v>
      </c>
      <c r="C6" s="258" t="s">
        <v>466</v>
      </c>
      <c r="D6" s="250" t="s">
        <v>467</v>
      </c>
      <c r="E6" s="467">
        <v>0</v>
      </c>
      <c r="F6" s="252" t="str">
        <f>$G$2</f>
        <v>Traditional OOR</v>
      </c>
      <c r="G6" s="252">
        <f>IF(F6=$G$2,E6,0)</f>
        <v>0</v>
      </c>
      <c r="H6" s="256">
        <v>0</v>
      </c>
      <c r="I6" s="465">
        <f>G6-H6</f>
        <v>0</v>
      </c>
      <c r="J6" s="252">
        <f>IF(F6=$J$2,E6,0)</f>
        <v>0</v>
      </c>
      <c r="K6" s="364"/>
      <c r="L6" s="285"/>
      <c r="M6" s="466">
        <f>J6-L6</f>
        <v>0</v>
      </c>
      <c r="N6" s="252">
        <f>IF(F6=$N$2,E6,0)</f>
        <v>0</v>
      </c>
      <c r="O6" s="259">
        <v>1</v>
      </c>
    </row>
    <row r="7" spans="1:15" x14ac:dyDescent="0.2">
      <c r="A7" s="261"/>
      <c r="B7" s="262"/>
      <c r="C7" s="263"/>
      <c r="D7" s="264"/>
      <c r="E7" s="265"/>
      <c r="F7" s="265"/>
      <c r="G7" s="285"/>
      <c r="H7" s="267"/>
      <c r="I7" s="318"/>
      <c r="J7" s="285"/>
      <c r="K7" s="468"/>
      <c r="L7" s="285"/>
      <c r="M7" s="318"/>
      <c r="N7" s="285"/>
      <c r="O7" s="267"/>
    </row>
    <row r="8" spans="1:15" x14ac:dyDescent="0.2">
      <c r="A8" s="261"/>
      <c r="B8" s="262"/>
      <c r="C8" s="263"/>
      <c r="D8" s="264"/>
      <c r="E8" s="265"/>
      <c r="F8" s="265"/>
      <c r="G8" s="285"/>
      <c r="H8" s="267"/>
      <c r="I8" s="318"/>
      <c r="J8" s="285"/>
      <c r="K8" s="468"/>
      <c r="L8" s="285"/>
      <c r="M8" s="318"/>
      <c r="N8" s="285"/>
      <c r="O8" s="267"/>
    </row>
    <row r="9" spans="1:15" x14ac:dyDescent="0.2">
      <c r="A9" s="257">
        <v>2</v>
      </c>
      <c r="B9" s="534" t="s">
        <v>468</v>
      </c>
      <c r="C9" s="526"/>
      <c r="D9" s="527"/>
      <c r="E9" s="313">
        <f>SUM(E4:E8)</f>
        <v>16229538.209999999</v>
      </c>
      <c r="F9" s="269"/>
      <c r="G9" s="313">
        <f>SUM(G4:G8)</f>
        <v>16229538.209999999</v>
      </c>
      <c r="H9" s="234">
        <f>SUM(H4:H8)</f>
        <v>0</v>
      </c>
      <c r="I9" s="469">
        <f>SUM(I4:I8)</f>
        <v>16229538.209999999</v>
      </c>
      <c r="J9" s="313">
        <f>SUM(J4:J8)</f>
        <v>0</v>
      </c>
      <c r="K9" s="269"/>
      <c r="L9" s="313">
        <f>SUM(L4:L8)</f>
        <v>0</v>
      </c>
      <c r="M9" s="313">
        <f>SUM(M4:M8)</f>
        <v>0</v>
      </c>
      <c r="N9" s="313">
        <f>SUM(N4:N8)</f>
        <v>0</v>
      </c>
      <c r="O9" s="259"/>
    </row>
    <row r="10" spans="1:15" ht="12.75" customHeight="1" x14ac:dyDescent="0.2">
      <c r="A10" s="257">
        <v>3</v>
      </c>
      <c r="B10" s="535" t="s">
        <v>469</v>
      </c>
      <c r="C10" s="536"/>
      <c r="D10" s="537"/>
      <c r="E10" s="317">
        <v>16229538</v>
      </c>
      <c r="F10" s="274"/>
      <c r="G10" s="275"/>
      <c r="H10" s="274"/>
      <c r="I10" s="274"/>
      <c r="J10" s="275"/>
      <c r="K10" s="274"/>
      <c r="L10" s="275"/>
      <c r="M10" s="275"/>
      <c r="N10" s="275"/>
      <c r="O10" s="276"/>
    </row>
    <row r="11" spans="1:15" x14ac:dyDescent="0.2">
      <c r="A11" s="277"/>
      <c r="B11" s="278"/>
      <c r="C11" s="279"/>
      <c r="D11" s="280"/>
      <c r="E11" s="275"/>
      <c r="F11" s="275"/>
      <c r="G11" s="275"/>
      <c r="H11" s="274"/>
      <c r="I11" s="274"/>
      <c r="J11" s="275"/>
      <c r="K11" s="274"/>
      <c r="L11" s="275"/>
      <c r="M11" s="275"/>
      <c r="N11" s="275"/>
      <c r="O11" s="276"/>
    </row>
    <row r="12" spans="1:15" x14ac:dyDescent="0.2">
      <c r="A12" s="257" t="s">
        <v>470</v>
      </c>
      <c r="B12" s="249">
        <v>451</v>
      </c>
      <c r="C12" s="258" t="s">
        <v>471</v>
      </c>
      <c r="D12" s="250" t="s">
        <v>472</v>
      </c>
      <c r="E12" s="285">
        <v>141269.32999999999</v>
      </c>
      <c r="F12" s="252" t="str">
        <f t="shared" ref="F12:F18" si="0">$G$2</f>
        <v>Traditional OOR</v>
      </c>
      <c r="G12" s="252">
        <f t="shared" ref="G12:G28" si="1">IF(F12=$G$2,E12,0)</f>
        <v>141269.32999999999</v>
      </c>
      <c r="H12" s="256">
        <v>0</v>
      </c>
      <c r="I12" s="465">
        <f t="shared" ref="I12:I28" si="2">G12-H12</f>
        <v>141269.32999999999</v>
      </c>
      <c r="J12" s="252">
        <f t="shared" ref="J12:J28" si="3">IF(F12=$J$2,E12,0)</f>
        <v>0</v>
      </c>
      <c r="K12" s="252"/>
      <c r="L12" s="318"/>
      <c r="M12" s="466">
        <f t="shared" ref="M12:M18" si="4">J12-L12</f>
        <v>0</v>
      </c>
      <c r="N12" s="252">
        <f t="shared" ref="N12:N28" si="5">IF(F12=$N$2,E12,0)</f>
        <v>0</v>
      </c>
      <c r="O12" s="259">
        <v>1</v>
      </c>
    </row>
    <row r="13" spans="1:15" x14ac:dyDescent="0.2">
      <c r="A13" s="257" t="s">
        <v>473</v>
      </c>
      <c r="B13" s="249">
        <v>451</v>
      </c>
      <c r="C13" s="258" t="s">
        <v>474</v>
      </c>
      <c r="D13" s="250" t="s">
        <v>475</v>
      </c>
      <c r="E13" s="285">
        <v>581923.03</v>
      </c>
      <c r="F13" s="252" t="str">
        <f t="shared" si="0"/>
        <v>Traditional OOR</v>
      </c>
      <c r="G13" s="252">
        <f t="shared" si="1"/>
        <v>581923.03</v>
      </c>
      <c r="H13" s="256">
        <v>0</v>
      </c>
      <c r="I13" s="465">
        <f t="shared" si="2"/>
        <v>581923.03</v>
      </c>
      <c r="J13" s="252">
        <f t="shared" si="3"/>
        <v>0</v>
      </c>
      <c r="K13" s="252"/>
      <c r="L13" s="318"/>
      <c r="M13" s="466">
        <f t="shared" si="4"/>
        <v>0</v>
      </c>
      <c r="N13" s="252">
        <f t="shared" si="5"/>
        <v>0</v>
      </c>
      <c r="O13" s="259">
        <v>1</v>
      </c>
    </row>
    <row r="14" spans="1:15" x14ac:dyDescent="0.2">
      <c r="A14" s="257" t="s">
        <v>476</v>
      </c>
      <c r="B14" s="249">
        <v>451</v>
      </c>
      <c r="C14" s="258" t="s">
        <v>477</v>
      </c>
      <c r="D14" s="250" t="s">
        <v>478</v>
      </c>
      <c r="E14" s="285">
        <v>124032620</v>
      </c>
      <c r="F14" s="252" t="str">
        <f t="shared" si="0"/>
        <v>Traditional OOR</v>
      </c>
      <c r="G14" s="252">
        <f t="shared" si="1"/>
        <v>124032620</v>
      </c>
      <c r="H14" s="256">
        <v>0</v>
      </c>
      <c r="I14" s="465">
        <f t="shared" si="2"/>
        <v>124032620</v>
      </c>
      <c r="J14" s="252">
        <f t="shared" si="3"/>
        <v>0</v>
      </c>
      <c r="K14" s="252"/>
      <c r="L14" s="318"/>
      <c r="M14" s="466">
        <f t="shared" si="4"/>
        <v>0</v>
      </c>
      <c r="N14" s="252">
        <f t="shared" si="5"/>
        <v>0</v>
      </c>
      <c r="O14" s="259">
        <v>1</v>
      </c>
    </row>
    <row r="15" spans="1:15" x14ac:dyDescent="0.2">
      <c r="A15" s="257" t="s">
        <v>479</v>
      </c>
      <c r="B15" s="249">
        <v>451</v>
      </c>
      <c r="C15" s="258" t="s">
        <v>480</v>
      </c>
      <c r="D15" s="250" t="s">
        <v>481</v>
      </c>
      <c r="E15" s="285">
        <v>1330081.08</v>
      </c>
      <c r="F15" s="252" t="str">
        <f t="shared" si="0"/>
        <v>Traditional OOR</v>
      </c>
      <c r="G15" s="252">
        <f t="shared" si="1"/>
        <v>1330081.08</v>
      </c>
      <c r="H15" s="256">
        <v>0</v>
      </c>
      <c r="I15" s="465">
        <f t="shared" si="2"/>
        <v>1330081.08</v>
      </c>
      <c r="J15" s="252">
        <f t="shared" si="3"/>
        <v>0</v>
      </c>
      <c r="K15" s="252"/>
      <c r="L15" s="318"/>
      <c r="M15" s="466">
        <f t="shared" si="4"/>
        <v>0</v>
      </c>
      <c r="N15" s="252">
        <f t="shared" si="5"/>
        <v>0</v>
      </c>
      <c r="O15" s="259">
        <v>1</v>
      </c>
    </row>
    <row r="16" spans="1:15" x14ac:dyDescent="0.2">
      <c r="A16" s="257" t="s">
        <v>482</v>
      </c>
      <c r="B16" s="249">
        <v>451</v>
      </c>
      <c r="C16" s="258" t="s">
        <v>483</v>
      </c>
      <c r="D16" s="250" t="s">
        <v>484</v>
      </c>
      <c r="E16" s="285">
        <v>6930.92</v>
      </c>
      <c r="F16" s="252" t="str">
        <f t="shared" si="0"/>
        <v>Traditional OOR</v>
      </c>
      <c r="G16" s="252">
        <f t="shared" si="1"/>
        <v>6930.92</v>
      </c>
      <c r="H16" s="256">
        <v>0</v>
      </c>
      <c r="I16" s="465">
        <f t="shared" si="2"/>
        <v>6930.92</v>
      </c>
      <c r="J16" s="252">
        <f t="shared" si="3"/>
        <v>0</v>
      </c>
      <c r="K16" s="252"/>
      <c r="L16" s="318"/>
      <c r="M16" s="466">
        <f t="shared" si="4"/>
        <v>0</v>
      </c>
      <c r="N16" s="252">
        <f t="shared" si="5"/>
        <v>0</v>
      </c>
      <c r="O16" s="259">
        <v>1</v>
      </c>
    </row>
    <row r="17" spans="1:15" x14ac:dyDescent="0.2">
      <c r="A17" s="257" t="s">
        <v>485</v>
      </c>
      <c r="B17" s="249">
        <v>451</v>
      </c>
      <c r="C17" s="258" t="s">
        <v>486</v>
      </c>
      <c r="D17" s="250" t="s">
        <v>487</v>
      </c>
      <c r="E17" s="285">
        <v>-41.12</v>
      </c>
      <c r="F17" s="252" t="str">
        <f t="shared" si="0"/>
        <v>Traditional OOR</v>
      </c>
      <c r="G17" s="252">
        <f t="shared" si="1"/>
        <v>-41.12</v>
      </c>
      <c r="H17" s="256">
        <v>0</v>
      </c>
      <c r="I17" s="465">
        <f t="shared" si="2"/>
        <v>-41.12</v>
      </c>
      <c r="J17" s="252">
        <f t="shared" si="3"/>
        <v>0</v>
      </c>
      <c r="K17" s="252"/>
      <c r="L17" s="318"/>
      <c r="M17" s="466">
        <f t="shared" si="4"/>
        <v>0</v>
      </c>
      <c r="N17" s="252">
        <f t="shared" si="5"/>
        <v>0</v>
      </c>
      <c r="O17" s="259">
        <v>1</v>
      </c>
    </row>
    <row r="18" spans="1:15" x14ac:dyDescent="0.2">
      <c r="A18" s="257" t="s">
        <v>488</v>
      </c>
      <c r="B18" s="249">
        <v>451</v>
      </c>
      <c r="C18" s="258" t="s">
        <v>489</v>
      </c>
      <c r="D18" s="250" t="s">
        <v>490</v>
      </c>
      <c r="E18" s="285">
        <v>34</v>
      </c>
      <c r="F18" s="252" t="str">
        <f t="shared" si="0"/>
        <v>Traditional OOR</v>
      </c>
      <c r="G18" s="252">
        <f t="shared" si="1"/>
        <v>34</v>
      </c>
      <c r="H18" s="256">
        <v>0</v>
      </c>
      <c r="I18" s="465">
        <f t="shared" si="2"/>
        <v>34</v>
      </c>
      <c r="J18" s="252">
        <f t="shared" si="3"/>
        <v>0</v>
      </c>
      <c r="K18" s="252"/>
      <c r="L18" s="318"/>
      <c r="M18" s="466">
        <f t="shared" si="4"/>
        <v>0</v>
      </c>
      <c r="N18" s="252">
        <f t="shared" si="5"/>
        <v>0</v>
      </c>
      <c r="O18" s="259">
        <v>1</v>
      </c>
    </row>
    <row r="19" spans="1:15" x14ac:dyDescent="0.2">
      <c r="A19" s="257" t="s">
        <v>491</v>
      </c>
      <c r="B19" s="249">
        <v>451</v>
      </c>
      <c r="C19" s="258" t="s">
        <v>492</v>
      </c>
      <c r="D19" s="250" t="s">
        <v>493</v>
      </c>
      <c r="E19" s="285">
        <v>60.7</v>
      </c>
      <c r="F19" s="252" t="str">
        <f>$J$2</f>
        <v>GRSM</v>
      </c>
      <c r="G19" s="252">
        <f t="shared" si="1"/>
        <v>0</v>
      </c>
      <c r="H19" s="256">
        <v>0</v>
      </c>
      <c r="I19" s="465">
        <f t="shared" si="2"/>
        <v>0</v>
      </c>
      <c r="J19" s="252">
        <f t="shared" si="3"/>
        <v>60.7</v>
      </c>
      <c r="K19" s="470" t="s">
        <v>494</v>
      </c>
      <c r="L19" s="318">
        <v>14.544864913970001</v>
      </c>
      <c r="M19" s="466">
        <f>J19-L19</f>
        <v>46.15513508603</v>
      </c>
      <c r="N19" s="252">
        <f t="shared" si="5"/>
        <v>0</v>
      </c>
      <c r="O19" s="259">
        <v>2</v>
      </c>
    </row>
    <row r="20" spans="1:15" x14ac:dyDescent="0.2">
      <c r="A20" s="257" t="s">
        <v>495</v>
      </c>
      <c r="B20" s="249">
        <v>451</v>
      </c>
      <c r="C20" s="258" t="s">
        <v>496</v>
      </c>
      <c r="D20" s="250" t="s">
        <v>497</v>
      </c>
      <c r="E20" s="285">
        <v>329733.03000000003</v>
      </c>
      <c r="F20" s="252" t="str">
        <f>$N$2</f>
        <v>Other Ratemaking</v>
      </c>
      <c r="G20" s="252">
        <f t="shared" si="1"/>
        <v>0</v>
      </c>
      <c r="H20" s="256">
        <v>0</v>
      </c>
      <c r="I20" s="465">
        <f t="shared" si="2"/>
        <v>0</v>
      </c>
      <c r="J20" s="252">
        <f t="shared" si="3"/>
        <v>0</v>
      </c>
      <c r="K20" s="252"/>
      <c r="L20" s="318"/>
      <c r="M20" s="466">
        <f>J20-L20</f>
        <v>0</v>
      </c>
      <c r="N20" s="252">
        <f t="shared" si="5"/>
        <v>329733.03000000003</v>
      </c>
      <c r="O20" s="259">
        <v>6</v>
      </c>
    </row>
    <row r="21" spans="1:15" x14ac:dyDescent="0.2">
      <c r="A21" s="248" t="s">
        <v>498</v>
      </c>
      <c r="B21" s="249">
        <v>451</v>
      </c>
      <c r="C21" s="249">
        <v>4182120</v>
      </c>
      <c r="D21" s="282" t="s">
        <v>499</v>
      </c>
      <c r="E21" s="285">
        <v>2586.79</v>
      </c>
      <c r="F21" s="252" t="s">
        <v>447</v>
      </c>
      <c r="G21" s="252">
        <f t="shared" si="1"/>
        <v>2586.79</v>
      </c>
      <c r="H21" s="256">
        <v>0</v>
      </c>
      <c r="I21" s="465">
        <f t="shared" si="2"/>
        <v>2586.79</v>
      </c>
      <c r="J21" s="252">
        <f t="shared" si="3"/>
        <v>0</v>
      </c>
      <c r="K21" s="252"/>
      <c r="L21" s="318"/>
      <c r="M21" s="465">
        <f t="shared" ref="M21:M28" si="6">J21-L21</f>
        <v>0</v>
      </c>
      <c r="N21" s="252">
        <f t="shared" si="5"/>
        <v>0</v>
      </c>
      <c r="O21" s="256">
        <v>1</v>
      </c>
    </row>
    <row r="22" spans="1:15" x14ac:dyDescent="0.2">
      <c r="A22" s="248" t="s">
        <v>500</v>
      </c>
      <c r="B22" s="249">
        <v>451</v>
      </c>
      <c r="C22" s="249">
        <v>4192152</v>
      </c>
      <c r="D22" s="282" t="s">
        <v>501</v>
      </c>
      <c r="E22" s="285">
        <v>1770</v>
      </c>
      <c r="F22" s="252" t="s">
        <v>449</v>
      </c>
      <c r="G22" s="252">
        <f t="shared" si="1"/>
        <v>0</v>
      </c>
      <c r="H22" s="256">
        <v>0</v>
      </c>
      <c r="I22" s="465">
        <f t="shared" si="2"/>
        <v>0</v>
      </c>
      <c r="J22" s="252">
        <f t="shared" si="3"/>
        <v>0</v>
      </c>
      <c r="K22" s="252"/>
      <c r="L22" s="318"/>
      <c r="M22" s="465">
        <f t="shared" si="6"/>
        <v>0</v>
      </c>
      <c r="N22" s="252">
        <f t="shared" si="5"/>
        <v>1770</v>
      </c>
      <c r="O22" s="256">
        <v>1</v>
      </c>
    </row>
    <row r="23" spans="1:15" x14ac:dyDescent="0.2">
      <c r="A23" s="248" t="s">
        <v>502</v>
      </c>
      <c r="B23" s="249">
        <v>451</v>
      </c>
      <c r="C23" s="249">
        <v>4192155</v>
      </c>
      <c r="D23" s="282" t="s">
        <v>503</v>
      </c>
      <c r="E23" s="285">
        <v>65755</v>
      </c>
      <c r="F23" s="252" t="s">
        <v>449</v>
      </c>
      <c r="G23" s="252">
        <f t="shared" si="1"/>
        <v>0</v>
      </c>
      <c r="H23" s="256">
        <v>0</v>
      </c>
      <c r="I23" s="465">
        <f t="shared" si="2"/>
        <v>0</v>
      </c>
      <c r="J23" s="252">
        <f t="shared" si="3"/>
        <v>0</v>
      </c>
      <c r="K23" s="252"/>
      <c r="L23" s="318"/>
      <c r="M23" s="465">
        <f t="shared" si="6"/>
        <v>0</v>
      </c>
      <c r="N23" s="252">
        <f t="shared" si="5"/>
        <v>65755</v>
      </c>
      <c r="O23" s="256">
        <v>1</v>
      </c>
    </row>
    <row r="24" spans="1:15" x14ac:dyDescent="0.2">
      <c r="A24" s="248" t="s">
        <v>504</v>
      </c>
      <c r="B24" s="249">
        <v>451</v>
      </c>
      <c r="C24" s="249">
        <v>4192158</v>
      </c>
      <c r="D24" s="282" t="s">
        <v>505</v>
      </c>
      <c r="E24" s="285">
        <v>50925</v>
      </c>
      <c r="F24" s="252" t="s">
        <v>449</v>
      </c>
      <c r="G24" s="252">
        <f t="shared" si="1"/>
        <v>0</v>
      </c>
      <c r="H24" s="256">
        <v>0</v>
      </c>
      <c r="I24" s="465">
        <f t="shared" si="2"/>
        <v>0</v>
      </c>
      <c r="J24" s="252">
        <f t="shared" si="3"/>
        <v>0</v>
      </c>
      <c r="K24" s="252"/>
      <c r="L24" s="318"/>
      <c r="M24" s="465">
        <f t="shared" si="6"/>
        <v>0</v>
      </c>
      <c r="N24" s="252">
        <f t="shared" si="5"/>
        <v>50925</v>
      </c>
      <c r="O24" s="256">
        <v>1</v>
      </c>
    </row>
    <row r="25" spans="1:15" x14ac:dyDescent="0.2">
      <c r="A25" s="248" t="s">
        <v>506</v>
      </c>
      <c r="B25" s="249">
        <v>451</v>
      </c>
      <c r="C25" s="249">
        <v>4192160</v>
      </c>
      <c r="D25" s="282" t="s">
        <v>507</v>
      </c>
      <c r="E25" s="285">
        <v>464105</v>
      </c>
      <c r="F25" s="252" t="s">
        <v>449</v>
      </c>
      <c r="G25" s="252">
        <f t="shared" si="1"/>
        <v>0</v>
      </c>
      <c r="H25" s="256">
        <v>0</v>
      </c>
      <c r="I25" s="465">
        <f t="shared" si="2"/>
        <v>0</v>
      </c>
      <c r="J25" s="252">
        <f t="shared" si="3"/>
        <v>0</v>
      </c>
      <c r="K25" s="252"/>
      <c r="L25" s="318"/>
      <c r="M25" s="465">
        <f t="shared" si="6"/>
        <v>0</v>
      </c>
      <c r="N25" s="252">
        <f t="shared" si="5"/>
        <v>464105</v>
      </c>
      <c r="O25" s="256">
        <v>1</v>
      </c>
    </row>
    <row r="26" spans="1:15" x14ac:dyDescent="0.2">
      <c r="A26" s="248" t="s">
        <v>508</v>
      </c>
      <c r="B26" s="249">
        <v>451</v>
      </c>
      <c r="C26" s="249">
        <v>4192135</v>
      </c>
      <c r="D26" s="283" t="s">
        <v>509</v>
      </c>
      <c r="E26" s="285">
        <v>5808216.8099999996</v>
      </c>
      <c r="F26" s="252" t="s">
        <v>447</v>
      </c>
      <c r="G26" s="252">
        <f t="shared" si="1"/>
        <v>5808216.8099999996</v>
      </c>
      <c r="H26" s="256">
        <v>0</v>
      </c>
      <c r="I26" s="465">
        <f t="shared" si="2"/>
        <v>5808216.8099999996</v>
      </c>
      <c r="J26" s="252">
        <f t="shared" si="3"/>
        <v>0</v>
      </c>
      <c r="K26" s="252"/>
      <c r="L26" s="318"/>
      <c r="M26" s="465">
        <f t="shared" si="6"/>
        <v>0</v>
      </c>
      <c r="N26" s="252">
        <f t="shared" si="5"/>
        <v>0</v>
      </c>
      <c r="O26" s="256">
        <v>1</v>
      </c>
    </row>
    <row r="27" spans="1:15" x14ac:dyDescent="0.2">
      <c r="A27" s="248" t="s">
        <v>510</v>
      </c>
      <c r="B27" s="249">
        <v>451</v>
      </c>
      <c r="C27" s="249">
        <v>4192145</v>
      </c>
      <c r="D27" s="283" t="s">
        <v>511</v>
      </c>
      <c r="E27" s="285">
        <v>2197297.34</v>
      </c>
      <c r="F27" s="252" t="s">
        <v>447</v>
      </c>
      <c r="G27" s="252">
        <f t="shared" si="1"/>
        <v>2197297.34</v>
      </c>
      <c r="H27" s="256">
        <v>0</v>
      </c>
      <c r="I27" s="465">
        <f t="shared" si="2"/>
        <v>2197297.34</v>
      </c>
      <c r="J27" s="252">
        <f t="shared" si="3"/>
        <v>0</v>
      </c>
      <c r="K27" s="252"/>
      <c r="L27" s="318"/>
      <c r="M27" s="465">
        <f t="shared" si="6"/>
        <v>0</v>
      </c>
      <c r="N27" s="252">
        <f t="shared" si="5"/>
        <v>0</v>
      </c>
      <c r="O27" s="256">
        <v>1</v>
      </c>
    </row>
    <row r="28" spans="1:15" x14ac:dyDescent="0.2">
      <c r="A28" s="248" t="s">
        <v>512</v>
      </c>
      <c r="B28" s="249">
        <v>451</v>
      </c>
      <c r="C28" s="249">
        <v>4192150</v>
      </c>
      <c r="D28" s="283" t="s">
        <v>513</v>
      </c>
      <c r="E28" s="285">
        <v>20731.88</v>
      </c>
      <c r="F28" s="252" t="s">
        <v>447</v>
      </c>
      <c r="G28" s="252">
        <f t="shared" si="1"/>
        <v>20731.88</v>
      </c>
      <c r="H28" s="256">
        <v>0</v>
      </c>
      <c r="I28" s="465">
        <f t="shared" si="2"/>
        <v>20731.88</v>
      </c>
      <c r="J28" s="252">
        <f t="shared" si="3"/>
        <v>0</v>
      </c>
      <c r="K28" s="252"/>
      <c r="L28" s="318"/>
      <c r="M28" s="465">
        <f t="shared" si="6"/>
        <v>0</v>
      </c>
      <c r="N28" s="252">
        <f t="shared" si="5"/>
        <v>0</v>
      </c>
      <c r="O28" s="256">
        <v>1</v>
      </c>
    </row>
    <row r="29" spans="1:15" x14ac:dyDescent="0.2">
      <c r="A29" s="261"/>
      <c r="B29" s="262"/>
      <c r="C29" s="262"/>
      <c r="D29" s="284"/>
      <c r="E29" s="285"/>
      <c r="F29" s="285"/>
      <c r="G29" s="285"/>
      <c r="H29" s="267"/>
      <c r="I29" s="318"/>
      <c r="J29" s="285"/>
      <c r="K29" s="285"/>
      <c r="L29" s="318"/>
      <c r="M29" s="318"/>
      <c r="N29" s="285"/>
      <c r="O29" s="267"/>
    </row>
    <row r="30" spans="1:15" x14ac:dyDescent="0.2">
      <c r="A30" s="261"/>
      <c r="B30" s="262"/>
      <c r="C30" s="263"/>
      <c r="D30" s="284"/>
      <c r="E30" s="285"/>
      <c r="F30" s="285"/>
      <c r="G30" s="468"/>
      <c r="H30" s="267"/>
      <c r="I30" s="318"/>
      <c r="J30" s="285"/>
      <c r="K30" s="285"/>
      <c r="L30" s="318"/>
      <c r="M30" s="318"/>
      <c r="N30" s="285"/>
      <c r="O30" s="267"/>
    </row>
    <row r="31" spans="1:15" x14ac:dyDescent="0.2">
      <c r="A31" s="257">
        <v>5</v>
      </c>
      <c r="B31" s="534" t="s">
        <v>514</v>
      </c>
      <c r="C31" s="526"/>
      <c r="D31" s="527"/>
      <c r="E31" s="313">
        <f>SUM(E12:E30)</f>
        <v>135033998.78999999</v>
      </c>
      <c r="F31" s="269"/>
      <c r="G31" s="313">
        <f>SUM(G12:G30)</f>
        <v>134121650.06</v>
      </c>
      <c r="H31" s="234">
        <f>SUM(H12:H30)</f>
        <v>0</v>
      </c>
      <c r="I31" s="469">
        <f>SUM(I12:I30)</f>
        <v>134121650.06</v>
      </c>
      <c r="J31" s="313">
        <f>SUM(J12:J30)</f>
        <v>60.7</v>
      </c>
      <c r="K31" s="269"/>
      <c r="L31" s="313">
        <f>SUM(L12:L30)</f>
        <v>14.544864913970001</v>
      </c>
      <c r="M31" s="313">
        <f>SUM(M12:M30)</f>
        <v>46.15513508603</v>
      </c>
      <c r="N31" s="313">
        <f>SUM(N12:N30)</f>
        <v>912288.03</v>
      </c>
      <c r="O31" s="259"/>
    </row>
    <row r="32" spans="1:15" ht="25.5" customHeight="1" x14ac:dyDescent="0.2">
      <c r="A32" s="257">
        <v>6</v>
      </c>
      <c r="B32" s="535" t="s">
        <v>515</v>
      </c>
      <c r="C32" s="536"/>
      <c r="D32" s="537"/>
      <c r="E32" s="317">
        <v>135033999</v>
      </c>
      <c r="F32" s="274"/>
      <c r="G32" s="275"/>
      <c r="H32" s="286"/>
      <c r="I32" s="286"/>
      <c r="J32" s="275"/>
      <c r="K32" s="274"/>
      <c r="L32" s="275"/>
      <c r="M32" s="275"/>
      <c r="N32" s="275"/>
    </row>
    <row r="33" spans="1:15" x14ac:dyDescent="0.2">
      <c r="A33" s="288"/>
      <c r="B33" s="278"/>
      <c r="C33" s="279"/>
      <c r="D33" s="280"/>
      <c r="E33" s="275"/>
      <c r="F33" s="275"/>
      <c r="G33" s="275"/>
      <c r="H33" s="286"/>
      <c r="I33" s="286"/>
      <c r="J33" s="275"/>
      <c r="K33" s="274"/>
      <c r="L33" s="275"/>
      <c r="M33" s="275"/>
      <c r="N33" s="275"/>
    </row>
    <row r="34" spans="1:15" x14ac:dyDescent="0.2">
      <c r="A34" s="257" t="s">
        <v>516</v>
      </c>
      <c r="B34" s="249">
        <v>453</v>
      </c>
      <c r="C34" s="258" t="s">
        <v>517</v>
      </c>
      <c r="D34" s="250" t="s">
        <v>518</v>
      </c>
      <c r="E34" s="285"/>
      <c r="F34" s="252" t="str">
        <f>$G$2</f>
        <v>Traditional OOR</v>
      </c>
      <c r="G34" s="252">
        <f>IF(F34=$G$2,E34,0)</f>
        <v>0</v>
      </c>
      <c r="H34" s="256">
        <v>0</v>
      </c>
      <c r="I34" s="465">
        <f>G34-H34</f>
        <v>0</v>
      </c>
      <c r="J34" s="252">
        <f>IF(F34=$J$2,E34,0)</f>
        <v>0</v>
      </c>
      <c r="K34" s="252"/>
      <c r="L34" s="318"/>
      <c r="M34" s="466">
        <f>J34-L34</f>
        <v>0</v>
      </c>
      <c r="N34" s="252">
        <f>IF(F34=$N$2,E34,0)</f>
        <v>0</v>
      </c>
      <c r="O34" s="259">
        <v>3</v>
      </c>
    </row>
    <row r="35" spans="1:15" x14ac:dyDescent="0.2">
      <c r="A35" s="257" t="s">
        <v>519</v>
      </c>
      <c r="B35" s="249">
        <v>453</v>
      </c>
      <c r="C35" s="258" t="s">
        <v>520</v>
      </c>
      <c r="D35" s="250" t="s">
        <v>521</v>
      </c>
      <c r="E35" s="285"/>
      <c r="F35" s="252" t="str">
        <f>$G$2</f>
        <v>Traditional OOR</v>
      </c>
      <c r="G35" s="252">
        <f>IF(F35=$G$2,E35,0)</f>
        <v>0</v>
      </c>
      <c r="H35" s="256">
        <v>0</v>
      </c>
      <c r="I35" s="465">
        <f>G35-H35</f>
        <v>0</v>
      </c>
      <c r="J35" s="252">
        <f>IF(F35=$J$2,E35,0)</f>
        <v>0</v>
      </c>
      <c r="K35" s="252"/>
      <c r="L35" s="318"/>
      <c r="M35" s="466">
        <f>J35-L35</f>
        <v>0</v>
      </c>
      <c r="N35" s="252">
        <f>IF(F35=$N$2,E35,0)</f>
        <v>0</v>
      </c>
      <c r="O35" s="259">
        <v>3</v>
      </c>
    </row>
    <row r="36" spans="1:15" x14ac:dyDescent="0.2">
      <c r="A36" s="257" t="s">
        <v>522</v>
      </c>
      <c r="B36" s="249">
        <v>453</v>
      </c>
      <c r="C36" s="257" t="s">
        <v>523</v>
      </c>
      <c r="D36" s="250" t="s">
        <v>524</v>
      </c>
      <c r="E36" s="285"/>
      <c r="F36" s="252" t="str">
        <f>$G$2</f>
        <v>Traditional OOR</v>
      </c>
      <c r="G36" s="252">
        <f>IF(F36=$G$2,E36,0)</f>
        <v>0</v>
      </c>
      <c r="H36" s="256">
        <v>0</v>
      </c>
      <c r="I36" s="465">
        <f>G36-H36</f>
        <v>0</v>
      </c>
      <c r="J36" s="252">
        <f>IF(F36=$J$2,E36,0)</f>
        <v>0</v>
      </c>
      <c r="K36" s="252"/>
      <c r="L36" s="318"/>
      <c r="M36" s="466">
        <f>J36-L36</f>
        <v>0</v>
      </c>
      <c r="N36" s="252">
        <f>IF(F36=$N$2,E36,0)</f>
        <v>0</v>
      </c>
      <c r="O36" s="259">
        <v>3</v>
      </c>
    </row>
    <row r="37" spans="1:15" x14ac:dyDescent="0.2">
      <c r="A37" s="261"/>
      <c r="B37" s="262"/>
      <c r="C37" s="263"/>
      <c r="D37" s="264"/>
      <c r="E37" s="285"/>
      <c r="F37" s="285"/>
      <c r="G37" s="468"/>
      <c r="H37" s="267"/>
      <c r="I37" s="318"/>
      <c r="J37" s="285"/>
      <c r="K37" s="285"/>
      <c r="L37" s="318"/>
      <c r="M37" s="318"/>
      <c r="N37" s="285"/>
      <c r="O37" s="267"/>
    </row>
    <row r="38" spans="1:15" x14ac:dyDescent="0.2">
      <c r="A38" s="261"/>
      <c r="B38" s="262"/>
      <c r="C38" s="263"/>
      <c r="D38" s="264"/>
      <c r="E38" s="285"/>
      <c r="F38" s="285"/>
      <c r="G38" s="468"/>
      <c r="H38" s="267"/>
      <c r="I38" s="318"/>
      <c r="J38" s="285"/>
      <c r="K38" s="285"/>
      <c r="L38" s="318"/>
      <c r="M38" s="318"/>
      <c r="N38" s="285"/>
      <c r="O38" s="267"/>
    </row>
    <row r="39" spans="1:15" x14ac:dyDescent="0.2">
      <c r="A39" s="257">
        <v>8</v>
      </c>
      <c r="B39" s="534" t="s">
        <v>525</v>
      </c>
      <c r="C39" s="526"/>
      <c r="D39" s="527"/>
      <c r="E39" s="469">
        <f>SUM(E34:E38)</f>
        <v>0</v>
      </c>
      <c r="F39" s="269"/>
      <c r="G39" s="469">
        <f>SUM(G34:G38)</f>
        <v>0</v>
      </c>
      <c r="H39" s="234">
        <f>SUM(H34:H38)</f>
        <v>0</v>
      </c>
      <c r="I39" s="469">
        <f>SUM(I34:I38)</f>
        <v>0</v>
      </c>
      <c r="J39" s="469">
        <f>SUM(J34:J38)</f>
        <v>0</v>
      </c>
      <c r="K39" s="269"/>
      <c r="L39" s="469">
        <f>SUM(L34:L38)</f>
        <v>0</v>
      </c>
      <c r="M39" s="469">
        <f>SUM(M34:M38)</f>
        <v>0</v>
      </c>
      <c r="N39" s="469">
        <f>SUM(N34:N38)</f>
        <v>0</v>
      </c>
      <c r="O39" s="234"/>
    </row>
    <row r="40" spans="1:15" ht="25.5" customHeight="1" x14ac:dyDescent="0.2">
      <c r="A40" s="257">
        <v>9</v>
      </c>
      <c r="B40" s="544" t="s">
        <v>526</v>
      </c>
      <c r="C40" s="531"/>
      <c r="D40" s="531"/>
      <c r="E40" s="471">
        <v>0</v>
      </c>
      <c r="F40" s="274"/>
      <c r="G40" s="275"/>
      <c r="H40" s="286"/>
      <c r="I40" s="291"/>
      <c r="J40" s="275"/>
      <c r="K40" s="274"/>
      <c r="L40" s="275"/>
      <c r="M40" s="275"/>
      <c r="N40" s="275"/>
      <c r="O40" s="276"/>
    </row>
    <row r="41" spans="1:15" x14ac:dyDescent="0.2">
      <c r="A41" s="277"/>
      <c r="B41" s="278"/>
      <c r="C41" s="279"/>
      <c r="D41" s="280"/>
      <c r="E41" s="275"/>
      <c r="F41" s="275"/>
      <c r="G41" s="275"/>
      <c r="H41" s="286"/>
      <c r="I41" s="291"/>
      <c r="J41" s="275"/>
      <c r="K41" s="274"/>
      <c r="L41" s="275"/>
      <c r="M41" s="275"/>
      <c r="N41" s="275"/>
      <c r="O41" s="276"/>
    </row>
    <row r="42" spans="1:15" x14ac:dyDescent="0.2">
      <c r="A42" s="257" t="s">
        <v>527</v>
      </c>
      <c r="B42" s="249">
        <v>454</v>
      </c>
      <c r="C42" s="250" t="s">
        <v>528</v>
      </c>
      <c r="D42" s="250" t="s">
        <v>529</v>
      </c>
      <c r="E42" s="285">
        <v>519853.4</v>
      </c>
      <c r="F42" s="252" t="str">
        <f t="shared" ref="F42:F47" si="7">$G$2</f>
        <v>Traditional OOR</v>
      </c>
      <c r="G42" s="252">
        <f>IF(F42=$G$2,E42,0)</f>
        <v>519853.4</v>
      </c>
      <c r="H42" s="465">
        <v>0</v>
      </c>
      <c r="I42" s="465">
        <f t="shared" ref="I42:I52" si="8">G42-H42</f>
        <v>519853.4</v>
      </c>
      <c r="J42" s="252">
        <f t="shared" ref="J42:J69" si="9">IF(F42=$J$2,E42,0)</f>
        <v>0</v>
      </c>
      <c r="K42" s="252"/>
      <c r="L42" s="318"/>
      <c r="M42" s="465">
        <f t="shared" ref="M42:M47" si="10">J42-L42</f>
        <v>0</v>
      </c>
      <c r="N42" s="252">
        <f t="shared" ref="N42:N67" si="11">IF(F42=$N$2,E42,0)</f>
        <v>0</v>
      </c>
      <c r="O42" s="256">
        <v>4</v>
      </c>
    </row>
    <row r="43" spans="1:15" x14ac:dyDescent="0.2">
      <c r="A43" s="257" t="s">
        <v>530</v>
      </c>
      <c r="B43" s="249">
        <v>454</v>
      </c>
      <c r="C43" s="258" t="s">
        <v>531</v>
      </c>
      <c r="D43" s="250" t="s">
        <v>532</v>
      </c>
      <c r="E43" s="285">
        <v>3323161.54</v>
      </c>
      <c r="F43" s="252" t="str">
        <f t="shared" si="7"/>
        <v>Traditional OOR</v>
      </c>
      <c r="G43" s="252">
        <f t="shared" ref="G43:G67" si="12">IF(F43=$G$2,E43,0)</f>
        <v>3323161.54</v>
      </c>
      <c r="H43" s="465">
        <v>0</v>
      </c>
      <c r="I43" s="465">
        <f t="shared" si="8"/>
        <v>3323161.54</v>
      </c>
      <c r="J43" s="252">
        <f t="shared" si="9"/>
        <v>0</v>
      </c>
      <c r="K43" s="252"/>
      <c r="L43" s="318"/>
      <c r="M43" s="466">
        <f t="shared" si="10"/>
        <v>0</v>
      </c>
      <c r="N43" s="252">
        <f t="shared" si="11"/>
        <v>0</v>
      </c>
      <c r="O43" s="259">
        <v>4</v>
      </c>
    </row>
    <row r="44" spans="1:15" x14ac:dyDescent="0.2">
      <c r="A44" s="257" t="s">
        <v>533</v>
      </c>
      <c r="B44" s="249">
        <v>454</v>
      </c>
      <c r="C44" s="258" t="s">
        <v>534</v>
      </c>
      <c r="D44" s="250" t="s">
        <v>535</v>
      </c>
      <c r="E44" s="285">
        <v>599120</v>
      </c>
      <c r="F44" s="252" t="str">
        <f t="shared" si="7"/>
        <v>Traditional OOR</v>
      </c>
      <c r="G44" s="252">
        <f t="shared" si="12"/>
        <v>599120</v>
      </c>
      <c r="H44" s="465">
        <v>0</v>
      </c>
      <c r="I44" s="465">
        <f t="shared" si="8"/>
        <v>599120</v>
      </c>
      <c r="J44" s="252">
        <f t="shared" si="9"/>
        <v>0</v>
      </c>
      <c r="K44" s="252"/>
      <c r="L44" s="318"/>
      <c r="M44" s="466">
        <f t="shared" si="10"/>
        <v>0</v>
      </c>
      <c r="N44" s="252">
        <f t="shared" si="11"/>
        <v>0</v>
      </c>
      <c r="O44" s="259">
        <v>4</v>
      </c>
    </row>
    <row r="45" spans="1:15" x14ac:dyDescent="0.2">
      <c r="A45" s="257" t="s">
        <v>536</v>
      </c>
      <c r="B45" s="249">
        <v>454</v>
      </c>
      <c r="C45" s="258" t="s">
        <v>537</v>
      </c>
      <c r="D45" s="250" t="s">
        <v>538</v>
      </c>
      <c r="E45" s="285"/>
      <c r="F45" s="252" t="str">
        <f t="shared" si="7"/>
        <v>Traditional OOR</v>
      </c>
      <c r="G45" s="252">
        <f t="shared" si="12"/>
        <v>0</v>
      </c>
      <c r="H45" s="465">
        <v>0</v>
      </c>
      <c r="I45" s="465">
        <f t="shared" si="8"/>
        <v>0</v>
      </c>
      <c r="J45" s="252">
        <f t="shared" si="9"/>
        <v>0</v>
      </c>
      <c r="K45" s="252"/>
      <c r="L45" s="318"/>
      <c r="M45" s="466">
        <f t="shared" si="10"/>
        <v>0</v>
      </c>
      <c r="N45" s="252">
        <f t="shared" si="11"/>
        <v>0</v>
      </c>
      <c r="O45" s="259">
        <v>4</v>
      </c>
    </row>
    <row r="46" spans="1:15" x14ac:dyDescent="0.2">
      <c r="A46" s="257" t="s">
        <v>539</v>
      </c>
      <c r="B46" s="249">
        <v>454</v>
      </c>
      <c r="C46" s="258" t="s">
        <v>540</v>
      </c>
      <c r="D46" s="250" t="s">
        <v>541</v>
      </c>
      <c r="E46" s="285"/>
      <c r="F46" s="252" t="str">
        <f t="shared" si="7"/>
        <v>Traditional OOR</v>
      </c>
      <c r="G46" s="252">
        <f t="shared" si="12"/>
        <v>0</v>
      </c>
      <c r="H46" s="465">
        <v>0</v>
      </c>
      <c r="I46" s="465">
        <f t="shared" si="8"/>
        <v>0</v>
      </c>
      <c r="J46" s="252">
        <f t="shared" si="9"/>
        <v>0</v>
      </c>
      <c r="K46" s="252"/>
      <c r="L46" s="318"/>
      <c r="M46" s="466">
        <f t="shared" si="10"/>
        <v>0</v>
      </c>
      <c r="N46" s="252">
        <f t="shared" si="11"/>
        <v>0</v>
      </c>
      <c r="O46" s="259">
        <v>4</v>
      </c>
    </row>
    <row r="47" spans="1:15" x14ac:dyDescent="0.2">
      <c r="A47" s="257" t="s">
        <v>542</v>
      </c>
      <c r="B47" s="249">
        <v>454</v>
      </c>
      <c r="C47" s="293">
        <v>4184120</v>
      </c>
      <c r="D47" s="250" t="s">
        <v>543</v>
      </c>
      <c r="E47" s="285">
        <v>421500</v>
      </c>
      <c r="F47" s="252" t="str">
        <f t="shared" si="7"/>
        <v>Traditional OOR</v>
      </c>
      <c r="G47" s="252">
        <f>IF(F47=$G$2,E47,0)</f>
        <v>421500</v>
      </c>
      <c r="H47" s="465">
        <v>0</v>
      </c>
      <c r="I47" s="465">
        <f>G47-H47</f>
        <v>421500</v>
      </c>
      <c r="J47" s="252">
        <f t="shared" si="9"/>
        <v>0</v>
      </c>
      <c r="K47" s="252"/>
      <c r="L47" s="318"/>
      <c r="M47" s="466">
        <f t="shared" si="10"/>
        <v>0</v>
      </c>
      <c r="N47" s="252">
        <f t="shared" si="11"/>
        <v>0</v>
      </c>
      <c r="O47" s="259">
        <v>4</v>
      </c>
    </row>
    <row r="48" spans="1:15" x14ac:dyDescent="0.2">
      <c r="A48" s="257" t="s">
        <v>544</v>
      </c>
      <c r="B48" s="249">
        <v>454</v>
      </c>
      <c r="C48" s="258" t="s">
        <v>545</v>
      </c>
      <c r="D48" s="250" t="s">
        <v>546</v>
      </c>
      <c r="E48" s="285">
        <v>134802.57999999999</v>
      </c>
      <c r="F48" s="252" t="str">
        <f>$J$2</f>
        <v>GRSM</v>
      </c>
      <c r="G48" s="252">
        <f t="shared" si="12"/>
        <v>0</v>
      </c>
      <c r="H48" s="465">
        <v>0</v>
      </c>
      <c r="I48" s="465">
        <f t="shared" si="8"/>
        <v>0</v>
      </c>
      <c r="J48" s="252">
        <f t="shared" si="9"/>
        <v>134802.57999999999</v>
      </c>
      <c r="K48" s="470" t="s">
        <v>494</v>
      </c>
      <c r="L48" s="305">
        <v>28370.1403622213</v>
      </c>
      <c r="M48" s="466">
        <f>J48-L48</f>
        <v>106432.43963777869</v>
      </c>
      <c r="N48" s="252">
        <f t="shared" si="11"/>
        <v>0</v>
      </c>
      <c r="O48" s="259">
        <v>2</v>
      </c>
    </row>
    <row r="49" spans="1:15" x14ac:dyDescent="0.2">
      <c r="A49" s="257" t="s">
        <v>547</v>
      </c>
      <c r="B49" s="249">
        <v>454</v>
      </c>
      <c r="C49" s="258" t="s">
        <v>548</v>
      </c>
      <c r="D49" s="250" t="s">
        <v>549</v>
      </c>
      <c r="E49" s="285">
        <v>43296</v>
      </c>
      <c r="F49" s="252" t="str">
        <f>$J$2</f>
        <v>GRSM</v>
      </c>
      <c r="G49" s="252">
        <f t="shared" si="12"/>
        <v>0</v>
      </c>
      <c r="H49" s="465">
        <v>0</v>
      </c>
      <c r="I49" s="465">
        <f t="shared" si="8"/>
        <v>0</v>
      </c>
      <c r="J49" s="252">
        <f t="shared" si="9"/>
        <v>43296</v>
      </c>
      <c r="K49" s="470" t="s">
        <v>494</v>
      </c>
      <c r="L49" s="305">
        <v>17760</v>
      </c>
      <c r="M49" s="466">
        <f t="shared" ref="M49:M69" si="13">J49-L49</f>
        <v>25536</v>
      </c>
      <c r="N49" s="252">
        <f t="shared" si="11"/>
        <v>0</v>
      </c>
      <c r="O49" s="259">
        <v>2</v>
      </c>
    </row>
    <row r="50" spans="1:15" x14ac:dyDescent="0.2">
      <c r="A50" s="257" t="s">
        <v>550</v>
      </c>
      <c r="B50" s="249">
        <v>454</v>
      </c>
      <c r="C50" s="258" t="s">
        <v>551</v>
      </c>
      <c r="D50" s="250" t="s">
        <v>552</v>
      </c>
      <c r="E50" s="285">
        <v>-640</v>
      </c>
      <c r="F50" s="252" t="str">
        <f>$J$2</f>
        <v>GRSM</v>
      </c>
      <c r="G50" s="252">
        <f t="shared" si="12"/>
        <v>0</v>
      </c>
      <c r="H50" s="465">
        <v>0</v>
      </c>
      <c r="I50" s="465">
        <f t="shared" si="8"/>
        <v>0</v>
      </c>
      <c r="J50" s="252">
        <f t="shared" si="9"/>
        <v>-640</v>
      </c>
      <c r="K50" s="470" t="s">
        <v>494</v>
      </c>
      <c r="L50" s="305">
        <v>-464.95325033466997</v>
      </c>
      <c r="M50" s="466">
        <f t="shared" si="13"/>
        <v>-175.04674966533003</v>
      </c>
      <c r="N50" s="252">
        <f t="shared" si="11"/>
        <v>0</v>
      </c>
      <c r="O50" s="259">
        <v>2</v>
      </c>
    </row>
    <row r="51" spans="1:15" x14ac:dyDescent="0.2">
      <c r="A51" s="257" t="s">
        <v>553</v>
      </c>
      <c r="B51" s="249">
        <v>454</v>
      </c>
      <c r="C51" s="293" t="s">
        <v>554</v>
      </c>
      <c r="D51" s="250" t="s">
        <v>555</v>
      </c>
      <c r="E51" s="285">
        <v>9989.65</v>
      </c>
      <c r="F51" s="252" t="str">
        <f>$J$2</f>
        <v>GRSM</v>
      </c>
      <c r="G51" s="252">
        <f t="shared" si="12"/>
        <v>0</v>
      </c>
      <c r="H51" s="465">
        <v>0</v>
      </c>
      <c r="I51" s="465">
        <f t="shared" si="8"/>
        <v>0</v>
      </c>
      <c r="J51" s="252">
        <f t="shared" si="9"/>
        <v>9989.65</v>
      </c>
      <c r="K51" s="470" t="s">
        <v>494</v>
      </c>
      <c r="L51" s="305">
        <v>2634.2061534783002</v>
      </c>
      <c r="M51" s="466">
        <f t="shared" si="13"/>
        <v>7355.443846521699</v>
      </c>
      <c r="N51" s="252">
        <f t="shared" si="11"/>
        <v>0</v>
      </c>
      <c r="O51" s="256">
        <v>2</v>
      </c>
    </row>
    <row r="52" spans="1:15" x14ac:dyDescent="0.2">
      <c r="A52" s="257" t="s">
        <v>556</v>
      </c>
      <c r="B52" s="249">
        <v>454</v>
      </c>
      <c r="C52" s="250" t="s">
        <v>557</v>
      </c>
      <c r="D52" s="250" t="s">
        <v>558</v>
      </c>
      <c r="E52" s="285">
        <v>-168171.31</v>
      </c>
      <c r="F52" s="252" t="str">
        <f>$G$2</f>
        <v>Traditional OOR</v>
      </c>
      <c r="G52" s="252">
        <f t="shared" si="12"/>
        <v>-168171.31</v>
      </c>
      <c r="H52" s="465">
        <v>0</v>
      </c>
      <c r="I52" s="465">
        <f t="shared" si="8"/>
        <v>-168171.31</v>
      </c>
      <c r="J52" s="252">
        <f t="shared" si="9"/>
        <v>0</v>
      </c>
      <c r="K52" s="252"/>
      <c r="L52" s="318"/>
      <c r="M52" s="466">
        <f t="shared" si="13"/>
        <v>0</v>
      </c>
      <c r="N52" s="252">
        <f t="shared" si="11"/>
        <v>0</v>
      </c>
      <c r="O52" s="256">
        <v>4</v>
      </c>
    </row>
    <row r="53" spans="1:15" x14ac:dyDescent="0.2">
      <c r="A53" s="257" t="s">
        <v>559</v>
      </c>
      <c r="B53" s="249">
        <v>454</v>
      </c>
      <c r="C53" s="250" t="s">
        <v>560</v>
      </c>
      <c r="D53" s="250" t="s">
        <v>561</v>
      </c>
      <c r="E53" s="285">
        <v>268318.90999999997</v>
      </c>
      <c r="F53" s="252" t="str">
        <f>$N$2</f>
        <v>Other Ratemaking</v>
      </c>
      <c r="G53" s="252">
        <f>I53+H53</f>
        <v>15881.796282899999</v>
      </c>
      <c r="H53" s="465">
        <f>E53*$D$250</f>
        <v>15881.796282899999</v>
      </c>
      <c r="I53" s="465">
        <v>0</v>
      </c>
      <c r="J53" s="252">
        <f t="shared" si="9"/>
        <v>0</v>
      </c>
      <c r="K53" s="252"/>
      <c r="L53" s="318"/>
      <c r="M53" s="466">
        <f t="shared" si="13"/>
        <v>0</v>
      </c>
      <c r="N53" s="252">
        <f>IF(F53=$N$2,E53-H53,0)</f>
        <v>252437.11371709997</v>
      </c>
      <c r="O53" s="259" t="s">
        <v>562</v>
      </c>
    </row>
    <row r="54" spans="1:15" x14ac:dyDescent="0.2">
      <c r="A54" s="257" t="s">
        <v>563</v>
      </c>
      <c r="B54" s="249">
        <v>454</v>
      </c>
      <c r="C54" s="250" t="s">
        <v>564</v>
      </c>
      <c r="D54" s="250" t="s">
        <v>565</v>
      </c>
      <c r="E54" s="285"/>
      <c r="F54" s="252" t="str">
        <f>$G$2</f>
        <v>Traditional OOR</v>
      </c>
      <c r="G54" s="252">
        <f t="shared" si="12"/>
        <v>0</v>
      </c>
      <c r="H54" s="465">
        <f>E54*$D$250</f>
        <v>0</v>
      </c>
      <c r="I54" s="465">
        <f>G54-H54</f>
        <v>0</v>
      </c>
      <c r="J54" s="252">
        <f t="shared" si="9"/>
        <v>0</v>
      </c>
      <c r="K54" s="252"/>
      <c r="L54" s="318"/>
      <c r="M54" s="466">
        <f t="shared" si="13"/>
        <v>0</v>
      </c>
      <c r="N54" s="252">
        <f t="shared" si="11"/>
        <v>0</v>
      </c>
      <c r="O54" s="259">
        <v>7</v>
      </c>
    </row>
    <row r="55" spans="1:15" x14ac:dyDescent="0.2">
      <c r="A55" s="257" t="s">
        <v>566</v>
      </c>
      <c r="B55" s="249">
        <v>454</v>
      </c>
      <c r="C55" s="250" t="s">
        <v>567</v>
      </c>
      <c r="D55" s="250" t="s">
        <v>568</v>
      </c>
      <c r="E55" s="285">
        <v>1478792.88</v>
      </c>
      <c r="F55" s="252" t="str">
        <f>$N$2</f>
        <v>Other Ratemaking</v>
      </c>
      <c r="G55" s="252">
        <f>I55+H55</f>
        <v>87529.750567199997</v>
      </c>
      <c r="H55" s="465">
        <f>E55*$D$250</f>
        <v>87529.750567199997</v>
      </c>
      <c r="I55" s="465">
        <v>0</v>
      </c>
      <c r="J55" s="252">
        <f t="shared" si="9"/>
        <v>0</v>
      </c>
      <c r="K55" s="252"/>
      <c r="L55" s="318"/>
      <c r="M55" s="465">
        <f t="shared" si="13"/>
        <v>0</v>
      </c>
      <c r="N55" s="252">
        <f>IF(F55=$N$2,E55-H55,0)</f>
        <v>1391263.1294328</v>
      </c>
      <c r="O55" s="256" t="s">
        <v>562</v>
      </c>
    </row>
    <row r="56" spans="1:15" x14ac:dyDescent="0.2">
      <c r="A56" s="257" t="s">
        <v>569</v>
      </c>
      <c r="B56" s="249">
        <v>454</v>
      </c>
      <c r="C56" s="250" t="s">
        <v>570</v>
      </c>
      <c r="D56" s="250" t="s">
        <v>571</v>
      </c>
      <c r="E56" s="285"/>
      <c r="F56" s="252" t="str">
        <f t="shared" ref="F56:F61" si="14">$G$2</f>
        <v>Traditional OOR</v>
      </c>
      <c r="G56" s="252">
        <f t="shared" si="12"/>
        <v>0</v>
      </c>
      <c r="H56" s="465">
        <f>E56*$D$244</f>
        <v>0</v>
      </c>
      <c r="I56" s="465">
        <f t="shared" ref="I56:I67" si="15">G56-H56</f>
        <v>0</v>
      </c>
      <c r="J56" s="252">
        <f t="shared" si="9"/>
        <v>0</v>
      </c>
      <c r="K56" s="252"/>
      <c r="L56" s="318"/>
      <c r="M56" s="466">
        <f t="shared" si="13"/>
        <v>0</v>
      </c>
      <c r="N56" s="252">
        <f t="shared" si="11"/>
        <v>0</v>
      </c>
      <c r="O56" s="259">
        <v>7</v>
      </c>
    </row>
    <row r="57" spans="1:15" x14ac:dyDescent="0.2">
      <c r="A57" s="257" t="s">
        <v>572</v>
      </c>
      <c r="B57" s="249">
        <v>454</v>
      </c>
      <c r="C57" s="250" t="s">
        <v>573</v>
      </c>
      <c r="D57" s="250" t="s">
        <v>574</v>
      </c>
      <c r="E57" s="285"/>
      <c r="F57" s="252" t="str">
        <f t="shared" si="14"/>
        <v>Traditional OOR</v>
      </c>
      <c r="G57" s="252">
        <f t="shared" si="12"/>
        <v>0</v>
      </c>
      <c r="H57" s="465">
        <v>0</v>
      </c>
      <c r="I57" s="465">
        <f t="shared" si="15"/>
        <v>0</v>
      </c>
      <c r="J57" s="252">
        <f t="shared" si="9"/>
        <v>0</v>
      </c>
      <c r="K57" s="252"/>
      <c r="L57" s="318"/>
      <c r="M57" s="466">
        <f t="shared" si="13"/>
        <v>0</v>
      </c>
      <c r="N57" s="252">
        <f t="shared" si="11"/>
        <v>0</v>
      </c>
      <c r="O57" s="259">
        <v>1</v>
      </c>
    </row>
    <row r="58" spans="1:15" x14ac:dyDescent="0.2">
      <c r="A58" s="257" t="s">
        <v>575</v>
      </c>
      <c r="B58" s="249">
        <v>454</v>
      </c>
      <c r="C58" s="250" t="s">
        <v>576</v>
      </c>
      <c r="D58" s="250" t="s">
        <v>577</v>
      </c>
      <c r="E58" s="285">
        <v>10732509.529999999</v>
      </c>
      <c r="F58" s="252" t="str">
        <f t="shared" si="14"/>
        <v>Traditional OOR</v>
      </c>
      <c r="G58" s="252">
        <f t="shared" si="12"/>
        <v>10732509.529999999</v>
      </c>
      <c r="H58" s="465">
        <v>0</v>
      </c>
      <c r="I58" s="465">
        <f t="shared" si="15"/>
        <v>10732509.529999999</v>
      </c>
      <c r="J58" s="252">
        <f t="shared" si="9"/>
        <v>0</v>
      </c>
      <c r="K58" s="252"/>
      <c r="L58" s="318"/>
      <c r="M58" s="466">
        <f t="shared" si="13"/>
        <v>0</v>
      </c>
      <c r="N58" s="252">
        <f t="shared" si="11"/>
        <v>0</v>
      </c>
      <c r="O58" s="259">
        <v>4</v>
      </c>
    </row>
    <row r="59" spans="1:15" x14ac:dyDescent="0.2">
      <c r="A59" s="257" t="s">
        <v>578</v>
      </c>
      <c r="B59" s="249">
        <v>454</v>
      </c>
      <c r="C59" s="250" t="s">
        <v>579</v>
      </c>
      <c r="D59" s="250" t="s">
        <v>580</v>
      </c>
      <c r="E59" s="285">
        <v>662749.72</v>
      </c>
      <c r="F59" s="252" t="str">
        <f t="shared" si="14"/>
        <v>Traditional OOR</v>
      </c>
      <c r="G59" s="252">
        <f t="shared" si="12"/>
        <v>662749.72</v>
      </c>
      <c r="H59" s="465">
        <v>0</v>
      </c>
      <c r="I59" s="465">
        <f>G59-H59</f>
        <v>662749.72</v>
      </c>
      <c r="J59" s="252">
        <f t="shared" si="9"/>
        <v>0</v>
      </c>
      <c r="K59" s="252"/>
      <c r="L59" s="318"/>
      <c r="M59" s="466">
        <f t="shared" si="13"/>
        <v>0</v>
      </c>
      <c r="N59" s="252">
        <f t="shared" si="11"/>
        <v>0</v>
      </c>
      <c r="O59" s="259">
        <v>4</v>
      </c>
    </row>
    <row r="60" spans="1:15" ht="13.5" thickBot="1" x14ac:dyDescent="0.25">
      <c r="A60" s="257" t="s">
        <v>581</v>
      </c>
      <c r="B60" s="249">
        <v>454</v>
      </c>
      <c r="C60" s="250" t="s">
        <v>582</v>
      </c>
      <c r="D60" s="250" t="s">
        <v>583</v>
      </c>
      <c r="E60" s="285">
        <v>23706988.559999999</v>
      </c>
      <c r="F60" s="252" t="str">
        <f t="shared" si="14"/>
        <v>Traditional OOR</v>
      </c>
      <c r="G60" s="252">
        <f t="shared" si="12"/>
        <v>23706988.559999999</v>
      </c>
      <c r="H60" s="465">
        <v>0</v>
      </c>
      <c r="I60" s="465">
        <f t="shared" si="15"/>
        <v>23706988.559999999</v>
      </c>
      <c r="J60" s="252">
        <f t="shared" si="9"/>
        <v>0</v>
      </c>
      <c r="K60" s="252"/>
      <c r="L60" s="318"/>
      <c r="M60" s="466">
        <f t="shared" si="13"/>
        <v>0</v>
      </c>
      <c r="N60" s="252">
        <f t="shared" si="11"/>
        <v>0</v>
      </c>
      <c r="O60" s="259">
        <v>4</v>
      </c>
    </row>
    <row r="61" spans="1:15" ht="13.5" thickBot="1" x14ac:dyDescent="0.25">
      <c r="A61" s="257" t="s">
        <v>584</v>
      </c>
      <c r="B61" s="249">
        <v>454</v>
      </c>
      <c r="C61" s="250" t="s">
        <v>585</v>
      </c>
      <c r="D61" s="250" t="s">
        <v>586</v>
      </c>
      <c r="E61" s="285">
        <v>13656799.34</v>
      </c>
      <c r="F61" s="252" t="str">
        <f t="shared" si="14"/>
        <v>Traditional OOR</v>
      </c>
      <c r="G61" s="252">
        <f t="shared" si="12"/>
        <v>13656799.34</v>
      </c>
      <c r="H61" s="472">
        <v>3841124.99</v>
      </c>
      <c r="I61" s="465">
        <f>G61-H61</f>
        <v>9815674.3499999996</v>
      </c>
      <c r="J61" s="252">
        <f t="shared" si="9"/>
        <v>0</v>
      </c>
      <c r="K61" s="252"/>
      <c r="L61" s="318"/>
      <c r="M61" s="466">
        <f t="shared" si="13"/>
        <v>0</v>
      </c>
      <c r="N61" s="252">
        <f t="shared" si="11"/>
        <v>0</v>
      </c>
      <c r="O61" s="259">
        <v>8</v>
      </c>
    </row>
    <row r="62" spans="1:15" x14ac:dyDescent="0.2">
      <c r="A62" s="257" t="s">
        <v>587</v>
      </c>
      <c r="B62" s="249">
        <v>454</v>
      </c>
      <c r="C62" s="250" t="s">
        <v>588</v>
      </c>
      <c r="D62" s="250" t="s">
        <v>589</v>
      </c>
      <c r="E62" s="285">
        <f>20353830.16+20914.54</f>
        <v>20374744.699999999</v>
      </c>
      <c r="F62" s="252" t="str">
        <f>$J$2</f>
        <v>GRSM</v>
      </c>
      <c r="G62" s="252">
        <f t="shared" si="12"/>
        <v>0</v>
      </c>
      <c r="H62" s="465">
        <v>0</v>
      </c>
      <c r="I62" s="465">
        <f t="shared" si="15"/>
        <v>0</v>
      </c>
      <c r="J62" s="252">
        <f t="shared" si="9"/>
        <v>20374744.699999999</v>
      </c>
      <c r="K62" s="470" t="s">
        <v>494</v>
      </c>
      <c r="L62" s="305">
        <v>4250081.3988080304</v>
      </c>
      <c r="M62" s="466">
        <f t="shared" si="13"/>
        <v>16124663.301191969</v>
      </c>
      <c r="N62" s="252">
        <f t="shared" si="11"/>
        <v>0</v>
      </c>
      <c r="O62" s="256">
        <v>2</v>
      </c>
    </row>
    <row r="63" spans="1:15" x14ac:dyDescent="0.2">
      <c r="A63" s="257" t="s">
        <v>590</v>
      </c>
      <c r="B63" s="249">
        <v>454</v>
      </c>
      <c r="C63" s="250" t="s">
        <v>591</v>
      </c>
      <c r="D63" s="250" t="s">
        <v>592</v>
      </c>
      <c r="E63" s="285"/>
      <c r="F63" s="252" t="str">
        <f>$G$2</f>
        <v>Traditional OOR</v>
      </c>
      <c r="G63" s="252">
        <f t="shared" si="12"/>
        <v>0</v>
      </c>
      <c r="H63" s="465">
        <v>0</v>
      </c>
      <c r="I63" s="465">
        <f t="shared" si="15"/>
        <v>0</v>
      </c>
      <c r="J63" s="252">
        <f t="shared" si="9"/>
        <v>0</v>
      </c>
      <c r="K63" s="252"/>
      <c r="L63" s="318"/>
      <c r="M63" s="466">
        <f t="shared" si="13"/>
        <v>0</v>
      </c>
      <c r="N63" s="252">
        <f t="shared" si="11"/>
        <v>0</v>
      </c>
      <c r="O63" s="256">
        <v>4</v>
      </c>
    </row>
    <row r="64" spans="1:15" x14ac:dyDescent="0.2">
      <c r="A64" s="257" t="s">
        <v>593</v>
      </c>
      <c r="B64" s="249">
        <v>454</v>
      </c>
      <c r="C64" s="248" t="s">
        <v>523</v>
      </c>
      <c r="D64" s="250" t="s">
        <v>524</v>
      </c>
      <c r="E64" s="285"/>
      <c r="F64" s="252" t="str">
        <f>$G$2</f>
        <v>Traditional OOR</v>
      </c>
      <c r="G64" s="252">
        <f t="shared" si="12"/>
        <v>0</v>
      </c>
      <c r="H64" s="465">
        <v>0</v>
      </c>
      <c r="I64" s="465">
        <f t="shared" si="15"/>
        <v>0</v>
      </c>
      <c r="J64" s="252">
        <f t="shared" si="9"/>
        <v>0</v>
      </c>
      <c r="K64" s="252"/>
      <c r="L64" s="318"/>
      <c r="M64" s="466">
        <f t="shared" si="13"/>
        <v>0</v>
      </c>
      <c r="N64" s="252">
        <f t="shared" si="11"/>
        <v>0</v>
      </c>
      <c r="O64" s="256">
        <v>1</v>
      </c>
    </row>
    <row r="65" spans="1:15" ht="12" customHeight="1" x14ac:dyDescent="0.2">
      <c r="A65" s="248" t="s">
        <v>594</v>
      </c>
      <c r="B65" s="249">
        <v>454</v>
      </c>
      <c r="C65" s="249">
        <v>4206515</v>
      </c>
      <c r="D65" s="282" t="s">
        <v>595</v>
      </c>
      <c r="E65" s="285">
        <v>1138222.18</v>
      </c>
      <c r="F65" s="252" t="s">
        <v>448</v>
      </c>
      <c r="G65" s="252">
        <f t="shared" si="12"/>
        <v>0</v>
      </c>
      <c r="H65" s="465">
        <v>0</v>
      </c>
      <c r="I65" s="465">
        <f t="shared" si="15"/>
        <v>0</v>
      </c>
      <c r="J65" s="252">
        <f t="shared" si="9"/>
        <v>1138222.18</v>
      </c>
      <c r="K65" s="252" t="s">
        <v>494</v>
      </c>
      <c r="L65" s="318">
        <v>603066.09</v>
      </c>
      <c r="M65" s="465">
        <f t="shared" si="13"/>
        <v>535156.09</v>
      </c>
      <c r="N65" s="252">
        <f t="shared" si="11"/>
        <v>0</v>
      </c>
      <c r="O65" s="256">
        <v>2</v>
      </c>
    </row>
    <row r="66" spans="1:15" x14ac:dyDescent="0.2">
      <c r="A66" s="248" t="s">
        <v>596</v>
      </c>
      <c r="B66" s="249">
        <v>454</v>
      </c>
      <c r="C66" s="249">
        <v>4184122</v>
      </c>
      <c r="D66" s="282" t="s">
        <v>597</v>
      </c>
      <c r="E66" s="285">
        <v>-1040</v>
      </c>
      <c r="F66" s="252" t="s">
        <v>447</v>
      </c>
      <c r="G66" s="252">
        <f t="shared" si="12"/>
        <v>-1040</v>
      </c>
      <c r="H66" s="465">
        <v>0</v>
      </c>
      <c r="I66" s="465">
        <f t="shared" si="15"/>
        <v>-1040</v>
      </c>
      <c r="J66" s="252">
        <f t="shared" si="9"/>
        <v>0</v>
      </c>
      <c r="K66" s="252"/>
      <c r="L66" s="318"/>
      <c r="M66" s="465">
        <f t="shared" si="13"/>
        <v>0</v>
      </c>
      <c r="N66" s="252">
        <f t="shared" si="11"/>
        <v>0</v>
      </c>
      <c r="O66" s="256">
        <v>4</v>
      </c>
    </row>
    <row r="67" spans="1:15" x14ac:dyDescent="0.2">
      <c r="A67" s="248" t="s">
        <v>598</v>
      </c>
      <c r="B67" s="249">
        <v>454</v>
      </c>
      <c r="C67" s="249">
        <v>4184124</v>
      </c>
      <c r="D67" s="282" t="s">
        <v>599</v>
      </c>
      <c r="E67" s="285">
        <v>54750</v>
      </c>
      <c r="F67" s="252" t="s">
        <v>447</v>
      </c>
      <c r="G67" s="252">
        <f t="shared" si="12"/>
        <v>54750</v>
      </c>
      <c r="H67" s="465">
        <v>0</v>
      </c>
      <c r="I67" s="465">
        <f t="shared" si="15"/>
        <v>54750</v>
      </c>
      <c r="J67" s="252">
        <f t="shared" si="9"/>
        <v>0</v>
      </c>
      <c r="K67" s="252"/>
      <c r="L67" s="318"/>
      <c r="M67" s="465">
        <f t="shared" si="13"/>
        <v>0</v>
      </c>
      <c r="N67" s="252">
        <f t="shared" si="11"/>
        <v>0</v>
      </c>
      <c r="O67" s="256">
        <v>4</v>
      </c>
    </row>
    <row r="68" spans="1:15" s="90" customFormat="1" x14ac:dyDescent="0.2">
      <c r="A68" s="261" t="s">
        <v>975</v>
      </c>
      <c r="B68" s="262">
        <v>454</v>
      </c>
      <c r="C68" s="262">
        <v>4184821</v>
      </c>
      <c r="D68" s="264" t="s">
        <v>976</v>
      </c>
      <c r="E68" s="285">
        <v>76610.87</v>
      </c>
      <c r="F68" s="285" t="s">
        <v>449</v>
      </c>
      <c r="G68" s="285">
        <f>H68+I68</f>
        <v>4534.5973952999993</v>
      </c>
      <c r="H68" s="318">
        <f>E68*$D$250</f>
        <v>4534.5973952999993</v>
      </c>
      <c r="I68" s="318">
        <v>0</v>
      </c>
      <c r="J68" s="285">
        <f t="shared" si="9"/>
        <v>0</v>
      </c>
      <c r="K68" s="285"/>
      <c r="L68" s="318"/>
      <c r="M68" s="318">
        <f t="shared" si="13"/>
        <v>0</v>
      </c>
      <c r="N68" s="285">
        <f>IF(F68=$N$2,E68-H68,0)</f>
        <v>72076.272604700003</v>
      </c>
      <c r="O68" s="267" t="s">
        <v>562</v>
      </c>
    </row>
    <row r="69" spans="1:15" s="90" customFormat="1" x14ac:dyDescent="0.2">
      <c r="A69" s="261" t="s">
        <v>977</v>
      </c>
      <c r="B69" s="262">
        <v>454</v>
      </c>
      <c r="C69" s="262">
        <v>4184811</v>
      </c>
      <c r="D69" s="264" t="s">
        <v>978</v>
      </c>
      <c r="E69" s="285">
        <v>1021348.6</v>
      </c>
      <c r="F69" s="285" t="s">
        <v>449</v>
      </c>
      <c r="G69" s="285">
        <f>H69+I69</f>
        <v>60453.623633999996</v>
      </c>
      <c r="H69" s="318">
        <f>E69*$D$250</f>
        <v>60453.623633999996</v>
      </c>
      <c r="I69" s="318">
        <v>0</v>
      </c>
      <c r="J69" s="285">
        <f t="shared" si="9"/>
        <v>0</v>
      </c>
      <c r="K69" s="285"/>
      <c r="L69" s="318"/>
      <c r="M69" s="318">
        <f t="shared" si="13"/>
        <v>0</v>
      </c>
      <c r="N69" s="285">
        <f>IF(F69=$N$2,E69-H69,0)</f>
        <v>960894.97636600002</v>
      </c>
      <c r="O69" s="267" t="s">
        <v>562</v>
      </c>
    </row>
    <row r="70" spans="1:15" s="90" customFormat="1" x14ac:dyDescent="0.2">
      <c r="A70" s="261"/>
      <c r="B70" s="262"/>
      <c r="C70" s="262"/>
      <c r="D70" s="264"/>
      <c r="E70" s="285"/>
      <c r="F70" s="285"/>
      <c r="G70" s="285"/>
      <c r="H70" s="318"/>
      <c r="I70" s="318"/>
      <c r="J70" s="285"/>
      <c r="K70" s="285"/>
      <c r="L70" s="318"/>
      <c r="M70" s="318"/>
      <c r="N70" s="285"/>
      <c r="O70" s="267"/>
    </row>
    <row r="71" spans="1:15" s="90" customFormat="1" x14ac:dyDescent="0.2">
      <c r="A71" s="261"/>
      <c r="B71" s="262"/>
      <c r="C71" s="263"/>
      <c r="D71" s="264"/>
      <c r="E71" s="285"/>
      <c r="F71" s="285"/>
      <c r="G71" s="468"/>
      <c r="H71" s="318"/>
      <c r="I71" s="318"/>
      <c r="J71" s="285"/>
      <c r="K71" s="285"/>
      <c r="L71" s="318"/>
      <c r="M71" s="318"/>
      <c r="N71" s="285"/>
      <c r="O71" s="267"/>
    </row>
    <row r="72" spans="1:15" x14ac:dyDescent="0.2">
      <c r="A72" s="257">
        <v>11</v>
      </c>
      <c r="B72" s="534" t="s">
        <v>600</v>
      </c>
      <c r="C72" s="526"/>
      <c r="D72" s="527"/>
      <c r="E72" s="313">
        <f>SUM(E42:E71)</f>
        <v>78053707.150000006</v>
      </c>
      <c r="F72" s="269"/>
      <c r="G72" s="313">
        <f>SUM(G42:G71)</f>
        <v>53676620.547879405</v>
      </c>
      <c r="H72" s="473">
        <f>SUM(H42:H71)</f>
        <v>4009524.7578794002</v>
      </c>
      <c r="I72" s="473">
        <f>SUM(I42:I71)</f>
        <v>49667095.789999999</v>
      </c>
      <c r="J72" s="313">
        <f>SUM(J42:J71)</f>
        <v>21700415.109999999</v>
      </c>
      <c r="K72" s="269"/>
      <c r="L72" s="313">
        <f>SUM(L42:L71)</f>
        <v>4901446.882073395</v>
      </c>
      <c r="M72" s="313">
        <f>SUM(M42:M71)</f>
        <v>16798968.227926604</v>
      </c>
      <c r="N72" s="313">
        <f>SUM(N42:N71)</f>
        <v>2676671.4921205998</v>
      </c>
      <c r="O72" s="233"/>
    </row>
    <row r="73" spans="1:15" ht="24.75" customHeight="1" x14ac:dyDescent="0.2">
      <c r="A73" s="257">
        <v>12</v>
      </c>
      <c r="B73" s="535" t="s">
        <v>601</v>
      </c>
      <c r="C73" s="536"/>
      <c r="D73" s="537"/>
      <c r="E73" s="317">
        <v>78053707</v>
      </c>
      <c r="F73" s="274"/>
      <c r="G73" s="302"/>
      <c r="H73" s="274"/>
      <c r="I73" s="274"/>
      <c r="J73" s="275"/>
      <c r="K73" s="274"/>
      <c r="L73" s="275"/>
      <c r="M73" s="275"/>
      <c r="N73" s="275"/>
      <c r="O73" s="276"/>
    </row>
    <row r="74" spans="1:15" x14ac:dyDescent="0.2">
      <c r="A74" s="277"/>
      <c r="B74" s="278"/>
      <c r="C74" s="279"/>
      <c r="D74" s="280"/>
      <c r="E74" s="275"/>
      <c r="F74" s="275"/>
      <c r="G74" s="275"/>
      <c r="H74" s="274"/>
      <c r="I74" s="274"/>
      <c r="J74" s="275"/>
      <c r="K74" s="274"/>
      <c r="L74" s="275"/>
      <c r="M74" s="275"/>
      <c r="N74" s="275"/>
      <c r="O74" s="276"/>
    </row>
    <row r="75" spans="1:15" x14ac:dyDescent="0.2">
      <c r="A75" s="257" t="s">
        <v>602</v>
      </c>
      <c r="B75" s="249">
        <v>456</v>
      </c>
      <c r="C75" s="250" t="s">
        <v>603</v>
      </c>
      <c r="D75" s="250" t="s">
        <v>604</v>
      </c>
      <c r="E75" s="285">
        <v>3492797.09</v>
      </c>
      <c r="F75" s="252" t="str">
        <f t="shared" ref="F75:F83" si="16">$G$2</f>
        <v>Traditional OOR</v>
      </c>
      <c r="G75" s="252">
        <f t="shared" ref="G75:G136" si="17">IF(F75=$G$2,E75,0)</f>
        <v>3492797.09</v>
      </c>
      <c r="H75" s="465">
        <v>0</v>
      </c>
      <c r="I75" s="465">
        <f t="shared" ref="I75:I135" si="18">G75-H75</f>
        <v>3492797.09</v>
      </c>
      <c r="J75" s="252">
        <f t="shared" ref="J75:J136" si="19">IF(F75=$J$2,E75,0)</f>
        <v>0</v>
      </c>
      <c r="K75" s="252"/>
      <c r="L75" s="318"/>
      <c r="M75" s="466">
        <f>J75-L75</f>
        <v>0</v>
      </c>
      <c r="N75" s="252">
        <f t="shared" ref="N75:N136" si="20">IF(F75=$N$2,E75,0)</f>
        <v>0</v>
      </c>
      <c r="O75" s="259">
        <v>1</v>
      </c>
    </row>
    <row r="76" spans="1:15" x14ac:dyDescent="0.2">
      <c r="A76" s="257" t="s">
        <v>605</v>
      </c>
      <c r="B76" s="249">
        <v>456</v>
      </c>
      <c r="C76" s="250" t="s">
        <v>606</v>
      </c>
      <c r="D76" s="250" t="s">
        <v>607</v>
      </c>
      <c r="E76" s="285">
        <v>731590.86</v>
      </c>
      <c r="F76" s="252" t="str">
        <f t="shared" si="16"/>
        <v>Traditional OOR</v>
      </c>
      <c r="G76" s="252">
        <f t="shared" si="17"/>
        <v>731590.86</v>
      </c>
      <c r="H76" s="465">
        <v>0</v>
      </c>
      <c r="I76" s="465">
        <f t="shared" si="18"/>
        <v>731590.86</v>
      </c>
      <c r="J76" s="252">
        <f t="shared" si="19"/>
        <v>0</v>
      </c>
      <c r="K76" s="252"/>
      <c r="L76" s="318"/>
      <c r="M76" s="466">
        <f t="shared" ref="M76:M126" si="21">J76-L76</f>
        <v>0</v>
      </c>
      <c r="N76" s="252">
        <f t="shared" si="20"/>
        <v>0</v>
      </c>
      <c r="O76" s="259">
        <v>4</v>
      </c>
    </row>
    <row r="77" spans="1:15" x14ac:dyDescent="0.2">
      <c r="A77" s="257" t="s">
        <v>608</v>
      </c>
      <c r="B77" s="249">
        <v>456</v>
      </c>
      <c r="C77" s="250" t="s">
        <v>609</v>
      </c>
      <c r="D77" s="250" t="s">
        <v>610</v>
      </c>
      <c r="E77" s="285">
        <v>219628.13</v>
      </c>
      <c r="F77" s="252" t="str">
        <f t="shared" si="16"/>
        <v>Traditional OOR</v>
      </c>
      <c r="G77" s="252">
        <f t="shared" si="17"/>
        <v>219628.13</v>
      </c>
      <c r="H77" s="465">
        <v>0</v>
      </c>
      <c r="I77" s="465">
        <f t="shared" si="18"/>
        <v>219628.13</v>
      </c>
      <c r="J77" s="252">
        <f t="shared" si="19"/>
        <v>0</v>
      </c>
      <c r="K77" s="252"/>
      <c r="L77" s="318"/>
      <c r="M77" s="466">
        <f t="shared" si="21"/>
        <v>0</v>
      </c>
      <c r="N77" s="252">
        <f t="shared" si="20"/>
        <v>0</v>
      </c>
      <c r="O77" s="259">
        <v>4</v>
      </c>
    </row>
    <row r="78" spans="1:15" x14ac:dyDescent="0.2">
      <c r="A78" s="257" t="s">
        <v>611</v>
      </c>
      <c r="B78" s="249">
        <v>456</v>
      </c>
      <c r="C78" s="250" t="s">
        <v>612</v>
      </c>
      <c r="D78" s="250" t="s">
        <v>613</v>
      </c>
      <c r="E78" s="285"/>
      <c r="F78" s="252" t="str">
        <f t="shared" si="16"/>
        <v>Traditional OOR</v>
      </c>
      <c r="G78" s="252">
        <f t="shared" si="17"/>
        <v>0</v>
      </c>
      <c r="H78" s="465">
        <v>0</v>
      </c>
      <c r="I78" s="465">
        <f t="shared" si="18"/>
        <v>0</v>
      </c>
      <c r="J78" s="252">
        <f t="shared" si="19"/>
        <v>0</v>
      </c>
      <c r="K78" s="252"/>
      <c r="L78" s="318"/>
      <c r="M78" s="466">
        <f t="shared" si="21"/>
        <v>0</v>
      </c>
      <c r="N78" s="252">
        <f t="shared" si="20"/>
        <v>0</v>
      </c>
      <c r="O78" s="259">
        <v>3</v>
      </c>
    </row>
    <row r="79" spans="1:15" x14ac:dyDescent="0.2">
      <c r="A79" s="248" t="s">
        <v>614</v>
      </c>
      <c r="B79" s="249">
        <v>456</v>
      </c>
      <c r="C79" s="250" t="s">
        <v>615</v>
      </c>
      <c r="D79" s="250" t="s">
        <v>616</v>
      </c>
      <c r="E79" s="285">
        <v>480</v>
      </c>
      <c r="F79" s="252" t="str">
        <f t="shared" si="16"/>
        <v>Traditional OOR</v>
      </c>
      <c r="G79" s="252">
        <f t="shared" si="17"/>
        <v>480</v>
      </c>
      <c r="H79" s="465">
        <v>0</v>
      </c>
      <c r="I79" s="465">
        <f t="shared" si="18"/>
        <v>480</v>
      </c>
      <c r="J79" s="252">
        <f t="shared" si="19"/>
        <v>0</v>
      </c>
      <c r="K79" s="252"/>
      <c r="L79" s="318"/>
      <c r="M79" s="466">
        <f t="shared" si="21"/>
        <v>0</v>
      </c>
      <c r="N79" s="252">
        <f t="shared" si="20"/>
        <v>0</v>
      </c>
      <c r="O79" s="259">
        <v>1</v>
      </c>
    </row>
    <row r="80" spans="1:15" x14ac:dyDescent="0.2">
      <c r="A80" s="248" t="s">
        <v>617</v>
      </c>
      <c r="B80" s="249">
        <v>456</v>
      </c>
      <c r="C80" s="250" t="s">
        <v>618</v>
      </c>
      <c r="D80" s="250" t="s">
        <v>619</v>
      </c>
      <c r="E80" s="285">
        <v>520006.76</v>
      </c>
      <c r="F80" s="252" t="str">
        <f t="shared" si="16"/>
        <v>Traditional OOR</v>
      </c>
      <c r="G80" s="252">
        <f t="shared" si="17"/>
        <v>520006.76</v>
      </c>
      <c r="H80" s="465">
        <v>0</v>
      </c>
      <c r="I80" s="465">
        <f t="shared" si="18"/>
        <v>520006.76</v>
      </c>
      <c r="J80" s="252">
        <f t="shared" si="19"/>
        <v>0</v>
      </c>
      <c r="K80" s="252"/>
      <c r="L80" s="318"/>
      <c r="M80" s="466">
        <f t="shared" si="21"/>
        <v>0</v>
      </c>
      <c r="N80" s="252">
        <f t="shared" si="20"/>
        <v>0</v>
      </c>
      <c r="O80" s="259">
        <v>1</v>
      </c>
    </row>
    <row r="81" spans="1:15" x14ac:dyDescent="0.2">
      <c r="A81" s="248" t="s">
        <v>620</v>
      </c>
      <c r="B81" s="249">
        <v>456</v>
      </c>
      <c r="C81" s="250" t="s">
        <v>621</v>
      </c>
      <c r="D81" s="250" t="s">
        <v>622</v>
      </c>
      <c r="E81" s="285"/>
      <c r="F81" s="252" t="str">
        <f t="shared" si="16"/>
        <v>Traditional OOR</v>
      </c>
      <c r="G81" s="252">
        <f t="shared" si="17"/>
        <v>0</v>
      </c>
      <c r="H81" s="465">
        <v>0</v>
      </c>
      <c r="I81" s="465">
        <f t="shared" si="18"/>
        <v>0</v>
      </c>
      <c r="J81" s="252">
        <f t="shared" si="19"/>
        <v>0</v>
      </c>
      <c r="K81" s="252"/>
      <c r="L81" s="318"/>
      <c r="M81" s="466">
        <f t="shared" si="21"/>
        <v>0</v>
      </c>
      <c r="N81" s="252">
        <f t="shared" si="20"/>
        <v>0</v>
      </c>
      <c r="O81" s="259">
        <v>3</v>
      </c>
    </row>
    <row r="82" spans="1:15" x14ac:dyDescent="0.2">
      <c r="A82" s="248" t="s">
        <v>623</v>
      </c>
      <c r="B82" s="249">
        <v>456</v>
      </c>
      <c r="C82" s="249">
        <v>4186142</v>
      </c>
      <c r="D82" s="250" t="s">
        <v>624</v>
      </c>
      <c r="E82" s="285">
        <v>3427.66</v>
      </c>
      <c r="F82" s="252" t="str">
        <f t="shared" si="16"/>
        <v>Traditional OOR</v>
      </c>
      <c r="G82" s="252">
        <f>IF(F82=$G$2,E82,0)</f>
        <v>3427.66</v>
      </c>
      <c r="H82" s="465">
        <v>0</v>
      </c>
      <c r="I82" s="465">
        <f>G82-H82</f>
        <v>3427.66</v>
      </c>
      <c r="J82" s="252">
        <f t="shared" si="19"/>
        <v>0</v>
      </c>
      <c r="K82" s="252"/>
      <c r="L82" s="318"/>
      <c r="M82" s="466">
        <f t="shared" si="21"/>
        <v>0</v>
      </c>
      <c r="N82" s="252">
        <f t="shared" si="20"/>
        <v>0</v>
      </c>
      <c r="O82" s="259">
        <v>4</v>
      </c>
    </row>
    <row r="83" spans="1:15" x14ac:dyDescent="0.2">
      <c r="A83" s="248" t="s">
        <v>625</v>
      </c>
      <c r="B83" s="249">
        <v>456</v>
      </c>
      <c r="C83" s="250" t="s">
        <v>626</v>
      </c>
      <c r="D83" s="250" t="s">
        <v>627</v>
      </c>
      <c r="E83" s="285"/>
      <c r="F83" s="252" t="str">
        <f t="shared" si="16"/>
        <v>Traditional OOR</v>
      </c>
      <c r="G83" s="252">
        <f t="shared" si="17"/>
        <v>0</v>
      </c>
      <c r="H83" s="465">
        <f>E83*$D$244</f>
        <v>0</v>
      </c>
      <c r="I83" s="465">
        <f t="shared" si="18"/>
        <v>0</v>
      </c>
      <c r="J83" s="252">
        <f t="shared" si="19"/>
        <v>0</v>
      </c>
      <c r="K83" s="252"/>
      <c r="L83" s="318"/>
      <c r="M83" s="466">
        <f t="shared" si="21"/>
        <v>0</v>
      </c>
      <c r="N83" s="252">
        <f t="shared" si="20"/>
        <v>0</v>
      </c>
      <c r="O83" s="259">
        <v>7</v>
      </c>
    </row>
    <row r="84" spans="1:15" x14ac:dyDescent="0.2">
      <c r="A84" s="248" t="s">
        <v>628</v>
      </c>
      <c r="B84" s="249">
        <v>456</v>
      </c>
      <c r="C84" s="250" t="s">
        <v>629</v>
      </c>
      <c r="D84" s="250" t="s">
        <v>630</v>
      </c>
      <c r="E84" s="285">
        <v>39429.42</v>
      </c>
      <c r="F84" s="252" t="str">
        <f>$N$2</f>
        <v>Other Ratemaking</v>
      </c>
      <c r="G84" s="252">
        <f>I84+H84</f>
        <v>2333.8273697999998</v>
      </c>
      <c r="H84" s="465">
        <f>E84*$D$250</f>
        <v>2333.8273697999998</v>
      </c>
      <c r="I84" s="465">
        <v>0</v>
      </c>
      <c r="J84" s="252">
        <f t="shared" si="19"/>
        <v>0</v>
      </c>
      <c r="K84" s="252"/>
      <c r="L84" s="318"/>
      <c r="M84" s="466">
        <f t="shared" si="21"/>
        <v>0</v>
      </c>
      <c r="N84" s="252">
        <f>IF(F84=$N$2,E84-H84,0)</f>
        <v>37095.592630200001</v>
      </c>
      <c r="O84" s="259" t="s">
        <v>562</v>
      </c>
    </row>
    <row r="85" spans="1:15" x14ac:dyDescent="0.2">
      <c r="A85" s="248" t="s">
        <v>631</v>
      </c>
      <c r="B85" s="249">
        <v>456</v>
      </c>
      <c r="C85" s="250" t="s">
        <v>632</v>
      </c>
      <c r="D85" s="250" t="s">
        <v>633</v>
      </c>
      <c r="E85" s="285">
        <v>1205.7</v>
      </c>
      <c r="F85" s="252" t="str">
        <f t="shared" ref="F85:F90" si="22">$G$2</f>
        <v>Traditional OOR</v>
      </c>
      <c r="G85" s="252">
        <f t="shared" si="17"/>
        <v>1205.7</v>
      </c>
      <c r="H85" s="465">
        <v>0</v>
      </c>
      <c r="I85" s="465">
        <f t="shared" si="18"/>
        <v>1205.7</v>
      </c>
      <c r="J85" s="252">
        <f t="shared" si="19"/>
        <v>0</v>
      </c>
      <c r="K85" s="252"/>
      <c r="L85" s="318"/>
      <c r="M85" s="466">
        <f t="shared" si="21"/>
        <v>0</v>
      </c>
      <c r="N85" s="252">
        <f t="shared" si="20"/>
        <v>0</v>
      </c>
      <c r="O85" s="259">
        <v>4</v>
      </c>
    </row>
    <row r="86" spans="1:15" x14ac:dyDescent="0.2">
      <c r="A86" s="248" t="s">
        <v>634</v>
      </c>
      <c r="B86" s="249">
        <v>456</v>
      </c>
      <c r="C86" s="250" t="s">
        <v>635</v>
      </c>
      <c r="D86" s="250" t="s">
        <v>636</v>
      </c>
      <c r="E86" s="285">
        <v>12101.6</v>
      </c>
      <c r="F86" s="252" t="str">
        <f t="shared" si="22"/>
        <v>Traditional OOR</v>
      </c>
      <c r="G86" s="252">
        <f t="shared" si="17"/>
        <v>12101.6</v>
      </c>
      <c r="H86" s="465">
        <v>0</v>
      </c>
      <c r="I86" s="465">
        <f t="shared" si="18"/>
        <v>12101.6</v>
      </c>
      <c r="J86" s="252">
        <f t="shared" si="19"/>
        <v>0</v>
      </c>
      <c r="K86" s="252"/>
      <c r="L86" s="318"/>
      <c r="M86" s="466">
        <f t="shared" si="21"/>
        <v>0</v>
      </c>
      <c r="N86" s="252">
        <f t="shared" si="20"/>
        <v>0</v>
      </c>
      <c r="O86" s="259">
        <v>4</v>
      </c>
    </row>
    <row r="87" spans="1:15" x14ac:dyDescent="0.2">
      <c r="A87" s="248" t="s">
        <v>637</v>
      </c>
      <c r="B87" s="249">
        <v>456</v>
      </c>
      <c r="C87" s="250" t="s">
        <v>638</v>
      </c>
      <c r="D87" s="250" t="s">
        <v>639</v>
      </c>
      <c r="E87" s="285">
        <v>3656.6</v>
      </c>
      <c r="F87" s="252" t="str">
        <f t="shared" si="22"/>
        <v>Traditional OOR</v>
      </c>
      <c r="G87" s="252">
        <f t="shared" si="17"/>
        <v>3656.6</v>
      </c>
      <c r="H87" s="465">
        <v>0</v>
      </c>
      <c r="I87" s="465">
        <f t="shared" si="18"/>
        <v>3656.6</v>
      </c>
      <c r="J87" s="252">
        <f t="shared" si="19"/>
        <v>0</v>
      </c>
      <c r="K87" s="252"/>
      <c r="L87" s="318"/>
      <c r="M87" s="466">
        <f t="shared" si="21"/>
        <v>0</v>
      </c>
      <c r="N87" s="252">
        <f t="shared" si="20"/>
        <v>0</v>
      </c>
      <c r="O87" s="259">
        <v>4</v>
      </c>
    </row>
    <row r="88" spans="1:15" x14ac:dyDescent="0.2">
      <c r="A88" s="248" t="s">
        <v>640</v>
      </c>
      <c r="B88" s="249">
        <v>456</v>
      </c>
      <c r="C88" s="250" t="s">
        <v>641</v>
      </c>
      <c r="D88" s="250" t="s">
        <v>642</v>
      </c>
      <c r="E88" s="285">
        <v>827.5</v>
      </c>
      <c r="F88" s="252" t="str">
        <f t="shared" si="22"/>
        <v>Traditional OOR</v>
      </c>
      <c r="G88" s="252">
        <f t="shared" si="17"/>
        <v>827.5</v>
      </c>
      <c r="H88" s="465">
        <v>0</v>
      </c>
      <c r="I88" s="465">
        <f t="shared" si="18"/>
        <v>827.5</v>
      </c>
      <c r="J88" s="252">
        <f t="shared" si="19"/>
        <v>0</v>
      </c>
      <c r="K88" s="252"/>
      <c r="L88" s="318"/>
      <c r="M88" s="466">
        <f t="shared" si="21"/>
        <v>0</v>
      </c>
      <c r="N88" s="252">
        <f t="shared" si="20"/>
        <v>0</v>
      </c>
      <c r="O88" s="259">
        <v>4</v>
      </c>
    </row>
    <row r="89" spans="1:15" x14ac:dyDescent="0.2">
      <c r="A89" s="248" t="s">
        <v>643</v>
      </c>
      <c r="B89" s="249">
        <v>456</v>
      </c>
      <c r="C89" s="250" t="s">
        <v>644</v>
      </c>
      <c r="D89" s="250" t="s">
        <v>645</v>
      </c>
      <c r="E89" s="285">
        <v>704.1</v>
      </c>
      <c r="F89" s="252" t="str">
        <f t="shared" si="22"/>
        <v>Traditional OOR</v>
      </c>
      <c r="G89" s="252">
        <f t="shared" si="17"/>
        <v>704.1</v>
      </c>
      <c r="H89" s="465">
        <v>0</v>
      </c>
      <c r="I89" s="465">
        <f t="shared" si="18"/>
        <v>704.1</v>
      </c>
      <c r="J89" s="252">
        <f t="shared" si="19"/>
        <v>0</v>
      </c>
      <c r="K89" s="252"/>
      <c r="L89" s="318"/>
      <c r="M89" s="466">
        <f t="shared" si="21"/>
        <v>0</v>
      </c>
      <c r="N89" s="252">
        <f t="shared" si="20"/>
        <v>0</v>
      </c>
      <c r="O89" s="259">
        <v>4</v>
      </c>
    </row>
    <row r="90" spans="1:15" x14ac:dyDescent="0.2">
      <c r="A90" s="248" t="s">
        <v>646</v>
      </c>
      <c r="B90" s="249">
        <v>456</v>
      </c>
      <c r="C90" s="250" t="s">
        <v>647</v>
      </c>
      <c r="D90" s="250" t="s">
        <v>648</v>
      </c>
      <c r="E90" s="285">
        <v>208656</v>
      </c>
      <c r="F90" s="252" t="str">
        <f t="shared" si="22"/>
        <v>Traditional OOR</v>
      </c>
      <c r="G90" s="252">
        <f t="shared" si="17"/>
        <v>208656</v>
      </c>
      <c r="H90" s="465">
        <v>0</v>
      </c>
      <c r="I90" s="465">
        <f t="shared" si="18"/>
        <v>208656</v>
      </c>
      <c r="J90" s="252">
        <f t="shared" si="19"/>
        <v>0</v>
      </c>
      <c r="K90" s="252"/>
      <c r="L90" s="318"/>
      <c r="M90" s="466">
        <f t="shared" si="21"/>
        <v>0</v>
      </c>
      <c r="N90" s="252">
        <f t="shared" si="20"/>
        <v>0</v>
      </c>
      <c r="O90" s="259">
        <v>4</v>
      </c>
    </row>
    <row r="91" spans="1:15" x14ac:dyDescent="0.2">
      <c r="A91" s="248" t="s">
        <v>649</v>
      </c>
      <c r="B91" s="249">
        <v>456</v>
      </c>
      <c r="C91" s="250" t="s">
        <v>650</v>
      </c>
      <c r="D91" s="250" t="s">
        <v>651</v>
      </c>
      <c r="E91" s="285">
        <v>1683568.62</v>
      </c>
      <c r="F91" s="252" t="str">
        <f t="shared" ref="F91:F104" si="23">$J$2</f>
        <v>GRSM</v>
      </c>
      <c r="G91" s="252">
        <f t="shared" si="17"/>
        <v>0</v>
      </c>
      <c r="H91" s="465">
        <v>0</v>
      </c>
      <c r="I91" s="465">
        <f t="shared" si="18"/>
        <v>0</v>
      </c>
      <c r="J91" s="252">
        <f t="shared" si="19"/>
        <v>1683568.62</v>
      </c>
      <c r="K91" s="470" t="s">
        <v>494</v>
      </c>
      <c r="L91" s="305">
        <v>96227.860485484503</v>
      </c>
      <c r="M91" s="466">
        <f t="shared" si="21"/>
        <v>1587340.7595145155</v>
      </c>
      <c r="N91" s="252">
        <f t="shared" si="20"/>
        <v>0</v>
      </c>
      <c r="O91" s="259">
        <v>2</v>
      </c>
    </row>
    <row r="92" spans="1:15" x14ac:dyDescent="0.2">
      <c r="A92" s="248" t="s">
        <v>652</v>
      </c>
      <c r="B92" s="249">
        <v>456</v>
      </c>
      <c r="C92" s="250" t="s">
        <v>653</v>
      </c>
      <c r="D92" s="250" t="s">
        <v>654</v>
      </c>
      <c r="E92" s="285">
        <v>158342.53</v>
      </c>
      <c r="F92" s="252" t="str">
        <f t="shared" si="23"/>
        <v>GRSM</v>
      </c>
      <c r="G92" s="252">
        <f t="shared" si="17"/>
        <v>0</v>
      </c>
      <c r="H92" s="465">
        <v>0</v>
      </c>
      <c r="I92" s="465">
        <f t="shared" si="18"/>
        <v>0</v>
      </c>
      <c r="J92" s="252">
        <f t="shared" si="19"/>
        <v>158342.53</v>
      </c>
      <c r="K92" s="470" t="s">
        <v>494</v>
      </c>
      <c r="L92" s="305">
        <v>25614.9549129886</v>
      </c>
      <c r="M92" s="466">
        <f t="shared" si="21"/>
        <v>132727.57508701138</v>
      </c>
      <c r="N92" s="252">
        <f t="shared" si="20"/>
        <v>0</v>
      </c>
      <c r="O92" s="259">
        <v>2</v>
      </c>
    </row>
    <row r="93" spans="1:15" x14ac:dyDescent="0.2">
      <c r="A93" s="248" t="s">
        <v>655</v>
      </c>
      <c r="B93" s="249">
        <v>456</v>
      </c>
      <c r="C93" s="250" t="s">
        <v>656</v>
      </c>
      <c r="D93" s="250" t="s">
        <v>657</v>
      </c>
      <c r="E93" s="285">
        <v>31125</v>
      </c>
      <c r="F93" s="252" t="str">
        <f t="shared" si="23"/>
        <v>GRSM</v>
      </c>
      <c r="G93" s="252">
        <f t="shared" si="17"/>
        <v>0</v>
      </c>
      <c r="H93" s="465">
        <v>0</v>
      </c>
      <c r="I93" s="465">
        <f t="shared" si="18"/>
        <v>0</v>
      </c>
      <c r="J93" s="252">
        <f t="shared" si="19"/>
        <v>31125</v>
      </c>
      <c r="K93" s="470" t="s">
        <v>494</v>
      </c>
      <c r="L93" s="318">
        <v>0</v>
      </c>
      <c r="M93" s="466">
        <f t="shared" si="21"/>
        <v>31125</v>
      </c>
      <c r="N93" s="252">
        <f t="shared" si="20"/>
        <v>0</v>
      </c>
      <c r="O93" s="259">
        <v>2</v>
      </c>
    </row>
    <row r="94" spans="1:15" x14ac:dyDescent="0.2">
      <c r="A94" s="248" t="s">
        <v>658</v>
      </c>
      <c r="B94" s="249">
        <v>456</v>
      </c>
      <c r="C94" s="250" t="s">
        <v>659</v>
      </c>
      <c r="D94" s="250" t="s">
        <v>660</v>
      </c>
      <c r="E94" s="285"/>
      <c r="F94" s="252" t="str">
        <f t="shared" si="23"/>
        <v>GRSM</v>
      </c>
      <c r="G94" s="252">
        <f t="shared" si="17"/>
        <v>0</v>
      </c>
      <c r="H94" s="465">
        <v>0</v>
      </c>
      <c r="I94" s="465">
        <f t="shared" si="18"/>
        <v>0</v>
      </c>
      <c r="J94" s="252">
        <f t="shared" si="19"/>
        <v>0</v>
      </c>
      <c r="K94" s="470" t="s">
        <v>494</v>
      </c>
      <c r="L94" s="318"/>
      <c r="M94" s="466">
        <f t="shared" si="21"/>
        <v>0</v>
      </c>
      <c r="N94" s="252">
        <f t="shared" si="20"/>
        <v>0</v>
      </c>
      <c r="O94" s="256">
        <v>2</v>
      </c>
    </row>
    <row r="95" spans="1:15" x14ac:dyDescent="0.2">
      <c r="A95" s="248" t="s">
        <v>661</v>
      </c>
      <c r="B95" s="249">
        <v>456</v>
      </c>
      <c r="C95" s="250" t="s">
        <v>662</v>
      </c>
      <c r="D95" s="250" t="s">
        <v>663</v>
      </c>
      <c r="E95" s="285"/>
      <c r="F95" s="252" t="str">
        <f t="shared" si="23"/>
        <v>GRSM</v>
      </c>
      <c r="G95" s="252">
        <f t="shared" si="17"/>
        <v>0</v>
      </c>
      <c r="H95" s="465">
        <v>0</v>
      </c>
      <c r="I95" s="465">
        <f t="shared" si="18"/>
        <v>0</v>
      </c>
      <c r="J95" s="252">
        <f t="shared" si="19"/>
        <v>0</v>
      </c>
      <c r="K95" s="470" t="s">
        <v>494</v>
      </c>
      <c r="L95" s="318"/>
      <c r="M95" s="466">
        <f t="shared" si="21"/>
        <v>0</v>
      </c>
      <c r="N95" s="252">
        <f t="shared" si="20"/>
        <v>0</v>
      </c>
      <c r="O95" s="259">
        <v>2</v>
      </c>
    </row>
    <row r="96" spans="1:15" x14ac:dyDescent="0.2">
      <c r="A96" s="248" t="s">
        <v>664</v>
      </c>
      <c r="B96" s="249">
        <v>456</v>
      </c>
      <c r="C96" s="250" t="s">
        <v>665</v>
      </c>
      <c r="D96" s="250" t="s">
        <v>666</v>
      </c>
      <c r="E96" s="285">
        <v>2800</v>
      </c>
      <c r="F96" s="252" t="str">
        <f t="shared" si="23"/>
        <v>GRSM</v>
      </c>
      <c r="G96" s="252">
        <f t="shared" si="17"/>
        <v>0</v>
      </c>
      <c r="H96" s="465">
        <v>0</v>
      </c>
      <c r="I96" s="465">
        <f t="shared" si="18"/>
        <v>0</v>
      </c>
      <c r="J96" s="252">
        <f t="shared" si="19"/>
        <v>2800</v>
      </c>
      <c r="K96" s="470" t="s">
        <v>494</v>
      </c>
      <c r="L96" s="318">
        <v>2800</v>
      </c>
      <c r="M96" s="466">
        <f t="shared" si="21"/>
        <v>0</v>
      </c>
      <c r="N96" s="252">
        <f t="shared" si="20"/>
        <v>0</v>
      </c>
      <c r="O96" s="259">
        <v>2</v>
      </c>
    </row>
    <row r="97" spans="1:15" x14ac:dyDescent="0.2">
      <c r="A97" s="248" t="s">
        <v>667</v>
      </c>
      <c r="B97" s="249">
        <v>456</v>
      </c>
      <c r="C97" s="250" t="s">
        <v>668</v>
      </c>
      <c r="D97" s="250" t="s">
        <v>669</v>
      </c>
      <c r="E97" s="285">
        <v>5365</v>
      </c>
      <c r="F97" s="252" t="str">
        <f t="shared" si="23"/>
        <v>GRSM</v>
      </c>
      <c r="G97" s="252">
        <f t="shared" si="17"/>
        <v>0</v>
      </c>
      <c r="H97" s="465">
        <v>0</v>
      </c>
      <c r="I97" s="465">
        <f t="shared" si="18"/>
        <v>0</v>
      </c>
      <c r="J97" s="252">
        <f t="shared" si="19"/>
        <v>5365</v>
      </c>
      <c r="K97" s="470" t="s">
        <v>494</v>
      </c>
      <c r="L97" s="318">
        <v>3315.6004201794799</v>
      </c>
      <c r="M97" s="466">
        <f t="shared" si="21"/>
        <v>2049.3995798205201</v>
      </c>
      <c r="N97" s="252">
        <f t="shared" si="20"/>
        <v>0</v>
      </c>
      <c r="O97" s="256">
        <v>2</v>
      </c>
    </row>
    <row r="98" spans="1:15" x14ac:dyDescent="0.2">
      <c r="A98" s="248" t="s">
        <v>670</v>
      </c>
      <c r="B98" s="249">
        <v>456</v>
      </c>
      <c r="C98" s="249">
        <v>4186536</v>
      </c>
      <c r="D98" s="282" t="s">
        <v>671</v>
      </c>
      <c r="E98" s="285"/>
      <c r="F98" s="252" t="str">
        <f t="shared" si="23"/>
        <v>GRSM</v>
      </c>
      <c r="G98" s="252">
        <f t="shared" si="17"/>
        <v>0</v>
      </c>
      <c r="H98" s="465">
        <v>0</v>
      </c>
      <c r="I98" s="465">
        <f t="shared" si="18"/>
        <v>0</v>
      </c>
      <c r="J98" s="252">
        <f t="shared" si="19"/>
        <v>0</v>
      </c>
      <c r="K98" s="470" t="s">
        <v>494</v>
      </c>
      <c r="L98" s="318"/>
      <c r="M98" s="466">
        <f t="shared" si="21"/>
        <v>0</v>
      </c>
      <c r="N98" s="252">
        <f t="shared" si="20"/>
        <v>0</v>
      </c>
      <c r="O98" s="256">
        <v>2</v>
      </c>
    </row>
    <row r="99" spans="1:15" x14ac:dyDescent="0.2">
      <c r="A99" s="248" t="s">
        <v>672</v>
      </c>
      <c r="B99" s="249">
        <v>456</v>
      </c>
      <c r="C99" s="249">
        <v>4186538</v>
      </c>
      <c r="D99" s="282" t="s">
        <v>673</v>
      </c>
      <c r="E99" s="285"/>
      <c r="F99" s="252" t="str">
        <f t="shared" si="23"/>
        <v>GRSM</v>
      </c>
      <c r="G99" s="252">
        <f t="shared" si="17"/>
        <v>0</v>
      </c>
      <c r="H99" s="465">
        <v>0</v>
      </c>
      <c r="I99" s="465">
        <f t="shared" si="18"/>
        <v>0</v>
      </c>
      <c r="J99" s="252">
        <f t="shared" si="19"/>
        <v>0</v>
      </c>
      <c r="K99" s="470" t="s">
        <v>494</v>
      </c>
      <c r="L99" s="318"/>
      <c r="M99" s="466">
        <f t="shared" si="21"/>
        <v>0</v>
      </c>
      <c r="N99" s="252">
        <f t="shared" si="20"/>
        <v>0</v>
      </c>
      <c r="O99" s="256">
        <v>2</v>
      </c>
    </row>
    <row r="100" spans="1:15" x14ac:dyDescent="0.2">
      <c r="A100" s="248" t="s">
        <v>674</v>
      </c>
      <c r="B100" s="249">
        <v>456</v>
      </c>
      <c r="C100" s="250" t="s">
        <v>675</v>
      </c>
      <c r="D100" s="250" t="s">
        <v>676</v>
      </c>
      <c r="E100" s="285"/>
      <c r="F100" s="252" t="str">
        <f t="shared" si="23"/>
        <v>GRSM</v>
      </c>
      <c r="G100" s="252">
        <f t="shared" si="17"/>
        <v>0</v>
      </c>
      <c r="H100" s="465">
        <v>0</v>
      </c>
      <c r="I100" s="465">
        <f t="shared" si="18"/>
        <v>0</v>
      </c>
      <c r="J100" s="252">
        <f t="shared" si="19"/>
        <v>0</v>
      </c>
      <c r="K100" s="470" t="s">
        <v>271</v>
      </c>
      <c r="L100" s="318"/>
      <c r="M100" s="466">
        <f t="shared" si="21"/>
        <v>0</v>
      </c>
      <c r="N100" s="252">
        <f t="shared" si="20"/>
        <v>0</v>
      </c>
      <c r="O100" s="256">
        <v>2</v>
      </c>
    </row>
    <row r="101" spans="1:15" x14ac:dyDescent="0.2">
      <c r="A101" s="248" t="s">
        <v>677</v>
      </c>
      <c r="B101" s="249">
        <v>456</v>
      </c>
      <c r="C101" s="250" t="s">
        <v>678</v>
      </c>
      <c r="D101" s="250" t="s">
        <v>679</v>
      </c>
      <c r="E101" s="285"/>
      <c r="F101" s="252" t="str">
        <f t="shared" si="23"/>
        <v>GRSM</v>
      </c>
      <c r="G101" s="252">
        <f t="shared" si="17"/>
        <v>0</v>
      </c>
      <c r="H101" s="465">
        <v>0</v>
      </c>
      <c r="I101" s="465">
        <f t="shared" si="18"/>
        <v>0</v>
      </c>
      <c r="J101" s="252">
        <f t="shared" si="19"/>
        <v>0</v>
      </c>
      <c r="K101" s="470" t="s">
        <v>271</v>
      </c>
      <c r="L101" s="318"/>
      <c r="M101" s="466">
        <f>J101-L101</f>
        <v>0</v>
      </c>
      <c r="N101" s="252">
        <f t="shared" si="20"/>
        <v>0</v>
      </c>
      <c r="O101" s="256">
        <v>2</v>
      </c>
    </row>
    <row r="102" spans="1:15" x14ac:dyDescent="0.2">
      <c r="A102" s="248" t="s">
        <v>680</v>
      </c>
      <c r="B102" s="249">
        <v>456</v>
      </c>
      <c r="C102" s="250" t="s">
        <v>681</v>
      </c>
      <c r="D102" s="250" t="s">
        <v>682</v>
      </c>
      <c r="E102" s="285"/>
      <c r="F102" s="252" t="str">
        <f t="shared" si="23"/>
        <v>GRSM</v>
      </c>
      <c r="G102" s="252">
        <f t="shared" si="17"/>
        <v>0</v>
      </c>
      <c r="H102" s="465">
        <v>0</v>
      </c>
      <c r="I102" s="465">
        <f t="shared" si="18"/>
        <v>0</v>
      </c>
      <c r="J102" s="252">
        <f t="shared" si="19"/>
        <v>0</v>
      </c>
      <c r="K102" s="470" t="s">
        <v>271</v>
      </c>
      <c r="L102" s="318"/>
      <c r="M102" s="466">
        <f t="shared" si="21"/>
        <v>0</v>
      </c>
      <c r="N102" s="252">
        <f t="shared" si="20"/>
        <v>0</v>
      </c>
      <c r="O102" s="256">
        <v>2</v>
      </c>
    </row>
    <row r="103" spans="1:15" x14ac:dyDescent="0.2">
      <c r="A103" s="248" t="s">
        <v>683</v>
      </c>
      <c r="B103" s="249">
        <v>456</v>
      </c>
      <c r="C103" s="250" t="s">
        <v>684</v>
      </c>
      <c r="D103" s="250" t="s">
        <v>685</v>
      </c>
      <c r="E103" s="285"/>
      <c r="F103" s="252" t="str">
        <f t="shared" si="23"/>
        <v>GRSM</v>
      </c>
      <c r="G103" s="252">
        <f t="shared" si="17"/>
        <v>0</v>
      </c>
      <c r="H103" s="465">
        <v>0</v>
      </c>
      <c r="I103" s="465">
        <f t="shared" si="18"/>
        <v>0</v>
      </c>
      <c r="J103" s="252">
        <f>IF(F103=$J$2,E103,0)</f>
        <v>0</v>
      </c>
      <c r="K103" s="470" t="s">
        <v>271</v>
      </c>
      <c r="L103" s="318"/>
      <c r="M103" s="466">
        <f t="shared" si="21"/>
        <v>0</v>
      </c>
      <c r="N103" s="252">
        <f t="shared" si="20"/>
        <v>0</v>
      </c>
      <c r="O103" s="259">
        <v>2</v>
      </c>
    </row>
    <row r="104" spans="1:15" x14ac:dyDescent="0.2">
      <c r="A104" s="248" t="s">
        <v>686</v>
      </c>
      <c r="B104" s="249">
        <v>456</v>
      </c>
      <c r="C104" s="250" t="s">
        <v>687</v>
      </c>
      <c r="D104" s="250" t="s">
        <v>688</v>
      </c>
      <c r="E104" s="285">
        <v>24950.240000000002</v>
      </c>
      <c r="F104" s="252" t="str">
        <f t="shared" si="23"/>
        <v>GRSM</v>
      </c>
      <c r="G104" s="252">
        <f t="shared" si="17"/>
        <v>0</v>
      </c>
      <c r="H104" s="465">
        <v>0</v>
      </c>
      <c r="I104" s="465">
        <f t="shared" si="18"/>
        <v>0</v>
      </c>
      <c r="J104" s="252">
        <f t="shared" si="19"/>
        <v>24950.240000000002</v>
      </c>
      <c r="K104" s="470" t="s">
        <v>271</v>
      </c>
      <c r="L104" s="305"/>
      <c r="M104" s="465">
        <f t="shared" si="21"/>
        <v>24950.240000000002</v>
      </c>
      <c r="N104" s="252">
        <f t="shared" si="20"/>
        <v>0</v>
      </c>
      <c r="O104" s="256">
        <v>2</v>
      </c>
    </row>
    <row r="105" spans="1:15" x14ac:dyDescent="0.2">
      <c r="A105" s="248" t="s">
        <v>689</v>
      </c>
      <c r="B105" s="249">
        <v>456</v>
      </c>
      <c r="C105" s="250" t="s">
        <v>690</v>
      </c>
      <c r="D105" s="250" t="s">
        <v>691</v>
      </c>
      <c r="E105" s="285">
        <v>296570.53999999998</v>
      </c>
      <c r="F105" s="252" t="str">
        <f>$N$2</f>
        <v>Other Ratemaking</v>
      </c>
      <c r="G105" s="252">
        <f t="shared" si="17"/>
        <v>0</v>
      </c>
      <c r="H105" s="465">
        <v>0</v>
      </c>
      <c r="I105" s="465">
        <f t="shared" si="18"/>
        <v>0</v>
      </c>
      <c r="J105" s="252">
        <f t="shared" si="19"/>
        <v>0</v>
      </c>
      <c r="K105" s="252"/>
      <c r="L105" s="318"/>
      <c r="M105" s="466">
        <f t="shared" si="21"/>
        <v>0</v>
      </c>
      <c r="N105" s="252">
        <f t="shared" si="20"/>
        <v>296570.53999999998</v>
      </c>
      <c r="O105" s="259">
        <v>6</v>
      </c>
    </row>
    <row r="106" spans="1:15" x14ac:dyDescent="0.2">
      <c r="A106" s="248" t="s">
        <v>692</v>
      </c>
      <c r="B106" s="249">
        <v>456</v>
      </c>
      <c r="C106" s="250" t="s">
        <v>693</v>
      </c>
      <c r="D106" s="250" t="s">
        <v>694</v>
      </c>
      <c r="E106" s="285">
        <v>11518648.529999999</v>
      </c>
      <c r="F106" s="252" t="str">
        <f>$G$2</f>
        <v>Traditional OOR</v>
      </c>
      <c r="G106" s="252">
        <f t="shared" si="17"/>
        <v>11518648.529999999</v>
      </c>
      <c r="H106" s="465">
        <v>0</v>
      </c>
      <c r="I106" s="465">
        <f t="shared" si="18"/>
        <v>11518648.529999999</v>
      </c>
      <c r="J106" s="252">
        <f t="shared" si="19"/>
        <v>0</v>
      </c>
      <c r="K106" s="252"/>
      <c r="L106" s="318"/>
      <c r="M106" s="466">
        <f t="shared" si="21"/>
        <v>0</v>
      </c>
      <c r="N106" s="252">
        <f t="shared" si="20"/>
        <v>0</v>
      </c>
      <c r="O106" s="259">
        <v>4</v>
      </c>
    </row>
    <row r="107" spans="1:15" x14ac:dyDescent="0.2">
      <c r="A107" s="248" t="s">
        <v>695</v>
      </c>
      <c r="B107" s="249">
        <v>456</v>
      </c>
      <c r="C107" s="250" t="s">
        <v>696</v>
      </c>
      <c r="D107" s="250" t="s">
        <v>697</v>
      </c>
      <c r="E107" s="285">
        <v>134519011.94999999</v>
      </c>
      <c r="F107" s="252" t="str">
        <f t="shared" ref="F107:F112" si="24">$N$2</f>
        <v>Other Ratemaking</v>
      </c>
      <c r="G107" s="252">
        <f t="shared" si="17"/>
        <v>0</v>
      </c>
      <c r="H107" s="465">
        <v>0</v>
      </c>
      <c r="I107" s="465">
        <f t="shared" si="18"/>
        <v>0</v>
      </c>
      <c r="J107" s="252">
        <f t="shared" si="19"/>
        <v>0</v>
      </c>
      <c r="K107" s="252"/>
      <c r="L107" s="318"/>
      <c r="M107" s="466">
        <f t="shared" si="21"/>
        <v>0</v>
      </c>
      <c r="N107" s="252">
        <f t="shared" si="20"/>
        <v>134519011.94999999</v>
      </c>
      <c r="O107" s="259">
        <v>6</v>
      </c>
    </row>
    <row r="108" spans="1:15" x14ac:dyDescent="0.2">
      <c r="A108" s="248" t="s">
        <v>698</v>
      </c>
      <c r="B108" s="249">
        <v>456</v>
      </c>
      <c r="C108" s="250" t="s">
        <v>699</v>
      </c>
      <c r="D108" s="250" t="s">
        <v>700</v>
      </c>
      <c r="E108" s="285">
        <v>-35894910.229999997</v>
      </c>
      <c r="F108" s="252" t="str">
        <f t="shared" si="24"/>
        <v>Other Ratemaking</v>
      </c>
      <c r="G108" s="252">
        <f t="shared" si="17"/>
        <v>0</v>
      </c>
      <c r="H108" s="465">
        <v>0</v>
      </c>
      <c r="I108" s="465">
        <f t="shared" si="18"/>
        <v>0</v>
      </c>
      <c r="J108" s="252">
        <f t="shared" si="19"/>
        <v>0</v>
      </c>
      <c r="K108" s="252"/>
      <c r="L108" s="318"/>
      <c r="M108" s="466">
        <f t="shared" si="21"/>
        <v>0</v>
      </c>
      <c r="N108" s="252">
        <f t="shared" si="20"/>
        <v>-35894910.229999997</v>
      </c>
      <c r="O108" s="259">
        <v>6</v>
      </c>
    </row>
    <row r="109" spans="1:15" x14ac:dyDescent="0.2">
      <c r="A109" s="248" t="s">
        <v>701</v>
      </c>
      <c r="B109" s="249">
        <v>456</v>
      </c>
      <c r="C109" s="250" t="s">
        <v>702</v>
      </c>
      <c r="D109" s="250" t="s">
        <v>703</v>
      </c>
      <c r="E109" s="285">
        <v>-134518430.02000001</v>
      </c>
      <c r="F109" s="252" t="str">
        <f t="shared" si="24"/>
        <v>Other Ratemaking</v>
      </c>
      <c r="G109" s="252">
        <f t="shared" si="17"/>
        <v>0</v>
      </c>
      <c r="H109" s="465">
        <v>0</v>
      </c>
      <c r="I109" s="465">
        <f t="shared" si="18"/>
        <v>0</v>
      </c>
      <c r="J109" s="252">
        <f t="shared" si="19"/>
        <v>0</v>
      </c>
      <c r="K109" s="252"/>
      <c r="L109" s="318"/>
      <c r="M109" s="466">
        <f t="shared" si="21"/>
        <v>0</v>
      </c>
      <c r="N109" s="252">
        <f t="shared" si="20"/>
        <v>-134518430.02000001</v>
      </c>
      <c r="O109" s="259">
        <v>6</v>
      </c>
    </row>
    <row r="110" spans="1:15" x14ac:dyDescent="0.2">
      <c r="A110" s="248" t="s">
        <v>704</v>
      </c>
      <c r="B110" s="249">
        <v>456</v>
      </c>
      <c r="C110" s="250" t="s">
        <v>705</v>
      </c>
      <c r="D110" s="250" t="s">
        <v>706</v>
      </c>
      <c r="E110" s="285">
        <v>35894910.229999997</v>
      </c>
      <c r="F110" s="252" t="str">
        <f t="shared" si="24"/>
        <v>Other Ratemaking</v>
      </c>
      <c r="G110" s="252">
        <f t="shared" si="17"/>
        <v>0</v>
      </c>
      <c r="H110" s="465">
        <v>0</v>
      </c>
      <c r="I110" s="465">
        <f t="shared" si="18"/>
        <v>0</v>
      </c>
      <c r="J110" s="252">
        <f t="shared" si="19"/>
        <v>0</v>
      </c>
      <c r="K110" s="252"/>
      <c r="L110" s="318"/>
      <c r="M110" s="466">
        <f t="shared" si="21"/>
        <v>0</v>
      </c>
      <c r="N110" s="252">
        <f t="shared" si="20"/>
        <v>35894910.229999997</v>
      </c>
      <c r="O110" s="259">
        <v>6</v>
      </c>
    </row>
    <row r="111" spans="1:15" x14ac:dyDescent="0.2">
      <c r="A111" s="248" t="s">
        <v>707</v>
      </c>
      <c r="B111" s="249">
        <v>456</v>
      </c>
      <c r="C111" s="250" t="s">
        <v>708</v>
      </c>
      <c r="D111" s="250" t="s">
        <v>709</v>
      </c>
      <c r="E111" s="285">
        <v>21363400.280000001</v>
      </c>
      <c r="F111" s="252" t="str">
        <f t="shared" si="24"/>
        <v>Other Ratemaking</v>
      </c>
      <c r="G111" s="252">
        <f t="shared" si="17"/>
        <v>0</v>
      </c>
      <c r="H111" s="465">
        <v>0</v>
      </c>
      <c r="I111" s="465">
        <f t="shared" si="18"/>
        <v>0</v>
      </c>
      <c r="J111" s="252">
        <f t="shared" si="19"/>
        <v>0</v>
      </c>
      <c r="K111" s="252"/>
      <c r="L111" s="318"/>
      <c r="M111" s="466">
        <f t="shared" si="21"/>
        <v>0</v>
      </c>
      <c r="N111" s="252">
        <f t="shared" si="20"/>
        <v>21363400.280000001</v>
      </c>
      <c r="O111" s="259">
        <v>6</v>
      </c>
    </row>
    <row r="112" spans="1:15" x14ac:dyDescent="0.2">
      <c r="A112" s="248" t="s">
        <v>710</v>
      </c>
      <c r="B112" s="249">
        <v>456</v>
      </c>
      <c r="C112" s="250" t="s">
        <v>711</v>
      </c>
      <c r="D112" s="250" t="s">
        <v>712</v>
      </c>
      <c r="E112" s="285">
        <v>-21363400.280000001</v>
      </c>
      <c r="F112" s="252" t="str">
        <f t="shared" si="24"/>
        <v>Other Ratemaking</v>
      </c>
      <c r="G112" s="252">
        <f t="shared" si="17"/>
        <v>0</v>
      </c>
      <c r="H112" s="465">
        <v>0</v>
      </c>
      <c r="I112" s="465">
        <f t="shared" si="18"/>
        <v>0</v>
      </c>
      <c r="J112" s="252">
        <f t="shared" si="19"/>
        <v>0</v>
      </c>
      <c r="K112" s="252"/>
      <c r="L112" s="318"/>
      <c r="M112" s="466">
        <f t="shared" si="21"/>
        <v>0</v>
      </c>
      <c r="N112" s="252">
        <f t="shared" si="20"/>
        <v>-21363400.280000001</v>
      </c>
      <c r="O112" s="259">
        <v>6</v>
      </c>
    </row>
    <row r="113" spans="1:15" x14ac:dyDescent="0.2">
      <c r="A113" s="248" t="s">
        <v>713</v>
      </c>
      <c r="B113" s="249">
        <v>456</v>
      </c>
      <c r="C113" s="250" t="s">
        <v>714</v>
      </c>
      <c r="D113" s="250" t="s">
        <v>715</v>
      </c>
      <c r="E113" s="285"/>
      <c r="F113" s="252" t="str">
        <f>$J$2</f>
        <v>GRSM</v>
      </c>
      <c r="G113" s="252">
        <f t="shared" si="17"/>
        <v>0</v>
      </c>
      <c r="H113" s="465">
        <v>0</v>
      </c>
      <c r="I113" s="465">
        <f t="shared" si="18"/>
        <v>0</v>
      </c>
      <c r="J113" s="252">
        <f t="shared" si="19"/>
        <v>0</v>
      </c>
      <c r="K113" s="470" t="s">
        <v>271</v>
      </c>
      <c r="L113" s="318"/>
      <c r="M113" s="466">
        <f t="shared" si="21"/>
        <v>0</v>
      </c>
      <c r="N113" s="252">
        <f t="shared" si="20"/>
        <v>0</v>
      </c>
      <c r="O113" s="259">
        <v>2</v>
      </c>
    </row>
    <row r="114" spans="1:15" x14ac:dyDescent="0.2">
      <c r="A114" s="248" t="s">
        <v>716</v>
      </c>
      <c r="B114" s="249">
        <v>456</v>
      </c>
      <c r="C114" s="250" t="s">
        <v>717</v>
      </c>
      <c r="D114" s="250" t="s">
        <v>718</v>
      </c>
      <c r="E114" s="305"/>
      <c r="F114" s="252" t="str">
        <f>$J$2</f>
        <v>GRSM</v>
      </c>
      <c r="G114" s="252">
        <f t="shared" si="17"/>
        <v>0</v>
      </c>
      <c r="H114" s="465">
        <v>0</v>
      </c>
      <c r="I114" s="465">
        <f t="shared" si="18"/>
        <v>0</v>
      </c>
      <c r="J114" s="252">
        <f t="shared" si="19"/>
        <v>0</v>
      </c>
      <c r="K114" s="470" t="s">
        <v>271</v>
      </c>
      <c r="L114" s="305"/>
      <c r="M114" s="466">
        <f t="shared" si="21"/>
        <v>0</v>
      </c>
      <c r="N114" s="252">
        <f t="shared" si="20"/>
        <v>0</v>
      </c>
      <c r="O114" s="259">
        <v>2</v>
      </c>
    </row>
    <row r="115" spans="1:15" x14ac:dyDescent="0.2">
      <c r="A115" s="248" t="s">
        <v>719</v>
      </c>
      <c r="B115" s="249">
        <v>456</v>
      </c>
      <c r="C115" s="250" t="s">
        <v>720</v>
      </c>
      <c r="D115" s="250" t="s">
        <v>721</v>
      </c>
      <c r="E115" s="285"/>
      <c r="F115" s="252" t="str">
        <f>$N$2</f>
        <v>Other Ratemaking</v>
      </c>
      <c r="G115" s="252">
        <f t="shared" si="17"/>
        <v>0</v>
      </c>
      <c r="H115" s="465">
        <v>0</v>
      </c>
      <c r="I115" s="465">
        <f t="shared" si="18"/>
        <v>0</v>
      </c>
      <c r="J115" s="252">
        <f t="shared" si="19"/>
        <v>0</v>
      </c>
      <c r="K115" s="252"/>
      <c r="L115" s="318"/>
      <c r="M115" s="466">
        <f t="shared" si="21"/>
        <v>0</v>
      </c>
      <c r="N115" s="252">
        <f t="shared" si="20"/>
        <v>0</v>
      </c>
      <c r="O115" s="259">
        <v>6</v>
      </c>
    </row>
    <row r="116" spans="1:15" x14ac:dyDescent="0.2">
      <c r="A116" s="248" t="s">
        <v>722</v>
      </c>
      <c r="B116" s="249">
        <v>456</v>
      </c>
      <c r="C116" s="250" t="s">
        <v>723</v>
      </c>
      <c r="D116" s="250" t="s">
        <v>724</v>
      </c>
      <c r="E116" s="285">
        <v>213221.81</v>
      </c>
      <c r="F116" s="252" t="str">
        <f t="shared" ref="F116:F126" si="25">$G$2</f>
        <v>Traditional OOR</v>
      </c>
      <c r="G116" s="252">
        <f t="shared" si="17"/>
        <v>213221.81</v>
      </c>
      <c r="H116" s="465">
        <v>0</v>
      </c>
      <c r="I116" s="465">
        <f t="shared" si="18"/>
        <v>213221.81</v>
      </c>
      <c r="J116" s="252">
        <f t="shared" si="19"/>
        <v>0</v>
      </c>
      <c r="K116" s="252"/>
      <c r="L116" s="318"/>
      <c r="M116" s="466">
        <f t="shared" si="21"/>
        <v>0</v>
      </c>
      <c r="N116" s="252">
        <f t="shared" si="20"/>
        <v>0</v>
      </c>
      <c r="O116" s="259">
        <v>1</v>
      </c>
    </row>
    <row r="117" spans="1:15" x14ac:dyDescent="0.2">
      <c r="A117" s="248" t="s">
        <v>725</v>
      </c>
      <c r="B117" s="249">
        <v>456</v>
      </c>
      <c r="C117" s="250" t="s">
        <v>726</v>
      </c>
      <c r="D117" s="250" t="s">
        <v>727</v>
      </c>
      <c r="E117" s="285"/>
      <c r="F117" s="252" t="str">
        <f t="shared" si="25"/>
        <v>Traditional OOR</v>
      </c>
      <c r="G117" s="252">
        <f t="shared" si="17"/>
        <v>0</v>
      </c>
      <c r="H117" s="465">
        <v>0</v>
      </c>
      <c r="I117" s="465">
        <f t="shared" si="18"/>
        <v>0</v>
      </c>
      <c r="J117" s="252">
        <f t="shared" si="19"/>
        <v>0</v>
      </c>
      <c r="K117" s="252"/>
      <c r="L117" s="318"/>
      <c r="M117" s="466">
        <f t="shared" si="21"/>
        <v>0</v>
      </c>
      <c r="N117" s="252">
        <f t="shared" si="20"/>
        <v>0</v>
      </c>
      <c r="O117" s="259">
        <v>1</v>
      </c>
    </row>
    <row r="118" spans="1:15" x14ac:dyDescent="0.2">
      <c r="A118" s="248" t="s">
        <v>728</v>
      </c>
      <c r="B118" s="249">
        <v>456</v>
      </c>
      <c r="C118" s="250" t="s">
        <v>729</v>
      </c>
      <c r="D118" s="250" t="s">
        <v>730</v>
      </c>
      <c r="E118" s="285">
        <v>4153400.71</v>
      </c>
      <c r="F118" s="252" t="str">
        <f t="shared" si="25"/>
        <v>Traditional OOR</v>
      </c>
      <c r="G118" s="252">
        <f t="shared" si="17"/>
        <v>4153400.71</v>
      </c>
      <c r="H118" s="465">
        <v>0</v>
      </c>
      <c r="I118" s="465">
        <f t="shared" si="18"/>
        <v>4153400.71</v>
      </c>
      <c r="J118" s="252">
        <f t="shared" si="19"/>
        <v>0</v>
      </c>
      <c r="K118" s="252"/>
      <c r="L118" s="318"/>
      <c r="M118" s="466">
        <f t="shared" si="21"/>
        <v>0</v>
      </c>
      <c r="N118" s="252">
        <f t="shared" si="20"/>
        <v>0</v>
      </c>
      <c r="O118" s="259">
        <v>4</v>
      </c>
    </row>
    <row r="119" spans="1:15" x14ac:dyDescent="0.2">
      <c r="A119" s="248" t="s">
        <v>731</v>
      </c>
      <c r="B119" s="249">
        <v>456</v>
      </c>
      <c r="C119" s="250" t="s">
        <v>732</v>
      </c>
      <c r="D119" s="250" t="s">
        <v>733</v>
      </c>
      <c r="E119" s="285">
        <v>154068</v>
      </c>
      <c r="F119" s="252" t="str">
        <f t="shared" si="25"/>
        <v>Traditional OOR</v>
      </c>
      <c r="G119" s="252">
        <f t="shared" si="17"/>
        <v>154068</v>
      </c>
      <c r="H119" s="465">
        <v>0</v>
      </c>
      <c r="I119" s="465">
        <f t="shared" si="18"/>
        <v>154068</v>
      </c>
      <c r="J119" s="252">
        <f t="shared" si="19"/>
        <v>0</v>
      </c>
      <c r="K119" s="252"/>
      <c r="L119" s="318"/>
      <c r="M119" s="466">
        <f t="shared" si="21"/>
        <v>0</v>
      </c>
      <c r="N119" s="252">
        <f t="shared" si="20"/>
        <v>0</v>
      </c>
      <c r="O119" s="259">
        <v>4</v>
      </c>
    </row>
    <row r="120" spans="1:15" x14ac:dyDescent="0.2">
      <c r="A120" s="248" t="s">
        <v>734</v>
      </c>
      <c r="B120" s="249">
        <v>456</v>
      </c>
      <c r="C120" s="250" t="s">
        <v>735</v>
      </c>
      <c r="D120" s="250" t="s">
        <v>736</v>
      </c>
      <c r="E120" s="285"/>
      <c r="F120" s="252" t="str">
        <f t="shared" si="25"/>
        <v>Traditional OOR</v>
      </c>
      <c r="G120" s="252">
        <f t="shared" si="17"/>
        <v>0</v>
      </c>
      <c r="H120" s="465">
        <v>0</v>
      </c>
      <c r="I120" s="465">
        <f t="shared" si="18"/>
        <v>0</v>
      </c>
      <c r="J120" s="252">
        <f t="shared" si="19"/>
        <v>0</v>
      </c>
      <c r="K120" s="252"/>
      <c r="L120" s="318"/>
      <c r="M120" s="466">
        <f t="shared" si="21"/>
        <v>0</v>
      </c>
      <c r="N120" s="252">
        <f t="shared" si="20"/>
        <v>0</v>
      </c>
      <c r="O120" s="259">
        <v>4</v>
      </c>
    </row>
    <row r="121" spans="1:15" x14ac:dyDescent="0.2">
      <c r="A121" s="248" t="s">
        <v>737</v>
      </c>
      <c r="B121" s="249">
        <v>456</v>
      </c>
      <c r="C121" s="250" t="s">
        <v>738</v>
      </c>
      <c r="D121" s="250" t="s">
        <v>739</v>
      </c>
      <c r="E121" s="285"/>
      <c r="F121" s="252" t="str">
        <f t="shared" si="25"/>
        <v>Traditional OOR</v>
      </c>
      <c r="G121" s="252">
        <f t="shared" si="17"/>
        <v>0</v>
      </c>
      <c r="H121" s="465">
        <v>0</v>
      </c>
      <c r="I121" s="465">
        <f t="shared" si="18"/>
        <v>0</v>
      </c>
      <c r="J121" s="252">
        <f t="shared" si="19"/>
        <v>0</v>
      </c>
      <c r="K121" s="252"/>
      <c r="L121" s="318"/>
      <c r="M121" s="466">
        <f t="shared" si="21"/>
        <v>0</v>
      </c>
      <c r="N121" s="252">
        <f t="shared" si="20"/>
        <v>0</v>
      </c>
      <c r="O121" s="259">
        <v>1</v>
      </c>
    </row>
    <row r="122" spans="1:15" ht="13.5" thickBot="1" x14ac:dyDescent="0.25">
      <c r="A122" s="248" t="s">
        <v>740</v>
      </c>
      <c r="B122" s="249">
        <v>456</v>
      </c>
      <c r="C122" s="250" t="s">
        <v>741</v>
      </c>
      <c r="D122" s="250" t="s">
        <v>742</v>
      </c>
      <c r="E122" s="285"/>
      <c r="F122" s="252" t="str">
        <f t="shared" si="25"/>
        <v>Traditional OOR</v>
      </c>
      <c r="G122" s="252">
        <f t="shared" si="17"/>
        <v>0</v>
      </c>
      <c r="H122" s="465">
        <v>0</v>
      </c>
      <c r="I122" s="465">
        <f t="shared" si="18"/>
        <v>0</v>
      </c>
      <c r="J122" s="252">
        <f t="shared" si="19"/>
        <v>0</v>
      </c>
      <c r="K122" s="252"/>
      <c r="L122" s="318"/>
      <c r="M122" s="466">
        <f t="shared" si="21"/>
        <v>0</v>
      </c>
      <c r="N122" s="252">
        <f t="shared" si="20"/>
        <v>0</v>
      </c>
      <c r="O122" s="259">
        <v>4</v>
      </c>
    </row>
    <row r="123" spans="1:15" ht="13.5" thickBot="1" x14ac:dyDescent="0.25">
      <c r="A123" s="248" t="s">
        <v>743</v>
      </c>
      <c r="B123" s="249">
        <v>456</v>
      </c>
      <c r="C123" s="250" t="s">
        <v>744</v>
      </c>
      <c r="D123" s="250" t="s">
        <v>745</v>
      </c>
      <c r="E123" s="285">
        <v>1872662.71</v>
      </c>
      <c r="F123" s="252" t="str">
        <f t="shared" si="25"/>
        <v>Traditional OOR</v>
      </c>
      <c r="G123" s="252">
        <f t="shared" si="17"/>
        <v>1872662.71</v>
      </c>
      <c r="H123" s="472">
        <v>75179.179999999993</v>
      </c>
      <c r="I123" s="465">
        <f t="shared" si="18"/>
        <v>1797483.53</v>
      </c>
      <c r="J123" s="252">
        <f t="shared" si="19"/>
        <v>0</v>
      </c>
      <c r="K123" s="252"/>
      <c r="L123" s="318"/>
      <c r="M123" s="466">
        <f t="shared" si="21"/>
        <v>0</v>
      </c>
      <c r="N123" s="252">
        <f t="shared" si="20"/>
        <v>0</v>
      </c>
      <c r="O123" s="256">
        <v>8</v>
      </c>
    </row>
    <row r="124" spans="1:15" x14ac:dyDescent="0.2">
      <c r="A124" s="248" t="s">
        <v>746</v>
      </c>
      <c r="B124" s="249">
        <v>456</v>
      </c>
      <c r="C124" s="250" t="s">
        <v>747</v>
      </c>
      <c r="D124" s="250" t="s">
        <v>748</v>
      </c>
      <c r="E124" s="285">
        <v>13178621.02</v>
      </c>
      <c r="F124" s="252" t="str">
        <f t="shared" si="25"/>
        <v>Traditional OOR</v>
      </c>
      <c r="G124" s="252">
        <f t="shared" si="17"/>
        <v>13178621.02</v>
      </c>
      <c r="H124" s="465">
        <v>0</v>
      </c>
      <c r="I124" s="465">
        <f t="shared" si="18"/>
        <v>13178621.02</v>
      </c>
      <c r="J124" s="252">
        <f t="shared" si="19"/>
        <v>0</v>
      </c>
      <c r="K124" s="252"/>
      <c r="L124" s="318"/>
      <c r="M124" s="466">
        <f t="shared" si="21"/>
        <v>0</v>
      </c>
      <c r="N124" s="252">
        <f t="shared" si="20"/>
        <v>0</v>
      </c>
      <c r="O124" s="259">
        <v>4</v>
      </c>
    </row>
    <row r="125" spans="1:15" x14ac:dyDescent="0.2">
      <c r="A125" s="248" t="s">
        <v>749</v>
      </c>
      <c r="B125" s="249">
        <v>456</v>
      </c>
      <c r="C125" s="250" t="s">
        <v>750</v>
      </c>
      <c r="D125" s="250" t="s">
        <v>751</v>
      </c>
      <c r="E125" s="285">
        <v>2536.8000000000002</v>
      </c>
      <c r="F125" s="252" t="str">
        <f t="shared" si="25"/>
        <v>Traditional OOR</v>
      </c>
      <c r="G125" s="252">
        <f t="shared" si="17"/>
        <v>2536.8000000000002</v>
      </c>
      <c r="H125" s="465">
        <v>0</v>
      </c>
      <c r="I125" s="465">
        <f t="shared" si="18"/>
        <v>2536.8000000000002</v>
      </c>
      <c r="J125" s="252">
        <f t="shared" si="19"/>
        <v>0</v>
      </c>
      <c r="K125" s="252"/>
      <c r="L125" s="318"/>
      <c r="M125" s="466">
        <f t="shared" si="21"/>
        <v>0</v>
      </c>
      <c r="N125" s="252">
        <f t="shared" si="20"/>
        <v>0</v>
      </c>
      <c r="O125" s="259">
        <v>4</v>
      </c>
    </row>
    <row r="126" spans="1:15" x14ac:dyDescent="0.2">
      <c r="A126" s="248" t="s">
        <v>752</v>
      </c>
      <c r="B126" s="249">
        <v>456</v>
      </c>
      <c r="C126" s="250" t="s">
        <v>753</v>
      </c>
      <c r="D126" s="250" t="s">
        <v>754</v>
      </c>
      <c r="E126" s="285">
        <v>673777.81</v>
      </c>
      <c r="F126" s="252" t="str">
        <f t="shared" si="25"/>
        <v>Traditional OOR</v>
      </c>
      <c r="G126" s="252">
        <f t="shared" si="17"/>
        <v>673777.81</v>
      </c>
      <c r="H126" s="465">
        <v>0</v>
      </c>
      <c r="I126" s="465">
        <f t="shared" si="18"/>
        <v>673777.81</v>
      </c>
      <c r="J126" s="252">
        <f t="shared" si="19"/>
        <v>0</v>
      </c>
      <c r="K126" s="252"/>
      <c r="L126" s="318"/>
      <c r="M126" s="466">
        <f t="shared" si="21"/>
        <v>0</v>
      </c>
      <c r="N126" s="252">
        <f t="shared" si="20"/>
        <v>0</v>
      </c>
      <c r="O126" s="259">
        <v>6</v>
      </c>
    </row>
    <row r="127" spans="1:15" x14ac:dyDescent="0.2">
      <c r="A127" s="248" t="s">
        <v>755</v>
      </c>
      <c r="B127" s="249">
        <v>456</v>
      </c>
      <c r="C127" s="250" t="s">
        <v>756</v>
      </c>
      <c r="D127" s="250" t="s">
        <v>757</v>
      </c>
      <c r="E127" s="285"/>
      <c r="F127" s="252" t="str">
        <f>$J$2</f>
        <v>GRSM</v>
      </c>
      <c r="G127" s="252">
        <f t="shared" si="17"/>
        <v>0</v>
      </c>
      <c r="H127" s="465">
        <v>0</v>
      </c>
      <c r="I127" s="465">
        <f t="shared" si="18"/>
        <v>0</v>
      </c>
      <c r="J127" s="252">
        <f t="shared" si="19"/>
        <v>0</v>
      </c>
      <c r="K127" s="470" t="s">
        <v>494</v>
      </c>
      <c r="L127" s="318"/>
      <c r="M127" s="466">
        <f>J127-L127</f>
        <v>0</v>
      </c>
      <c r="N127" s="252">
        <f t="shared" si="20"/>
        <v>0</v>
      </c>
      <c r="O127" s="259">
        <v>2</v>
      </c>
    </row>
    <row r="128" spans="1:15" x14ac:dyDescent="0.2">
      <c r="A128" s="248" t="s">
        <v>758</v>
      </c>
      <c r="B128" s="249">
        <v>456</v>
      </c>
      <c r="C128" s="248" t="s">
        <v>523</v>
      </c>
      <c r="D128" s="250" t="s">
        <v>524</v>
      </c>
      <c r="E128" s="285"/>
      <c r="F128" s="252" t="str">
        <f>$G$2</f>
        <v>Traditional OOR</v>
      </c>
      <c r="G128" s="252">
        <f t="shared" si="17"/>
        <v>0</v>
      </c>
      <c r="H128" s="465">
        <v>0</v>
      </c>
      <c r="I128" s="465">
        <f t="shared" si="18"/>
        <v>0</v>
      </c>
      <c r="J128" s="252">
        <f t="shared" si="19"/>
        <v>0</v>
      </c>
      <c r="K128" s="252"/>
      <c r="L128" s="318"/>
      <c r="M128" s="466">
        <f>J128-L128</f>
        <v>0</v>
      </c>
      <c r="N128" s="252">
        <f t="shared" si="20"/>
        <v>0</v>
      </c>
      <c r="O128" s="259">
        <v>1</v>
      </c>
    </row>
    <row r="129" spans="1:15" x14ac:dyDescent="0.2">
      <c r="A129" s="248" t="s">
        <v>759</v>
      </c>
      <c r="B129" s="249">
        <v>456</v>
      </c>
      <c r="C129" s="249">
        <v>4186911</v>
      </c>
      <c r="D129" s="282" t="s">
        <v>760</v>
      </c>
      <c r="E129" s="285">
        <v>3333000</v>
      </c>
      <c r="F129" s="252" t="s">
        <v>449</v>
      </c>
      <c r="G129" s="252">
        <f t="shared" si="17"/>
        <v>0</v>
      </c>
      <c r="H129" s="465">
        <v>0</v>
      </c>
      <c r="I129" s="465">
        <f t="shared" si="18"/>
        <v>0</v>
      </c>
      <c r="J129" s="252">
        <f t="shared" si="19"/>
        <v>0</v>
      </c>
      <c r="K129" s="252"/>
      <c r="L129" s="318"/>
      <c r="M129" s="465">
        <f t="shared" ref="M129:M136" si="26">J129-L129</f>
        <v>0</v>
      </c>
      <c r="N129" s="252">
        <f t="shared" si="20"/>
        <v>3333000</v>
      </c>
      <c r="O129" s="256">
        <v>6</v>
      </c>
    </row>
    <row r="130" spans="1:15" x14ac:dyDescent="0.2">
      <c r="A130" s="248" t="s">
        <v>761</v>
      </c>
      <c r="B130" s="249">
        <v>456</v>
      </c>
      <c r="C130" s="249">
        <v>4186925</v>
      </c>
      <c r="D130" s="282" t="s">
        <v>762</v>
      </c>
      <c r="E130" s="285">
        <v>376175077.13</v>
      </c>
      <c r="F130" s="252" t="s">
        <v>449</v>
      </c>
      <c r="G130" s="252">
        <f t="shared" si="17"/>
        <v>0</v>
      </c>
      <c r="H130" s="465">
        <v>0</v>
      </c>
      <c r="I130" s="465">
        <f t="shared" si="18"/>
        <v>0</v>
      </c>
      <c r="J130" s="252">
        <f t="shared" si="19"/>
        <v>0</v>
      </c>
      <c r="K130" s="252"/>
      <c r="L130" s="318"/>
      <c r="M130" s="465">
        <f t="shared" si="26"/>
        <v>0</v>
      </c>
      <c r="N130" s="252">
        <f t="shared" si="20"/>
        <v>376175077.13</v>
      </c>
      <c r="O130" s="256">
        <v>6</v>
      </c>
    </row>
    <row r="131" spans="1:15" x14ac:dyDescent="0.2">
      <c r="A131" s="261" t="s">
        <v>763</v>
      </c>
      <c r="B131" s="262">
        <v>456</v>
      </c>
      <c r="C131" s="262">
        <v>4186132</v>
      </c>
      <c r="D131" s="264" t="s">
        <v>979</v>
      </c>
      <c r="E131" s="285">
        <v>1391188.68</v>
      </c>
      <c r="F131" s="285" t="s">
        <v>447</v>
      </c>
      <c r="G131" s="285">
        <f t="shared" si="17"/>
        <v>1391188.68</v>
      </c>
      <c r="H131" s="318">
        <v>0</v>
      </c>
      <c r="I131" s="318">
        <f t="shared" si="18"/>
        <v>1391188.68</v>
      </c>
      <c r="J131" s="285">
        <f t="shared" si="19"/>
        <v>0</v>
      </c>
      <c r="K131" s="285"/>
      <c r="L131" s="318"/>
      <c r="M131" s="318">
        <f t="shared" si="26"/>
        <v>0</v>
      </c>
      <c r="N131" s="285">
        <f t="shared" si="20"/>
        <v>0</v>
      </c>
      <c r="O131" s="267">
        <v>4</v>
      </c>
    </row>
    <row r="132" spans="1:15" x14ac:dyDescent="0.2">
      <c r="A132" s="261" t="s">
        <v>765</v>
      </c>
      <c r="B132" s="262">
        <v>456</v>
      </c>
      <c r="C132" s="262">
        <v>4186116</v>
      </c>
      <c r="D132" s="264" t="s">
        <v>768</v>
      </c>
      <c r="E132" s="285">
        <v>502.27</v>
      </c>
      <c r="F132" s="285" t="s">
        <v>447</v>
      </c>
      <c r="G132" s="285">
        <f t="shared" si="17"/>
        <v>502.27</v>
      </c>
      <c r="H132" s="318">
        <v>0</v>
      </c>
      <c r="I132" s="318">
        <f t="shared" si="18"/>
        <v>502.27</v>
      </c>
      <c r="J132" s="285">
        <f t="shared" si="19"/>
        <v>0</v>
      </c>
      <c r="K132" s="285"/>
      <c r="L132" s="318"/>
      <c r="M132" s="318">
        <f t="shared" si="26"/>
        <v>0</v>
      </c>
      <c r="N132" s="285">
        <f t="shared" si="20"/>
        <v>0</v>
      </c>
      <c r="O132" s="267">
        <v>4</v>
      </c>
    </row>
    <row r="133" spans="1:15" x14ac:dyDescent="0.2">
      <c r="A133" s="261" t="s">
        <v>767</v>
      </c>
      <c r="B133" s="262">
        <v>456</v>
      </c>
      <c r="C133" s="262">
        <v>4186115</v>
      </c>
      <c r="D133" s="83" t="s">
        <v>980</v>
      </c>
      <c r="E133" s="285">
        <v>694291.62</v>
      </c>
      <c r="F133" s="285" t="s">
        <v>447</v>
      </c>
      <c r="G133" s="285">
        <f t="shared" si="17"/>
        <v>694291.62</v>
      </c>
      <c r="H133" s="318">
        <v>0</v>
      </c>
      <c r="I133" s="318">
        <f t="shared" si="18"/>
        <v>694291.62</v>
      </c>
      <c r="J133" s="285">
        <f t="shared" si="19"/>
        <v>0</v>
      </c>
      <c r="K133" s="285"/>
      <c r="L133" s="318"/>
      <c r="M133" s="318">
        <f t="shared" si="26"/>
        <v>0</v>
      </c>
      <c r="N133" s="285">
        <f t="shared" si="20"/>
        <v>0</v>
      </c>
      <c r="O133" s="267">
        <v>4</v>
      </c>
    </row>
    <row r="134" spans="1:15" x14ac:dyDescent="0.2">
      <c r="A134" s="261" t="s">
        <v>769</v>
      </c>
      <c r="B134" s="262">
        <v>456</v>
      </c>
      <c r="C134" s="262">
        <v>4186156</v>
      </c>
      <c r="D134" s="264" t="s">
        <v>981</v>
      </c>
      <c r="E134" s="285">
        <v>155622.65</v>
      </c>
      <c r="F134" s="285" t="s">
        <v>449</v>
      </c>
      <c r="G134" s="285">
        <f>H134+I134</f>
        <v>9211.3046534999994</v>
      </c>
      <c r="H134" s="318">
        <f>E134*$D$250</f>
        <v>9211.3046534999994</v>
      </c>
      <c r="I134" s="318">
        <v>0</v>
      </c>
      <c r="J134" s="285">
        <f t="shared" si="19"/>
        <v>0</v>
      </c>
      <c r="K134" s="285"/>
      <c r="L134" s="318"/>
      <c r="M134" s="318">
        <f t="shared" si="26"/>
        <v>0</v>
      </c>
      <c r="N134" s="285">
        <f>IF(F134=$N$2,E134-H134,0)</f>
        <v>146411.34534649999</v>
      </c>
      <c r="O134" s="267" t="s">
        <v>562</v>
      </c>
    </row>
    <row r="135" spans="1:15" x14ac:dyDescent="0.2">
      <c r="A135" s="261" t="s">
        <v>771</v>
      </c>
      <c r="B135" s="262">
        <v>456</v>
      </c>
      <c r="C135" s="263" t="s">
        <v>982</v>
      </c>
      <c r="D135" s="264" t="s">
        <v>983</v>
      </c>
      <c r="E135" s="285">
        <v>15016500</v>
      </c>
      <c r="F135" s="285" t="s">
        <v>447</v>
      </c>
      <c r="G135" s="285">
        <f t="shared" si="17"/>
        <v>15016500</v>
      </c>
      <c r="H135" s="318">
        <v>0</v>
      </c>
      <c r="I135" s="318">
        <f t="shared" si="18"/>
        <v>15016500</v>
      </c>
      <c r="J135" s="285">
        <f t="shared" si="19"/>
        <v>0</v>
      </c>
      <c r="K135" s="285"/>
      <c r="L135" s="318"/>
      <c r="M135" s="318">
        <f t="shared" si="26"/>
        <v>0</v>
      </c>
      <c r="N135" s="285">
        <f t="shared" si="20"/>
        <v>0</v>
      </c>
      <c r="O135" s="267">
        <v>4</v>
      </c>
    </row>
    <row r="136" spans="1:15" x14ac:dyDescent="0.2">
      <c r="A136" s="261" t="s">
        <v>984</v>
      </c>
      <c r="B136" s="262">
        <v>456</v>
      </c>
      <c r="C136" s="263" t="s">
        <v>618</v>
      </c>
      <c r="D136" s="264" t="s">
        <v>985</v>
      </c>
      <c r="E136" s="285">
        <v>18000000</v>
      </c>
      <c r="F136" s="285" t="s">
        <v>447</v>
      </c>
      <c r="G136" s="285">
        <f t="shared" si="17"/>
        <v>18000000</v>
      </c>
      <c r="H136" s="318">
        <f>G136</f>
        <v>18000000</v>
      </c>
      <c r="I136" s="318">
        <f>G136-H136</f>
        <v>0</v>
      </c>
      <c r="J136" s="285">
        <f t="shared" si="19"/>
        <v>0</v>
      </c>
      <c r="K136" s="285"/>
      <c r="L136" s="318"/>
      <c r="M136" s="318">
        <f t="shared" si="26"/>
        <v>0</v>
      </c>
      <c r="N136" s="285">
        <f t="shared" si="20"/>
        <v>0</v>
      </c>
      <c r="O136" s="267">
        <v>5</v>
      </c>
    </row>
    <row r="137" spans="1:15" x14ac:dyDescent="0.2">
      <c r="A137" s="261"/>
      <c r="B137" s="262"/>
      <c r="C137" s="263"/>
      <c r="D137" s="264"/>
      <c r="E137" s="285"/>
      <c r="F137" s="285"/>
      <c r="G137" s="285"/>
      <c r="H137" s="318"/>
      <c r="I137" s="318"/>
      <c r="J137" s="285"/>
      <c r="K137" s="285"/>
      <c r="L137" s="318"/>
      <c r="M137" s="318"/>
      <c r="N137" s="285"/>
      <c r="O137" s="267"/>
    </row>
    <row r="138" spans="1:15" x14ac:dyDescent="0.2">
      <c r="A138" s="261"/>
      <c r="B138" s="262"/>
      <c r="C138" s="263"/>
      <c r="D138" s="264"/>
      <c r="E138" s="285"/>
      <c r="F138" s="285"/>
      <c r="G138" s="468"/>
      <c r="H138" s="318"/>
      <c r="I138" s="318"/>
      <c r="J138" s="285"/>
      <c r="K138" s="285"/>
      <c r="L138" s="318"/>
      <c r="M138" s="318"/>
      <c r="N138" s="285"/>
      <c r="O138" s="267"/>
    </row>
    <row r="139" spans="1:15" x14ac:dyDescent="0.2">
      <c r="A139" s="257">
        <v>13</v>
      </c>
      <c r="B139" s="534" t="s">
        <v>773</v>
      </c>
      <c r="C139" s="526"/>
      <c r="D139" s="527"/>
      <c r="E139" s="313">
        <f>SUM(E75:E138)</f>
        <v>453970935.01999992</v>
      </c>
      <c r="F139" s="269"/>
      <c r="G139" s="313">
        <f>SUM(G75:G138)</f>
        <v>72076047.092023298</v>
      </c>
      <c r="H139" s="473">
        <f>SUM(H75:H138)</f>
        <v>18086724.312023301</v>
      </c>
      <c r="I139" s="473">
        <f>SUM(I75:I138)</f>
        <v>53989322.779999994</v>
      </c>
      <c r="J139" s="313">
        <f>SUM(J75:J138)</f>
        <v>1906151.3900000001</v>
      </c>
      <c r="K139" s="269"/>
      <c r="L139" s="313">
        <f>SUM(L75:L138)</f>
        <v>127958.41581865259</v>
      </c>
      <c r="M139" s="313">
        <f>SUM(M75:M138)</f>
        <v>1778192.9741813473</v>
      </c>
      <c r="N139" s="313">
        <f>SUM(N75:N138)</f>
        <v>379988736.53797668</v>
      </c>
      <c r="O139" s="233"/>
    </row>
    <row r="140" spans="1:15" ht="25.5" customHeight="1" x14ac:dyDescent="0.2">
      <c r="A140" s="257">
        <v>14</v>
      </c>
      <c r="B140" s="535" t="s">
        <v>774</v>
      </c>
      <c r="C140" s="536"/>
      <c r="D140" s="537"/>
      <c r="E140" s="317">
        <v>453970935</v>
      </c>
      <c r="F140" s="274"/>
      <c r="G140" s="302"/>
      <c r="H140" s="274"/>
      <c r="I140" s="274"/>
      <c r="J140" s="302"/>
      <c r="K140" s="274"/>
      <c r="L140" s="275"/>
      <c r="M140" s="275"/>
      <c r="N140" s="275"/>
      <c r="O140" s="276"/>
    </row>
    <row r="141" spans="1:15" x14ac:dyDescent="0.2">
      <c r="A141" s="277"/>
      <c r="B141" s="278"/>
      <c r="C141" s="279"/>
      <c r="D141" s="280"/>
      <c r="E141" s="275"/>
      <c r="F141" s="275"/>
      <c r="G141" s="275"/>
      <c r="H141" s="274"/>
      <c r="I141" s="274"/>
      <c r="J141" s="275"/>
      <c r="K141" s="274"/>
      <c r="L141" s="275"/>
      <c r="M141" s="275"/>
      <c r="N141" s="275"/>
      <c r="O141" s="276"/>
    </row>
    <row r="142" spans="1:15" x14ac:dyDescent="0.2">
      <c r="A142" s="257" t="s">
        <v>65</v>
      </c>
      <c r="B142" s="249">
        <v>456.1</v>
      </c>
      <c r="C142" s="250" t="s">
        <v>775</v>
      </c>
      <c r="D142" s="250" t="s">
        <v>776</v>
      </c>
      <c r="E142" s="305"/>
      <c r="F142" s="252" t="str">
        <f>$G$2</f>
        <v>Traditional OOR</v>
      </c>
      <c r="G142" s="252">
        <f t="shared" ref="G142:G163" si="27">IF(F142=$G$2,E142,0)</f>
        <v>0</v>
      </c>
      <c r="H142" s="465">
        <f>G142</f>
        <v>0</v>
      </c>
      <c r="I142" s="465">
        <f t="shared" ref="I142:I163" si="28">G142-H142</f>
        <v>0</v>
      </c>
      <c r="J142" s="252">
        <f t="shared" ref="J142:J163" si="29">IF(F142=$J$2,E142,0)</f>
        <v>0</v>
      </c>
      <c r="K142" s="470"/>
      <c r="L142" s="318"/>
      <c r="M142" s="466">
        <f t="shared" ref="M142:M163" si="30">J142-L142</f>
        <v>0</v>
      </c>
      <c r="N142" s="252">
        <f t="shared" ref="N142:N159" si="31">IF(F142=$N$2,E142,0)</f>
        <v>0</v>
      </c>
      <c r="O142" s="259">
        <v>5</v>
      </c>
    </row>
    <row r="143" spans="1:15" x14ac:dyDescent="0.2">
      <c r="A143" s="257" t="s">
        <v>777</v>
      </c>
      <c r="B143" s="249">
        <v>456.1</v>
      </c>
      <c r="C143" s="250" t="s">
        <v>778</v>
      </c>
      <c r="D143" s="250" t="s">
        <v>779</v>
      </c>
      <c r="E143" s="305">
        <v>296028</v>
      </c>
      <c r="F143" s="252" t="str">
        <f>$G$2</f>
        <v>Traditional OOR</v>
      </c>
      <c r="G143" s="252">
        <f t="shared" si="27"/>
        <v>296028</v>
      </c>
      <c r="H143" s="465">
        <v>0</v>
      </c>
      <c r="I143" s="465">
        <f t="shared" si="28"/>
        <v>296028</v>
      </c>
      <c r="J143" s="252">
        <f t="shared" si="29"/>
        <v>0</v>
      </c>
      <c r="K143" s="470"/>
      <c r="L143" s="318"/>
      <c r="M143" s="466">
        <f t="shared" si="30"/>
        <v>0</v>
      </c>
      <c r="N143" s="252">
        <f t="shared" si="31"/>
        <v>0</v>
      </c>
      <c r="O143" s="259">
        <v>4</v>
      </c>
    </row>
    <row r="144" spans="1:15" x14ac:dyDescent="0.2">
      <c r="A144" s="257" t="s">
        <v>780</v>
      </c>
      <c r="B144" s="249">
        <v>456.1</v>
      </c>
      <c r="C144" s="250" t="s">
        <v>781</v>
      </c>
      <c r="D144" s="250" t="s">
        <v>782</v>
      </c>
      <c r="E144" s="305">
        <v>992562.96</v>
      </c>
      <c r="F144" s="252" t="str">
        <f>$G$2</f>
        <v>Traditional OOR</v>
      </c>
      <c r="G144" s="252">
        <f t="shared" si="27"/>
        <v>992562.96</v>
      </c>
      <c r="H144" s="465">
        <v>0</v>
      </c>
      <c r="I144" s="465">
        <f t="shared" si="28"/>
        <v>992562.96</v>
      </c>
      <c r="J144" s="252">
        <f t="shared" si="29"/>
        <v>0</v>
      </c>
      <c r="K144" s="470"/>
      <c r="L144" s="318"/>
      <c r="M144" s="466">
        <f t="shared" si="30"/>
        <v>0</v>
      </c>
      <c r="N144" s="252">
        <f t="shared" si="31"/>
        <v>0</v>
      </c>
      <c r="O144" s="259">
        <v>4</v>
      </c>
    </row>
    <row r="145" spans="1:15" x14ac:dyDescent="0.2">
      <c r="A145" s="257" t="s">
        <v>783</v>
      </c>
      <c r="B145" s="249">
        <v>456.1</v>
      </c>
      <c r="C145" s="250" t="s">
        <v>784</v>
      </c>
      <c r="D145" s="250" t="s">
        <v>785</v>
      </c>
      <c r="E145" s="305">
        <f>3437467.79-7000</f>
        <v>3430467.79</v>
      </c>
      <c r="F145" s="252" t="str">
        <f>$N$2</f>
        <v>Other Ratemaking</v>
      </c>
      <c r="G145" s="252">
        <f t="shared" si="27"/>
        <v>0</v>
      </c>
      <c r="H145" s="465">
        <v>0</v>
      </c>
      <c r="I145" s="465">
        <f t="shared" si="28"/>
        <v>0</v>
      </c>
      <c r="J145" s="252">
        <f t="shared" si="29"/>
        <v>0</v>
      </c>
      <c r="K145" s="470"/>
      <c r="L145" s="318"/>
      <c r="M145" s="466">
        <f t="shared" si="30"/>
        <v>0</v>
      </c>
      <c r="N145" s="252">
        <f t="shared" si="31"/>
        <v>3430467.79</v>
      </c>
      <c r="O145" s="259">
        <v>6</v>
      </c>
    </row>
    <row r="146" spans="1:15" x14ac:dyDescent="0.2">
      <c r="A146" s="257" t="s">
        <v>786</v>
      </c>
      <c r="B146" s="249">
        <v>456.1</v>
      </c>
      <c r="C146" s="250" t="s">
        <v>787</v>
      </c>
      <c r="D146" s="250" t="s">
        <v>788</v>
      </c>
      <c r="E146" s="305">
        <f>50779376.35+750000</f>
        <v>51529376.350000001</v>
      </c>
      <c r="F146" s="252" t="str">
        <f>$N$2</f>
        <v>Other Ratemaking</v>
      </c>
      <c r="G146" s="252">
        <f t="shared" si="27"/>
        <v>0</v>
      </c>
      <c r="H146" s="465">
        <v>0</v>
      </c>
      <c r="I146" s="465">
        <f t="shared" si="28"/>
        <v>0</v>
      </c>
      <c r="J146" s="252">
        <f t="shared" si="29"/>
        <v>0</v>
      </c>
      <c r="K146" s="470"/>
      <c r="L146" s="318"/>
      <c r="M146" s="466">
        <f t="shared" si="30"/>
        <v>0</v>
      </c>
      <c r="N146" s="252">
        <f t="shared" si="31"/>
        <v>51529376.350000001</v>
      </c>
      <c r="O146" s="259">
        <v>6</v>
      </c>
    </row>
    <row r="147" spans="1:15" x14ac:dyDescent="0.2">
      <c r="A147" s="257" t="s">
        <v>789</v>
      </c>
      <c r="B147" s="249">
        <v>456.1</v>
      </c>
      <c r="C147" s="250" t="s">
        <v>790</v>
      </c>
      <c r="D147" s="250" t="s">
        <v>791</v>
      </c>
      <c r="E147" s="305">
        <v>15738130.58</v>
      </c>
      <c r="F147" s="252" t="str">
        <f>$N$2</f>
        <v>Other Ratemaking</v>
      </c>
      <c r="G147" s="252">
        <f t="shared" si="27"/>
        <v>0</v>
      </c>
      <c r="H147" s="465">
        <v>0</v>
      </c>
      <c r="I147" s="465">
        <f t="shared" si="28"/>
        <v>0</v>
      </c>
      <c r="J147" s="252">
        <f t="shared" si="29"/>
        <v>0</v>
      </c>
      <c r="K147" s="470"/>
      <c r="L147" s="318"/>
      <c r="M147" s="466">
        <f t="shared" si="30"/>
        <v>0</v>
      </c>
      <c r="N147" s="252">
        <f t="shared" si="31"/>
        <v>15738130.58</v>
      </c>
      <c r="O147" s="259">
        <v>6</v>
      </c>
    </row>
    <row r="148" spans="1:15" x14ac:dyDescent="0.2">
      <c r="A148" s="257" t="s">
        <v>792</v>
      </c>
      <c r="B148" s="249">
        <v>456.1</v>
      </c>
      <c r="C148" s="250" t="s">
        <v>793</v>
      </c>
      <c r="D148" s="250" t="s">
        <v>794</v>
      </c>
      <c r="E148" s="305">
        <v>46734870.240000002</v>
      </c>
      <c r="F148" s="252" t="str">
        <f>$G$2</f>
        <v>Traditional OOR</v>
      </c>
      <c r="G148" s="252">
        <f t="shared" si="27"/>
        <v>46734870.240000002</v>
      </c>
      <c r="H148" s="465">
        <f>G148</f>
        <v>46734870.240000002</v>
      </c>
      <c r="I148" s="465">
        <f t="shared" si="28"/>
        <v>0</v>
      </c>
      <c r="J148" s="252">
        <f t="shared" si="29"/>
        <v>0</v>
      </c>
      <c r="K148" s="470"/>
      <c r="L148" s="318"/>
      <c r="M148" s="466">
        <f t="shared" si="30"/>
        <v>0</v>
      </c>
      <c r="N148" s="252">
        <f t="shared" si="31"/>
        <v>0</v>
      </c>
      <c r="O148" s="259">
        <v>5</v>
      </c>
    </row>
    <row r="149" spans="1:15" x14ac:dyDescent="0.2">
      <c r="A149" s="257" t="s">
        <v>795</v>
      </c>
      <c r="B149" s="249">
        <v>456.1</v>
      </c>
      <c r="C149" s="250" t="s">
        <v>796</v>
      </c>
      <c r="D149" s="250" t="s">
        <v>797</v>
      </c>
      <c r="E149" s="305">
        <v>5539947.8300000001</v>
      </c>
      <c r="F149" s="252" t="str">
        <f>$G$2</f>
        <v>Traditional OOR</v>
      </c>
      <c r="G149" s="252">
        <f t="shared" si="27"/>
        <v>5539947.8300000001</v>
      </c>
      <c r="H149" s="465">
        <v>0</v>
      </c>
      <c r="I149" s="465">
        <f t="shared" si="28"/>
        <v>5539947.8300000001</v>
      </c>
      <c r="J149" s="252">
        <f t="shared" si="29"/>
        <v>0</v>
      </c>
      <c r="K149" s="470"/>
      <c r="L149" s="318"/>
      <c r="M149" s="466">
        <f t="shared" si="30"/>
        <v>0</v>
      </c>
      <c r="N149" s="252">
        <f t="shared" si="31"/>
        <v>0</v>
      </c>
      <c r="O149" s="259">
        <v>4</v>
      </c>
    </row>
    <row r="150" spans="1:15" x14ac:dyDescent="0.2">
      <c r="A150" s="257" t="s">
        <v>798</v>
      </c>
      <c r="B150" s="249">
        <v>456.1</v>
      </c>
      <c r="C150" s="250" t="s">
        <v>799</v>
      </c>
      <c r="D150" s="250" t="s">
        <v>800</v>
      </c>
      <c r="E150" s="305">
        <v>394622.16</v>
      </c>
      <c r="F150" s="252" t="str">
        <f>$G$2</f>
        <v>Traditional OOR</v>
      </c>
      <c r="G150" s="252">
        <f t="shared" si="27"/>
        <v>394622.16</v>
      </c>
      <c r="H150" s="465">
        <v>0</v>
      </c>
      <c r="I150" s="465">
        <f t="shared" si="28"/>
        <v>394622.16</v>
      </c>
      <c r="J150" s="252">
        <f t="shared" si="29"/>
        <v>0</v>
      </c>
      <c r="K150" s="470"/>
      <c r="L150" s="318"/>
      <c r="M150" s="466">
        <f t="shared" si="30"/>
        <v>0</v>
      </c>
      <c r="N150" s="252">
        <f t="shared" si="31"/>
        <v>0</v>
      </c>
      <c r="O150" s="259">
        <v>4</v>
      </c>
    </row>
    <row r="151" spans="1:15" x14ac:dyDescent="0.2">
      <c r="A151" s="257" t="s">
        <v>801</v>
      </c>
      <c r="B151" s="249">
        <v>456.1</v>
      </c>
      <c r="C151" s="250" t="s">
        <v>802</v>
      </c>
      <c r="D151" s="250" t="s">
        <v>803</v>
      </c>
      <c r="E151" s="305"/>
      <c r="F151" s="252" t="str">
        <f>$N$2</f>
        <v>Other Ratemaking</v>
      </c>
      <c r="G151" s="252">
        <f t="shared" si="27"/>
        <v>0</v>
      </c>
      <c r="H151" s="465">
        <v>0</v>
      </c>
      <c r="I151" s="465">
        <f t="shared" si="28"/>
        <v>0</v>
      </c>
      <c r="J151" s="252">
        <f t="shared" si="29"/>
        <v>0</v>
      </c>
      <c r="K151" s="470"/>
      <c r="L151" s="318"/>
      <c r="M151" s="466">
        <f t="shared" si="30"/>
        <v>0</v>
      </c>
      <c r="N151" s="252">
        <f t="shared" si="31"/>
        <v>0</v>
      </c>
      <c r="O151" s="259">
        <v>6</v>
      </c>
    </row>
    <row r="152" spans="1:15" x14ac:dyDescent="0.2">
      <c r="A152" s="257" t="s">
        <v>804</v>
      </c>
      <c r="B152" s="249">
        <v>456.1</v>
      </c>
      <c r="C152" s="250" t="s">
        <v>805</v>
      </c>
      <c r="D152" s="250" t="s">
        <v>806</v>
      </c>
      <c r="E152" s="305">
        <v>1080948.48</v>
      </c>
      <c r="F152" s="252" t="str">
        <f t="shared" ref="F152:F159" si="32">$G$2</f>
        <v>Traditional OOR</v>
      </c>
      <c r="G152" s="252">
        <f t="shared" si="27"/>
        <v>1080948.48</v>
      </c>
      <c r="H152" s="465">
        <v>0</v>
      </c>
      <c r="I152" s="465">
        <f t="shared" si="28"/>
        <v>1080948.48</v>
      </c>
      <c r="J152" s="252">
        <f t="shared" si="29"/>
        <v>0</v>
      </c>
      <c r="K152" s="470"/>
      <c r="L152" s="318"/>
      <c r="M152" s="466">
        <f t="shared" si="30"/>
        <v>0</v>
      </c>
      <c r="N152" s="252">
        <f t="shared" si="31"/>
        <v>0</v>
      </c>
      <c r="O152" s="259">
        <v>4</v>
      </c>
    </row>
    <row r="153" spans="1:15" x14ac:dyDescent="0.2">
      <c r="A153" s="257" t="s">
        <v>807</v>
      </c>
      <c r="B153" s="249">
        <v>456.1</v>
      </c>
      <c r="C153" s="250" t="s">
        <v>808</v>
      </c>
      <c r="D153" s="250" t="s">
        <v>809</v>
      </c>
      <c r="E153" s="305">
        <v>402147.6</v>
      </c>
      <c r="F153" s="252" t="str">
        <f t="shared" si="32"/>
        <v>Traditional OOR</v>
      </c>
      <c r="G153" s="252">
        <f t="shared" si="27"/>
        <v>402147.6</v>
      </c>
      <c r="H153" s="465">
        <v>0</v>
      </c>
      <c r="I153" s="465">
        <f t="shared" si="28"/>
        <v>402147.6</v>
      </c>
      <c r="J153" s="252">
        <f t="shared" si="29"/>
        <v>0</v>
      </c>
      <c r="K153" s="470"/>
      <c r="L153" s="318"/>
      <c r="M153" s="466">
        <f t="shared" si="30"/>
        <v>0</v>
      </c>
      <c r="N153" s="252">
        <f t="shared" si="31"/>
        <v>0</v>
      </c>
      <c r="O153" s="259">
        <v>4</v>
      </c>
    </row>
    <row r="154" spans="1:15" x14ac:dyDescent="0.2">
      <c r="A154" s="257" t="s">
        <v>810</v>
      </c>
      <c r="B154" s="249">
        <v>456.1</v>
      </c>
      <c r="C154" s="250" t="s">
        <v>811</v>
      </c>
      <c r="D154" s="250" t="s">
        <v>812</v>
      </c>
      <c r="E154" s="305">
        <v>209706</v>
      </c>
      <c r="F154" s="252" t="str">
        <f t="shared" si="32"/>
        <v>Traditional OOR</v>
      </c>
      <c r="G154" s="252">
        <f t="shared" si="27"/>
        <v>209706</v>
      </c>
      <c r="H154" s="465">
        <v>0</v>
      </c>
      <c r="I154" s="465">
        <f t="shared" si="28"/>
        <v>209706</v>
      </c>
      <c r="J154" s="252">
        <f t="shared" si="29"/>
        <v>0</v>
      </c>
      <c r="K154" s="470"/>
      <c r="L154" s="318"/>
      <c r="M154" s="466">
        <f t="shared" si="30"/>
        <v>0</v>
      </c>
      <c r="N154" s="252">
        <f t="shared" si="31"/>
        <v>0</v>
      </c>
      <c r="O154" s="259">
        <v>4</v>
      </c>
    </row>
    <row r="155" spans="1:15" x14ac:dyDescent="0.2">
      <c r="A155" s="257" t="s">
        <v>813</v>
      </c>
      <c r="B155" s="249">
        <v>456.1</v>
      </c>
      <c r="C155" s="250" t="s">
        <v>814</v>
      </c>
      <c r="D155" s="250" t="s">
        <v>815</v>
      </c>
      <c r="E155" s="305">
        <v>551001.72</v>
      </c>
      <c r="F155" s="252" t="str">
        <f t="shared" si="32"/>
        <v>Traditional OOR</v>
      </c>
      <c r="G155" s="252">
        <f t="shared" si="27"/>
        <v>551001.72</v>
      </c>
      <c r="H155" s="465">
        <v>0</v>
      </c>
      <c r="I155" s="465">
        <f t="shared" si="28"/>
        <v>551001.72</v>
      </c>
      <c r="J155" s="252">
        <f t="shared" si="29"/>
        <v>0</v>
      </c>
      <c r="K155" s="470"/>
      <c r="L155" s="318"/>
      <c r="M155" s="466">
        <f t="shared" si="30"/>
        <v>0</v>
      </c>
      <c r="N155" s="252">
        <f t="shared" si="31"/>
        <v>0</v>
      </c>
      <c r="O155" s="259">
        <v>4</v>
      </c>
    </row>
    <row r="156" spans="1:15" x14ac:dyDescent="0.2">
      <c r="A156" s="257" t="s">
        <v>816</v>
      </c>
      <c r="B156" s="249">
        <v>456.1</v>
      </c>
      <c r="C156" s="250" t="s">
        <v>817</v>
      </c>
      <c r="D156" s="250" t="s">
        <v>818</v>
      </c>
      <c r="E156" s="305">
        <v>651331.07999999996</v>
      </c>
      <c r="F156" s="252" t="str">
        <f t="shared" si="32"/>
        <v>Traditional OOR</v>
      </c>
      <c r="G156" s="252">
        <f t="shared" si="27"/>
        <v>651331.07999999996</v>
      </c>
      <c r="H156" s="465">
        <v>0</v>
      </c>
      <c r="I156" s="465">
        <f t="shared" si="28"/>
        <v>651331.07999999996</v>
      </c>
      <c r="J156" s="252">
        <f t="shared" si="29"/>
        <v>0</v>
      </c>
      <c r="K156" s="470"/>
      <c r="L156" s="318"/>
      <c r="M156" s="466">
        <f t="shared" si="30"/>
        <v>0</v>
      </c>
      <c r="N156" s="252">
        <f t="shared" si="31"/>
        <v>0</v>
      </c>
      <c r="O156" s="259">
        <v>4</v>
      </c>
    </row>
    <row r="157" spans="1:15" x14ac:dyDescent="0.2">
      <c r="A157" s="257" t="s">
        <v>819</v>
      </c>
      <c r="B157" s="249">
        <v>456.1</v>
      </c>
      <c r="C157" s="250" t="s">
        <v>820</v>
      </c>
      <c r="D157" s="250" t="s">
        <v>821</v>
      </c>
      <c r="E157" s="305">
        <v>264133.44</v>
      </c>
      <c r="F157" s="252" t="str">
        <f t="shared" si="32"/>
        <v>Traditional OOR</v>
      </c>
      <c r="G157" s="252">
        <f t="shared" si="27"/>
        <v>264133.44</v>
      </c>
      <c r="H157" s="465">
        <v>0</v>
      </c>
      <c r="I157" s="465">
        <f t="shared" si="28"/>
        <v>264133.44</v>
      </c>
      <c r="J157" s="252">
        <f t="shared" si="29"/>
        <v>0</v>
      </c>
      <c r="K157" s="470"/>
      <c r="L157" s="318"/>
      <c r="M157" s="466">
        <f t="shared" si="30"/>
        <v>0</v>
      </c>
      <c r="N157" s="252">
        <f t="shared" si="31"/>
        <v>0</v>
      </c>
      <c r="O157" s="259">
        <v>4</v>
      </c>
    </row>
    <row r="158" spans="1:15" x14ac:dyDescent="0.2">
      <c r="A158" s="257" t="s">
        <v>822</v>
      </c>
      <c r="B158" s="249">
        <v>456.1</v>
      </c>
      <c r="C158" s="250" t="s">
        <v>823</v>
      </c>
      <c r="D158" s="250" t="s">
        <v>824</v>
      </c>
      <c r="E158" s="285"/>
      <c r="F158" s="252" t="str">
        <f t="shared" si="32"/>
        <v>Traditional OOR</v>
      </c>
      <c r="G158" s="252">
        <f t="shared" si="27"/>
        <v>0</v>
      </c>
      <c r="H158" s="465">
        <v>0</v>
      </c>
      <c r="I158" s="465">
        <f t="shared" si="28"/>
        <v>0</v>
      </c>
      <c r="J158" s="252">
        <f t="shared" si="29"/>
        <v>0</v>
      </c>
      <c r="K158" s="252"/>
      <c r="L158" s="318"/>
      <c r="M158" s="466">
        <f t="shared" si="30"/>
        <v>0</v>
      </c>
      <c r="N158" s="252">
        <f t="shared" si="31"/>
        <v>0</v>
      </c>
      <c r="O158" s="259">
        <v>4</v>
      </c>
    </row>
    <row r="159" spans="1:15" x14ac:dyDescent="0.2">
      <c r="A159" s="257" t="s">
        <v>825</v>
      </c>
      <c r="B159" s="249">
        <v>456.1</v>
      </c>
      <c r="C159" s="250" t="s">
        <v>826</v>
      </c>
      <c r="D159" s="250" t="s">
        <v>827</v>
      </c>
      <c r="E159" s="305">
        <v>42492.12</v>
      </c>
      <c r="F159" s="252" t="str">
        <f t="shared" si="32"/>
        <v>Traditional OOR</v>
      </c>
      <c r="G159" s="252">
        <f t="shared" si="27"/>
        <v>42492.12</v>
      </c>
      <c r="H159" s="465">
        <v>0</v>
      </c>
      <c r="I159" s="465">
        <f t="shared" si="28"/>
        <v>42492.12</v>
      </c>
      <c r="J159" s="252">
        <f t="shared" si="29"/>
        <v>0</v>
      </c>
      <c r="K159" s="470"/>
      <c r="L159" s="318"/>
      <c r="M159" s="466">
        <f t="shared" si="30"/>
        <v>0</v>
      </c>
      <c r="N159" s="252">
        <f t="shared" si="31"/>
        <v>0</v>
      </c>
      <c r="O159" s="259">
        <v>4</v>
      </c>
    </row>
    <row r="160" spans="1:15" x14ac:dyDescent="0.2">
      <c r="A160" s="257" t="s">
        <v>828</v>
      </c>
      <c r="B160" s="249">
        <v>456.1</v>
      </c>
      <c r="C160" s="250" t="s">
        <v>829</v>
      </c>
      <c r="D160" s="250" t="s">
        <v>830</v>
      </c>
      <c r="E160" s="305">
        <v>146963.57</v>
      </c>
      <c r="F160" s="252" t="str">
        <f>$N$2</f>
        <v>Other Ratemaking</v>
      </c>
      <c r="G160" s="252">
        <f t="shared" si="27"/>
        <v>0</v>
      </c>
      <c r="H160" s="465">
        <v>0</v>
      </c>
      <c r="I160" s="465">
        <f t="shared" si="28"/>
        <v>0</v>
      </c>
      <c r="J160" s="252">
        <f t="shared" si="29"/>
        <v>0</v>
      </c>
      <c r="K160" s="470"/>
      <c r="L160" s="318"/>
      <c r="M160" s="466">
        <f t="shared" si="30"/>
        <v>0</v>
      </c>
      <c r="N160" s="252">
        <f>IF(F160=$N$2,E160,0)</f>
        <v>146963.57</v>
      </c>
      <c r="O160" s="259">
        <v>6</v>
      </c>
    </row>
    <row r="161" spans="1:15" x14ac:dyDescent="0.2">
      <c r="A161" s="261" t="s">
        <v>831</v>
      </c>
      <c r="B161" s="262">
        <v>456.1</v>
      </c>
      <c r="C161" s="263" t="s">
        <v>832</v>
      </c>
      <c r="D161" s="263" t="s">
        <v>986</v>
      </c>
      <c r="E161" s="305">
        <v>90532.92</v>
      </c>
      <c r="F161" s="285" t="s">
        <v>447</v>
      </c>
      <c r="G161" s="285">
        <f t="shared" si="27"/>
        <v>90532.92</v>
      </c>
      <c r="H161" s="318">
        <v>0</v>
      </c>
      <c r="I161" s="318">
        <f t="shared" si="28"/>
        <v>90532.92</v>
      </c>
      <c r="J161" s="285">
        <f t="shared" si="29"/>
        <v>0</v>
      </c>
      <c r="K161" s="305"/>
      <c r="L161" s="318"/>
      <c r="M161" s="318">
        <f t="shared" si="30"/>
        <v>0</v>
      </c>
      <c r="N161" s="285">
        <f>IF(F161=$N$2,E161,0)</f>
        <v>0</v>
      </c>
      <c r="O161" s="267">
        <v>4</v>
      </c>
    </row>
    <row r="162" spans="1:15" x14ac:dyDescent="0.2">
      <c r="A162" s="261" t="s">
        <v>834</v>
      </c>
      <c r="B162" s="262">
        <v>456.1</v>
      </c>
      <c r="C162" s="263" t="s">
        <v>835</v>
      </c>
      <c r="D162" s="263" t="s">
        <v>987</v>
      </c>
      <c r="E162" s="305">
        <v>229853.64</v>
      </c>
      <c r="F162" s="285" t="s">
        <v>447</v>
      </c>
      <c r="G162" s="285">
        <f t="shared" si="27"/>
        <v>229853.64</v>
      </c>
      <c r="H162" s="318">
        <v>0</v>
      </c>
      <c r="I162" s="318">
        <f t="shared" si="28"/>
        <v>229853.64</v>
      </c>
      <c r="J162" s="285">
        <f t="shared" si="29"/>
        <v>0</v>
      </c>
      <c r="K162" s="305"/>
      <c r="L162" s="318"/>
      <c r="M162" s="318">
        <f t="shared" si="30"/>
        <v>0</v>
      </c>
      <c r="N162" s="285">
        <f>IF(F162=$N$2,E162,0)</f>
        <v>0</v>
      </c>
      <c r="O162" s="267">
        <v>4</v>
      </c>
    </row>
    <row r="163" spans="1:15" x14ac:dyDescent="0.2">
      <c r="A163" s="261" t="s">
        <v>837</v>
      </c>
      <c r="B163" s="262">
        <v>456.1</v>
      </c>
      <c r="C163" s="263" t="s">
        <v>840</v>
      </c>
      <c r="D163" s="264" t="s">
        <v>988</v>
      </c>
      <c r="E163" s="305">
        <v>2295275.9500000002</v>
      </c>
      <c r="F163" s="305" t="s">
        <v>449</v>
      </c>
      <c r="G163" s="285">
        <f t="shared" si="27"/>
        <v>0</v>
      </c>
      <c r="H163" s="318">
        <v>0</v>
      </c>
      <c r="I163" s="318">
        <f t="shared" si="28"/>
        <v>0</v>
      </c>
      <c r="J163" s="285">
        <f t="shared" si="29"/>
        <v>0</v>
      </c>
      <c r="K163" s="305"/>
      <c r="L163" s="318"/>
      <c r="M163" s="318">
        <f t="shared" si="30"/>
        <v>0</v>
      </c>
      <c r="N163" s="285">
        <f t="shared" ref="N163" si="33">IF(F163=$N$2,E163,0)</f>
        <v>2295275.9500000002</v>
      </c>
      <c r="O163" s="267">
        <v>6</v>
      </c>
    </row>
    <row r="164" spans="1:15" x14ac:dyDescent="0.2">
      <c r="A164" s="261"/>
      <c r="B164" s="262"/>
      <c r="C164" s="263"/>
      <c r="D164" s="264"/>
      <c r="E164" s="305"/>
      <c r="F164" s="305"/>
      <c r="G164" s="468"/>
      <c r="H164" s="318"/>
      <c r="I164" s="318"/>
      <c r="J164" s="285"/>
      <c r="K164" s="305"/>
      <c r="L164" s="318"/>
      <c r="M164" s="318"/>
      <c r="N164" s="285"/>
      <c r="O164" s="267"/>
    </row>
    <row r="165" spans="1:15" x14ac:dyDescent="0.2">
      <c r="A165" s="261"/>
      <c r="B165" s="262"/>
      <c r="C165" s="263"/>
      <c r="D165" s="264"/>
      <c r="E165" s="305"/>
      <c r="F165" s="305"/>
      <c r="G165" s="468"/>
      <c r="H165" s="318"/>
      <c r="I165" s="318"/>
      <c r="J165" s="285"/>
      <c r="K165" s="305"/>
      <c r="L165" s="318"/>
      <c r="M165" s="318"/>
      <c r="N165" s="285"/>
      <c r="O165" s="267"/>
    </row>
    <row r="166" spans="1:15" x14ac:dyDescent="0.2">
      <c r="A166" s="257">
        <v>16</v>
      </c>
      <c r="B166" s="534" t="s">
        <v>842</v>
      </c>
      <c r="C166" s="526"/>
      <c r="D166" s="527"/>
      <c r="E166" s="313">
        <f>SUM(E142:E165)</f>
        <v>130620392.43000001</v>
      </c>
      <c r="F166" s="269"/>
      <c r="G166" s="313">
        <f>SUM(G142:G165)</f>
        <v>57480178.18999999</v>
      </c>
      <c r="H166" s="469">
        <f>SUM(H142:H165)</f>
        <v>46734870.240000002</v>
      </c>
      <c r="I166" s="469">
        <f>SUM(I142:I165)</f>
        <v>10745307.949999999</v>
      </c>
      <c r="J166" s="313">
        <f>SUM(J142:J165)</f>
        <v>0</v>
      </c>
      <c r="K166" s="269"/>
      <c r="L166" s="313">
        <f>SUM(L142:L165)</f>
        <v>0</v>
      </c>
      <c r="M166" s="313">
        <f>SUM(M142:M165)</f>
        <v>0</v>
      </c>
      <c r="N166" s="313">
        <f>SUM(N142:N165)</f>
        <v>73140214.239999995</v>
      </c>
      <c r="O166" s="233"/>
    </row>
    <row r="167" spans="1:15" ht="25.5" customHeight="1" x14ac:dyDescent="0.2">
      <c r="A167" s="257">
        <v>17</v>
      </c>
      <c r="B167" s="535" t="s">
        <v>843</v>
      </c>
      <c r="C167" s="536"/>
      <c r="D167" s="537"/>
      <c r="E167" s="317">
        <v>130620392</v>
      </c>
      <c r="F167" s="274"/>
      <c r="G167" s="306"/>
      <c r="H167" s="307"/>
      <c r="I167" s="307"/>
      <c r="J167" s="308"/>
      <c r="K167" s="307"/>
      <c r="L167" s="308"/>
      <c r="M167" s="308"/>
      <c r="N167" s="308"/>
      <c r="O167" s="276"/>
    </row>
    <row r="168" spans="1:15" x14ac:dyDescent="0.2">
      <c r="A168" s="277"/>
      <c r="B168" s="278"/>
      <c r="C168" s="279"/>
      <c r="D168" s="280"/>
      <c r="E168" s="308"/>
      <c r="F168" s="308"/>
      <c r="G168" s="308"/>
      <c r="H168" s="307"/>
      <c r="I168" s="307"/>
      <c r="J168" s="308"/>
      <c r="K168" s="307"/>
      <c r="L168" s="308"/>
      <c r="M168" s="308"/>
      <c r="N168" s="308"/>
      <c r="O168" s="276"/>
    </row>
    <row r="169" spans="1:15" x14ac:dyDescent="0.2">
      <c r="A169" s="261" t="s">
        <v>844</v>
      </c>
      <c r="B169" s="309"/>
      <c r="C169" s="310"/>
      <c r="D169" s="310"/>
      <c r="E169" s="316"/>
      <c r="F169" s="316"/>
      <c r="G169" s="316"/>
      <c r="H169" s="316"/>
      <c r="I169" s="316"/>
      <c r="J169" s="316"/>
      <c r="K169" s="316"/>
      <c r="L169" s="316"/>
      <c r="M169" s="316"/>
      <c r="N169" s="316"/>
      <c r="O169" s="267"/>
    </row>
    <row r="170" spans="1:15" x14ac:dyDescent="0.2">
      <c r="A170" s="261"/>
      <c r="B170" s="311"/>
      <c r="C170" s="310"/>
      <c r="D170" s="310"/>
      <c r="E170" s="316"/>
      <c r="F170" s="316"/>
      <c r="G170" s="316"/>
      <c r="H170" s="316"/>
      <c r="I170" s="316"/>
      <c r="J170" s="316"/>
      <c r="K170" s="316"/>
      <c r="L170" s="316"/>
      <c r="M170" s="316"/>
      <c r="N170" s="316"/>
      <c r="O170" s="267"/>
    </row>
    <row r="171" spans="1:15" x14ac:dyDescent="0.2">
      <c r="A171" s="248">
        <v>19</v>
      </c>
      <c r="B171" s="534" t="s">
        <v>845</v>
      </c>
      <c r="C171" s="526"/>
      <c r="D171" s="527"/>
      <c r="E171" s="313">
        <f>SUM(E169:E170)</f>
        <v>0</v>
      </c>
      <c r="F171" s="319"/>
      <c r="G171" s="313">
        <f>SUM(G169:G170)</f>
        <v>0</v>
      </c>
      <c r="H171" s="313">
        <f t="shared" ref="H171:N171" si="34">SUM(H169:H170)</f>
        <v>0</v>
      </c>
      <c r="I171" s="313">
        <f t="shared" si="34"/>
        <v>0</v>
      </c>
      <c r="J171" s="313">
        <f t="shared" si="34"/>
        <v>0</v>
      </c>
      <c r="K171" s="269"/>
      <c r="L171" s="313">
        <f t="shared" si="34"/>
        <v>0</v>
      </c>
      <c r="M171" s="313">
        <f t="shared" si="34"/>
        <v>0</v>
      </c>
      <c r="N171" s="313">
        <f t="shared" si="34"/>
        <v>0</v>
      </c>
      <c r="O171" s="313"/>
    </row>
    <row r="172" spans="1:15" ht="26.25" customHeight="1" x14ac:dyDescent="0.2">
      <c r="A172" s="248">
        <v>20</v>
      </c>
      <c r="B172" s="538" t="s">
        <v>846</v>
      </c>
      <c r="C172" s="539"/>
      <c r="D172" s="540"/>
      <c r="E172" s="317">
        <v>0</v>
      </c>
      <c r="F172" s="308"/>
      <c r="G172" s="275"/>
      <c r="H172" s="274"/>
      <c r="I172" s="274"/>
      <c r="J172" s="275"/>
      <c r="K172" s="274"/>
      <c r="L172" s="275"/>
      <c r="M172" s="275"/>
      <c r="N172" s="275"/>
      <c r="O172" s="315"/>
    </row>
    <row r="173" spans="1:15" x14ac:dyDescent="0.2">
      <c r="A173" s="277"/>
      <c r="B173" s="278"/>
      <c r="C173" s="279"/>
      <c r="D173" s="280"/>
      <c r="E173" s="308"/>
      <c r="F173" s="308"/>
      <c r="G173" s="275"/>
      <c r="H173" s="274"/>
      <c r="I173" s="274"/>
      <c r="J173" s="275"/>
      <c r="K173" s="274"/>
      <c r="L173" s="275"/>
      <c r="M173" s="275"/>
      <c r="N173" s="275"/>
      <c r="O173" s="315"/>
    </row>
    <row r="174" spans="1:15" x14ac:dyDescent="0.2">
      <c r="A174" s="261" t="s">
        <v>847</v>
      </c>
      <c r="B174" s="309"/>
      <c r="C174" s="310"/>
      <c r="D174" s="310"/>
      <c r="E174" s="316"/>
      <c r="F174" s="316"/>
      <c r="G174" s="317"/>
      <c r="H174" s="317"/>
      <c r="I174" s="317"/>
      <c r="J174" s="317"/>
      <c r="K174" s="317"/>
      <c r="L174" s="317"/>
      <c r="M174" s="317"/>
      <c r="N174" s="317"/>
      <c r="O174" s="318"/>
    </row>
    <row r="175" spans="1:15" x14ac:dyDescent="0.2">
      <c r="A175" s="261"/>
      <c r="B175" s="311"/>
      <c r="C175" s="310"/>
      <c r="D175" s="310"/>
      <c r="E175" s="316"/>
      <c r="F175" s="316"/>
      <c r="G175" s="317"/>
      <c r="H175" s="317"/>
      <c r="I175" s="317"/>
      <c r="J175" s="317"/>
      <c r="K175" s="317"/>
      <c r="L175" s="317"/>
      <c r="M175" s="317"/>
      <c r="N175" s="317"/>
      <c r="O175" s="318"/>
    </row>
    <row r="176" spans="1:15" x14ac:dyDescent="0.2">
      <c r="A176" s="248">
        <v>22</v>
      </c>
      <c r="B176" s="534" t="s">
        <v>848</v>
      </c>
      <c r="C176" s="526"/>
      <c r="D176" s="527"/>
      <c r="E176" s="313">
        <f>SUM(E174:E175)</f>
        <v>0</v>
      </c>
      <c r="F176" s="319"/>
      <c r="G176" s="313">
        <f>SUM(G174:G175)</f>
        <v>0</v>
      </c>
      <c r="H176" s="313">
        <f>SUM(H174:H175)</f>
        <v>0</v>
      </c>
      <c r="I176" s="313">
        <f>SUM(I174:I175)</f>
        <v>0</v>
      </c>
      <c r="J176" s="313">
        <f>SUM(J174:J175)</f>
        <v>0</v>
      </c>
      <c r="K176" s="269"/>
      <c r="L176" s="313">
        <f>SUM(L174:L175)</f>
        <v>0</v>
      </c>
      <c r="M176" s="313">
        <f>SUM(M174:M175)</f>
        <v>0</v>
      </c>
      <c r="N176" s="313">
        <f>SUM(N174:N175)</f>
        <v>0</v>
      </c>
      <c r="O176" s="313"/>
    </row>
    <row r="177" spans="1:15" ht="26.25" customHeight="1" x14ac:dyDescent="0.2">
      <c r="A177" s="248">
        <v>23</v>
      </c>
      <c r="B177" s="538" t="s">
        <v>849</v>
      </c>
      <c r="C177" s="539"/>
      <c r="D177" s="540"/>
      <c r="E177" s="317">
        <v>0</v>
      </c>
      <c r="F177" s="308"/>
      <c r="G177" s="308"/>
      <c r="H177" s="307"/>
      <c r="I177" s="307"/>
      <c r="J177" s="308"/>
      <c r="K177" s="307"/>
      <c r="L177" s="308"/>
      <c r="M177" s="308"/>
      <c r="N177" s="308"/>
      <c r="O177" s="276"/>
    </row>
    <row r="178" spans="1:15" x14ac:dyDescent="0.2">
      <c r="A178" s="277"/>
      <c r="B178" s="278"/>
      <c r="C178" s="279"/>
      <c r="D178" s="280"/>
      <c r="E178" s="308"/>
      <c r="F178" s="308"/>
      <c r="G178" s="308"/>
      <c r="H178" s="307"/>
      <c r="I178" s="307"/>
      <c r="J178" s="308"/>
      <c r="K178" s="307"/>
      <c r="L178" s="308"/>
      <c r="M178" s="308"/>
      <c r="N178" s="308"/>
      <c r="O178" s="276"/>
    </row>
    <row r="179" spans="1:15" x14ac:dyDescent="0.2">
      <c r="A179" s="277"/>
      <c r="B179" s="278" t="s">
        <v>850</v>
      </c>
      <c r="C179" s="279"/>
      <c r="D179" s="280"/>
      <c r="E179" s="308"/>
      <c r="F179" s="308"/>
      <c r="G179" s="308"/>
      <c r="H179" s="307"/>
      <c r="I179" s="307"/>
      <c r="J179" s="308"/>
      <c r="K179" s="307"/>
      <c r="L179" s="308"/>
      <c r="M179" s="308"/>
      <c r="N179" s="308"/>
      <c r="O179" s="276"/>
    </row>
    <row r="180" spans="1:15" x14ac:dyDescent="0.2">
      <c r="A180" s="257" t="s">
        <v>851</v>
      </c>
      <c r="B180" s="320">
        <v>417</v>
      </c>
      <c r="C180" s="321">
        <v>4863135</v>
      </c>
      <c r="D180" s="322" t="s">
        <v>852</v>
      </c>
      <c r="E180" s="305"/>
      <c r="F180" s="252" t="str">
        <f t="shared" ref="F180:F194" si="35">$J$2</f>
        <v>GRSM</v>
      </c>
      <c r="G180" s="252">
        <f t="shared" ref="G180:G196" si="36">IF(F180=$G$2,E180,0)</f>
        <v>0</v>
      </c>
      <c r="H180" s="465">
        <v>0</v>
      </c>
      <c r="I180" s="465">
        <f t="shared" ref="I180:I196" si="37">G180-H180</f>
        <v>0</v>
      </c>
      <c r="J180" s="252">
        <f t="shared" ref="J180:J196" si="38">IF(F180=$J$2,E180,0)</f>
        <v>0</v>
      </c>
      <c r="K180" s="256" t="s">
        <v>494</v>
      </c>
      <c r="L180" s="285"/>
      <c r="M180" s="474">
        <f t="shared" ref="M180:M196" si="39">J180-L180</f>
        <v>0</v>
      </c>
      <c r="N180" s="252">
        <f t="shared" ref="N180:N196" si="40">IF(F180=$N$2,E180,0)</f>
        <v>0</v>
      </c>
      <c r="O180" s="259">
        <v>2</v>
      </c>
    </row>
    <row r="181" spans="1:15" x14ac:dyDescent="0.2">
      <c r="A181" s="257" t="s">
        <v>853</v>
      </c>
      <c r="B181" s="320">
        <v>417</v>
      </c>
      <c r="C181" s="321">
        <v>4863130</v>
      </c>
      <c r="D181" s="322" t="s">
        <v>854</v>
      </c>
      <c r="E181" s="305">
        <v>574599.74</v>
      </c>
      <c r="F181" s="252" t="str">
        <f t="shared" si="35"/>
        <v>GRSM</v>
      </c>
      <c r="G181" s="252">
        <f t="shared" si="36"/>
        <v>0</v>
      </c>
      <c r="H181" s="465">
        <v>0</v>
      </c>
      <c r="I181" s="465">
        <f t="shared" si="37"/>
        <v>0</v>
      </c>
      <c r="J181" s="252">
        <f t="shared" si="38"/>
        <v>574599.74</v>
      </c>
      <c r="K181" s="256" t="s">
        <v>494</v>
      </c>
      <c r="L181" s="285">
        <v>144854.440070129</v>
      </c>
      <c r="M181" s="474">
        <f t="shared" si="39"/>
        <v>429745.29992987099</v>
      </c>
      <c r="N181" s="252">
        <f t="shared" si="40"/>
        <v>0</v>
      </c>
      <c r="O181" s="259">
        <v>2</v>
      </c>
    </row>
    <row r="182" spans="1:15" x14ac:dyDescent="0.2">
      <c r="A182" s="257" t="s">
        <v>855</v>
      </c>
      <c r="B182" s="320">
        <v>417</v>
      </c>
      <c r="C182" s="321">
        <v>4862110</v>
      </c>
      <c r="D182" s="322" t="s">
        <v>856</v>
      </c>
      <c r="E182" s="305">
        <v>6212980.7999999998</v>
      </c>
      <c r="F182" s="252" t="str">
        <f t="shared" si="35"/>
        <v>GRSM</v>
      </c>
      <c r="G182" s="252">
        <f t="shared" si="36"/>
        <v>0</v>
      </c>
      <c r="H182" s="465">
        <v>0</v>
      </c>
      <c r="I182" s="465">
        <f t="shared" si="37"/>
        <v>0</v>
      </c>
      <c r="J182" s="252">
        <f t="shared" si="38"/>
        <v>6212980.7999999998</v>
      </c>
      <c r="K182" s="256" t="s">
        <v>271</v>
      </c>
      <c r="L182" s="285">
        <v>1279826.0987792199</v>
      </c>
      <c r="M182" s="474">
        <f t="shared" si="39"/>
        <v>4933154.7012207797</v>
      </c>
      <c r="N182" s="252">
        <f t="shared" si="40"/>
        <v>0</v>
      </c>
      <c r="O182" s="259">
        <v>2</v>
      </c>
    </row>
    <row r="183" spans="1:15" x14ac:dyDescent="0.2">
      <c r="A183" s="257" t="s">
        <v>857</v>
      </c>
      <c r="B183" s="320">
        <v>417</v>
      </c>
      <c r="C183" s="321">
        <v>4862115</v>
      </c>
      <c r="D183" s="322" t="s">
        <v>858</v>
      </c>
      <c r="E183" s="305">
        <v>3296985.03</v>
      </c>
      <c r="F183" s="252" t="str">
        <f t="shared" si="35"/>
        <v>GRSM</v>
      </c>
      <c r="G183" s="252">
        <f t="shared" si="36"/>
        <v>0</v>
      </c>
      <c r="H183" s="465">
        <v>0</v>
      </c>
      <c r="I183" s="465">
        <f t="shared" si="37"/>
        <v>0</v>
      </c>
      <c r="J183" s="252">
        <f t="shared" si="38"/>
        <v>3296985.03</v>
      </c>
      <c r="K183" s="256" t="s">
        <v>271</v>
      </c>
      <c r="L183" s="285">
        <v>680428.61883958604</v>
      </c>
      <c r="M183" s="474">
        <f t="shared" si="39"/>
        <v>2616556.4111604136</v>
      </c>
      <c r="N183" s="252">
        <f t="shared" si="40"/>
        <v>0</v>
      </c>
      <c r="O183" s="259">
        <v>2</v>
      </c>
    </row>
    <row r="184" spans="1:15" x14ac:dyDescent="0.2">
      <c r="A184" s="257" t="s">
        <v>859</v>
      </c>
      <c r="B184" s="320">
        <v>417</v>
      </c>
      <c r="C184" s="321">
        <v>4862120</v>
      </c>
      <c r="D184" s="322" t="s">
        <v>860</v>
      </c>
      <c r="E184" s="305">
        <v>283552.34000000003</v>
      </c>
      <c r="F184" s="252" t="str">
        <f t="shared" si="35"/>
        <v>GRSM</v>
      </c>
      <c r="G184" s="252">
        <f t="shared" si="36"/>
        <v>0</v>
      </c>
      <c r="H184" s="465">
        <v>0</v>
      </c>
      <c r="I184" s="465">
        <f t="shared" si="37"/>
        <v>0</v>
      </c>
      <c r="J184" s="252">
        <f t="shared" si="38"/>
        <v>283552.34000000003</v>
      </c>
      <c r="K184" s="256" t="s">
        <v>271</v>
      </c>
      <c r="L184" s="285">
        <v>57963.083712595399</v>
      </c>
      <c r="M184" s="474">
        <f t="shared" si="39"/>
        <v>225589.25628740463</v>
      </c>
      <c r="N184" s="252">
        <f t="shared" si="40"/>
        <v>0</v>
      </c>
      <c r="O184" s="259">
        <v>2</v>
      </c>
    </row>
    <row r="185" spans="1:15" x14ac:dyDescent="0.2">
      <c r="A185" s="257" t="s">
        <v>861</v>
      </c>
      <c r="B185" s="320">
        <v>417</v>
      </c>
      <c r="C185" s="321">
        <v>4862135</v>
      </c>
      <c r="D185" s="322" t="s">
        <v>862</v>
      </c>
      <c r="E185" s="305">
        <v>22638371.539999999</v>
      </c>
      <c r="F185" s="252" t="str">
        <f t="shared" si="35"/>
        <v>GRSM</v>
      </c>
      <c r="G185" s="252">
        <f t="shared" si="36"/>
        <v>0</v>
      </c>
      <c r="H185" s="465">
        <v>0</v>
      </c>
      <c r="I185" s="465">
        <f t="shared" si="37"/>
        <v>0</v>
      </c>
      <c r="J185" s="252">
        <f t="shared" si="38"/>
        <v>22638371.539999999</v>
      </c>
      <c r="K185" s="256" t="s">
        <v>271</v>
      </c>
      <c r="L185" s="285">
        <v>4775918.0660611</v>
      </c>
      <c r="M185" s="474">
        <f t="shared" si="39"/>
        <v>17862453.473938897</v>
      </c>
      <c r="N185" s="252">
        <f t="shared" si="40"/>
        <v>0</v>
      </c>
      <c r="O185" s="259">
        <v>2</v>
      </c>
    </row>
    <row r="186" spans="1:15" x14ac:dyDescent="0.2">
      <c r="A186" s="257" t="s">
        <v>863</v>
      </c>
      <c r="B186" s="320">
        <v>417</v>
      </c>
      <c r="C186" s="321">
        <v>4864110</v>
      </c>
      <c r="D186" s="322" t="s">
        <v>864</v>
      </c>
      <c r="E186" s="305"/>
      <c r="F186" s="252" t="str">
        <f t="shared" si="35"/>
        <v>GRSM</v>
      </c>
      <c r="G186" s="252">
        <f t="shared" si="36"/>
        <v>0</v>
      </c>
      <c r="H186" s="465">
        <v>0</v>
      </c>
      <c r="I186" s="465">
        <f t="shared" si="37"/>
        <v>0</v>
      </c>
      <c r="J186" s="252">
        <f t="shared" si="38"/>
        <v>0</v>
      </c>
      <c r="K186" s="256" t="s">
        <v>271</v>
      </c>
      <c r="L186" s="285"/>
      <c r="M186" s="474">
        <f t="shared" si="39"/>
        <v>0</v>
      </c>
      <c r="N186" s="252">
        <f t="shared" si="40"/>
        <v>0</v>
      </c>
      <c r="O186" s="259">
        <v>2</v>
      </c>
    </row>
    <row r="187" spans="1:15" x14ac:dyDescent="0.2">
      <c r="A187" s="257" t="s">
        <v>865</v>
      </c>
      <c r="B187" s="320">
        <v>417</v>
      </c>
      <c r="C187" s="321">
        <v>4864115</v>
      </c>
      <c r="D187" s="322" t="s">
        <v>866</v>
      </c>
      <c r="E187" s="305">
        <v>745271.32</v>
      </c>
      <c r="F187" s="252" t="str">
        <f t="shared" si="35"/>
        <v>GRSM</v>
      </c>
      <c r="G187" s="252">
        <f t="shared" si="36"/>
        <v>0</v>
      </c>
      <c r="H187" s="465">
        <v>0</v>
      </c>
      <c r="I187" s="465">
        <f t="shared" si="37"/>
        <v>0</v>
      </c>
      <c r="J187" s="252">
        <f t="shared" si="38"/>
        <v>745271.32</v>
      </c>
      <c r="K187" s="256" t="s">
        <v>271</v>
      </c>
      <c r="L187" s="285">
        <v>71149.611681700204</v>
      </c>
      <c r="M187" s="474">
        <f t="shared" si="39"/>
        <v>674121.70831829973</v>
      </c>
      <c r="N187" s="252">
        <f t="shared" si="40"/>
        <v>0</v>
      </c>
      <c r="O187" s="259">
        <v>2</v>
      </c>
    </row>
    <row r="188" spans="1:15" x14ac:dyDescent="0.2">
      <c r="A188" s="257" t="s">
        <v>867</v>
      </c>
      <c r="B188" s="320">
        <v>417</v>
      </c>
      <c r="C188" s="321">
        <v>4862125</v>
      </c>
      <c r="D188" s="322" t="s">
        <v>868</v>
      </c>
      <c r="E188" s="305">
        <v>12189272.4</v>
      </c>
      <c r="F188" s="252" t="str">
        <f t="shared" si="35"/>
        <v>GRSM</v>
      </c>
      <c r="G188" s="252">
        <f t="shared" si="36"/>
        <v>0</v>
      </c>
      <c r="H188" s="465">
        <v>0</v>
      </c>
      <c r="I188" s="465">
        <f t="shared" si="37"/>
        <v>0</v>
      </c>
      <c r="J188" s="252">
        <f t="shared" si="38"/>
        <v>12189272.4</v>
      </c>
      <c r="K188" s="256" t="s">
        <v>271</v>
      </c>
      <c r="L188" s="285">
        <v>1853750.9815991099</v>
      </c>
      <c r="M188" s="474">
        <f t="shared" si="39"/>
        <v>10335521.418400891</v>
      </c>
      <c r="N188" s="252">
        <f t="shared" si="40"/>
        <v>0</v>
      </c>
      <c r="O188" s="259">
        <v>2</v>
      </c>
    </row>
    <row r="189" spans="1:15" x14ac:dyDescent="0.2">
      <c r="A189" s="257" t="s">
        <v>869</v>
      </c>
      <c r="B189" s="320">
        <v>417</v>
      </c>
      <c r="C189" s="321">
        <v>4862130</v>
      </c>
      <c r="D189" s="322" t="s">
        <v>870</v>
      </c>
      <c r="E189" s="305">
        <v>6089441.4000000004</v>
      </c>
      <c r="F189" s="252" t="str">
        <f t="shared" si="35"/>
        <v>GRSM</v>
      </c>
      <c r="G189" s="252">
        <f t="shared" si="36"/>
        <v>0</v>
      </c>
      <c r="H189" s="465">
        <v>0</v>
      </c>
      <c r="I189" s="465">
        <f t="shared" si="37"/>
        <v>0</v>
      </c>
      <c r="J189" s="252">
        <f t="shared" si="38"/>
        <v>6089441.4000000004</v>
      </c>
      <c r="K189" s="256" t="s">
        <v>271</v>
      </c>
      <c r="L189" s="285">
        <v>1577177.5098888101</v>
      </c>
      <c r="M189" s="474">
        <f t="shared" si="39"/>
        <v>4512263.8901111903</v>
      </c>
      <c r="N189" s="252">
        <f t="shared" si="40"/>
        <v>0</v>
      </c>
      <c r="O189" s="259">
        <v>2</v>
      </c>
    </row>
    <row r="190" spans="1:15" x14ac:dyDescent="0.2">
      <c r="A190" s="257" t="s">
        <v>871</v>
      </c>
      <c r="B190" s="320">
        <v>417</v>
      </c>
      <c r="C190" s="321">
        <v>4863120</v>
      </c>
      <c r="D190" s="322" t="s">
        <v>872</v>
      </c>
      <c r="E190" s="305">
        <v>347613.23</v>
      </c>
      <c r="F190" s="252" t="str">
        <f t="shared" si="35"/>
        <v>GRSM</v>
      </c>
      <c r="G190" s="252">
        <f t="shared" si="36"/>
        <v>0</v>
      </c>
      <c r="H190" s="465">
        <v>0</v>
      </c>
      <c r="I190" s="465">
        <f t="shared" si="37"/>
        <v>0</v>
      </c>
      <c r="J190" s="252">
        <f t="shared" si="38"/>
        <v>347613.23</v>
      </c>
      <c r="K190" s="256" t="s">
        <v>494</v>
      </c>
      <c r="L190" s="285">
        <v>71331.623761421593</v>
      </c>
      <c r="M190" s="474">
        <f t="shared" si="39"/>
        <v>276281.60623857839</v>
      </c>
      <c r="N190" s="252">
        <f t="shared" si="40"/>
        <v>0</v>
      </c>
      <c r="O190" s="259">
        <v>2</v>
      </c>
    </row>
    <row r="191" spans="1:15" x14ac:dyDescent="0.2">
      <c r="A191" s="257" t="s">
        <v>873</v>
      </c>
      <c r="B191" s="320">
        <v>417</v>
      </c>
      <c r="C191" s="321">
        <v>4863110</v>
      </c>
      <c r="D191" s="322" t="s">
        <v>874</v>
      </c>
      <c r="E191" s="305">
        <v>3391715.44</v>
      </c>
      <c r="F191" s="252" t="str">
        <f t="shared" si="35"/>
        <v>GRSM</v>
      </c>
      <c r="G191" s="252">
        <f t="shared" si="36"/>
        <v>0</v>
      </c>
      <c r="H191" s="465">
        <v>0</v>
      </c>
      <c r="I191" s="465">
        <f t="shared" si="37"/>
        <v>0</v>
      </c>
      <c r="J191" s="252">
        <f t="shared" si="38"/>
        <v>3391715.44</v>
      </c>
      <c r="K191" s="256" t="s">
        <v>494</v>
      </c>
      <c r="L191" s="285">
        <v>643244.54978300596</v>
      </c>
      <c r="M191" s="474">
        <f t="shared" si="39"/>
        <v>2748470.8902169941</v>
      </c>
      <c r="N191" s="252">
        <f t="shared" si="40"/>
        <v>0</v>
      </c>
      <c r="O191" s="259">
        <v>2</v>
      </c>
    </row>
    <row r="192" spans="1:15" x14ac:dyDescent="0.2">
      <c r="A192" s="257" t="s">
        <v>875</v>
      </c>
      <c r="B192" s="320">
        <v>417</v>
      </c>
      <c r="C192" s="321">
        <v>4863115</v>
      </c>
      <c r="D192" s="322" t="s">
        <v>876</v>
      </c>
      <c r="E192" s="305">
        <v>415111.91</v>
      </c>
      <c r="F192" s="252" t="str">
        <f t="shared" si="35"/>
        <v>GRSM</v>
      </c>
      <c r="G192" s="252">
        <f t="shared" si="36"/>
        <v>0</v>
      </c>
      <c r="H192" s="465">
        <v>0</v>
      </c>
      <c r="I192" s="465">
        <f t="shared" si="37"/>
        <v>0</v>
      </c>
      <c r="J192" s="252">
        <f t="shared" si="38"/>
        <v>415111.91</v>
      </c>
      <c r="K192" s="256" t="s">
        <v>494</v>
      </c>
      <c r="L192" s="285">
        <v>28023.6825948798</v>
      </c>
      <c r="M192" s="474">
        <f t="shared" si="39"/>
        <v>387088.22740512015</v>
      </c>
      <c r="N192" s="252">
        <f t="shared" si="40"/>
        <v>0</v>
      </c>
      <c r="O192" s="259">
        <v>2</v>
      </c>
    </row>
    <row r="193" spans="1:15" x14ac:dyDescent="0.2">
      <c r="A193" s="257" t="s">
        <v>877</v>
      </c>
      <c r="B193" s="320">
        <v>417</v>
      </c>
      <c r="C193" s="321">
        <v>4863125</v>
      </c>
      <c r="D193" s="322" t="s">
        <v>878</v>
      </c>
      <c r="E193" s="305">
        <v>1794379.02</v>
      </c>
      <c r="F193" s="252" t="str">
        <f t="shared" si="35"/>
        <v>GRSM</v>
      </c>
      <c r="G193" s="252">
        <f t="shared" si="36"/>
        <v>0</v>
      </c>
      <c r="H193" s="465">
        <v>0</v>
      </c>
      <c r="I193" s="465">
        <f t="shared" si="37"/>
        <v>0</v>
      </c>
      <c r="J193" s="252">
        <f t="shared" si="38"/>
        <v>1794379.02</v>
      </c>
      <c r="K193" s="256" t="s">
        <v>494</v>
      </c>
      <c r="L193" s="285">
        <v>456812.78307742201</v>
      </c>
      <c r="M193" s="474">
        <f t="shared" si="39"/>
        <v>1337566.236922578</v>
      </c>
      <c r="N193" s="252">
        <f t="shared" si="40"/>
        <v>0</v>
      </c>
      <c r="O193" s="259">
        <v>2</v>
      </c>
    </row>
    <row r="194" spans="1:15" x14ac:dyDescent="0.2">
      <c r="A194" s="257" t="s">
        <v>879</v>
      </c>
      <c r="B194" s="320">
        <v>417</v>
      </c>
      <c r="C194" s="321">
        <v>4864120</v>
      </c>
      <c r="D194" s="322" t="s">
        <v>880</v>
      </c>
      <c r="E194" s="305">
        <v>100891.4</v>
      </c>
      <c r="F194" s="252" t="str">
        <f t="shared" si="35"/>
        <v>GRSM</v>
      </c>
      <c r="G194" s="252">
        <f t="shared" si="36"/>
        <v>0</v>
      </c>
      <c r="H194" s="465">
        <v>0</v>
      </c>
      <c r="I194" s="465">
        <f t="shared" si="37"/>
        <v>0</v>
      </c>
      <c r="J194" s="252">
        <f t="shared" si="38"/>
        <v>100891.4</v>
      </c>
      <c r="K194" s="256" t="s">
        <v>271</v>
      </c>
      <c r="L194" s="285">
        <v>1488.14450381442</v>
      </c>
      <c r="M194" s="474">
        <f t="shared" si="39"/>
        <v>99403.255496185579</v>
      </c>
      <c r="N194" s="252">
        <f t="shared" si="40"/>
        <v>0</v>
      </c>
      <c r="O194" s="259">
        <v>2</v>
      </c>
    </row>
    <row r="195" spans="1:15" x14ac:dyDescent="0.2">
      <c r="A195" s="261" t="s">
        <v>989</v>
      </c>
      <c r="B195" s="309">
        <v>417</v>
      </c>
      <c r="C195" s="324">
        <v>4864116</v>
      </c>
      <c r="D195" s="264" t="s">
        <v>990</v>
      </c>
      <c r="E195" s="475">
        <v>78015</v>
      </c>
      <c r="F195" s="475" t="s">
        <v>448</v>
      </c>
      <c r="G195" s="285">
        <f t="shared" si="36"/>
        <v>0</v>
      </c>
      <c r="H195" s="318">
        <v>0</v>
      </c>
      <c r="I195" s="318">
        <f t="shared" si="37"/>
        <v>0</v>
      </c>
      <c r="J195" s="285">
        <f t="shared" si="38"/>
        <v>78015</v>
      </c>
      <c r="K195" s="267" t="s">
        <v>271</v>
      </c>
      <c r="L195" s="285">
        <v>0</v>
      </c>
      <c r="M195" s="285">
        <f t="shared" si="39"/>
        <v>78015</v>
      </c>
      <c r="N195" s="285">
        <f t="shared" si="40"/>
        <v>0</v>
      </c>
      <c r="O195" s="267">
        <v>2</v>
      </c>
    </row>
    <row r="196" spans="1:15" x14ac:dyDescent="0.2">
      <c r="A196" s="261" t="s">
        <v>991</v>
      </c>
      <c r="B196" s="309">
        <v>417</v>
      </c>
      <c r="C196" s="324">
        <v>4864121</v>
      </c>
      <c r="D196" s="264" t="s">
        <v>992</v>
      </c>
      <c r="E196" s="475">
        <v>669.08</v>
      </c>
      <c r="F196" s="475" t="s">
        <v>448</v>
      </c>
      <c r="G196" s="285">
        <f t="shared" si="36"/>
        <v>0</v>
      </c>
      <c r="H196" s="318">
        <v>0</v>
      </c>
      <c r="I196" s="318">
        <f t="shared" si="37"/>
        <v>0</v>
      </c>
      <c r="J196" s="285">
        <f t="shared" si="38"/>
        <v>669.08</v>
      </c>
      <c r="K196" s="267" t="s">
        <v>271</v>
      </c>
      <c r="L196" s="285">
        <v>0</v>
      </c>
      <c r="M196" s="285">
        <f t="shared" si="39"/>
        <v>669.08</v>
      </c>
      <c r="N196" s="285">
        <f t="shared" si="40"/>
        <v>0</v>
      </c>
      <c r="O196" s="267">
        <v>2</v>
      </c>
    </row>
    <row r="197" spans="1:15" x14ac:dyDescent="0.2">
      <c r="A197" s="261"/>
      <c r="B197" s="309"/>
      <c r="C197" s="324"/>
      <c r="D197" s="264"/>
      <c r="E197" s="326"/>
      <c r="F197" s="326"/>
      <c r="G197" s="468"/>
      <c r="H197" s="318"/>
      <c r="I197" s="318"/>
      <c r="J197" s="285"/>
      <c r="K197" s="267"/>
      <c r="L197" s="285"/>
      <c r="M197" s="285"/>
      <c r="N197" s="285"/>
      <c r="O197" s="267"/>
    </row>
    <row r="198" spans="1:15" x14ac:dyDescent="0.2">
      <c r="A198" s="261"/>
      <c r="B198" s="309"/>
      <c r="C198" s="324"/>
      <c r="D198" s="264"/>
      <c r="E198" s="326"/>
      <c r="F198" s="326"/>
      <c r="G198" s="468"/>
      <c r="H198" s="318"/>
      <c r="I198" s="318"/>
      <c r="J198" s="285"/>
      <c r="K198" s="267"/>
      <c r="L198" s="285"/>
      <c r="M198" s="285"/>
      <c r="N198" s="285"/>
      <c r="O198" s="267"/>
    </row>
    <row r="199" spans="1:15" x14ac:dyDescent="0.2">
      <c r="A199" s="257">
        <v>25</v>
      </c>
      <c r="B199" s="525" t="s">
        <v>881</v>
      </c>
      <c r="C199" s="526"/>
      <c r="D199" s="527"/>
      <c r="E199" s="313">
        <f>SUM(E180:E198)</f>
        <v>58158869.649999984</v>
      </c>
      <c r="F199" s="269"/>
      <c r="G199" s="313">
        <f>SUM(G180:G198)</f>
        <v>0</v>
      </c>
      <c r="H199" s="469">
        <f>SUM(H180:H198)</f>
        <v>0</v>
      </c>
      <c r="I199" s="469">
        <f>SUM(I180:I198)</f>
        <v>0</v>
      </c>
      <c r="J199" s="313">
        <f>SUM(J180:J198)</f>
        <v>58158869.649999984</v>
      </c>
      <c r="K199" s="269"/>
      <c r="L199" s="313">
        <f>SUM(L180:L198)</f>
        <v>11641969.194352794</v>
      </c>
      <c r="M199" s="313">
        <f>SUM(M180:M198)</f>
        <v>46516900.455647215</v>
      </c>
      <c r="N199" s="313">
        <f>SUM(N180:N198)</f>
        <v>0</v>
      </c>
      <c r="O199" s="233"/>
    </row>
    <row r="200" spans="1:15" x14ac:dyDescent="0.2">
      <c r="A200" s="257">
        <v>26</v>
      </c>
      <c r="B200" s="525" t="s">
        <v>882</v>
      </c>
      <c r="C200" s="526"/>
      <c r="D200" s="527"/>
      <c r="E200" s="317">
        <f>E201-E199</f>
        <v>7775931.3500000164</v>
      </c>
      <c r="F200" s="275"/>
      <c r="G200" s="308"/>
      <c r="H200" s="307"/>
      <c r="I200" s="307"/>
      <c r="J200" s="308"/>
      <c r="K200" s="307"/>
      <c r="L200" s="308"/>
      <c r="M200" s="308"/>
      <c r="N200" s="308"/>
      <c r="O200" s="276"/>
    </row>
    <row r="201" spans="1:15" ht="25.5" customHeight="1" x14ac:dyDescent="0.2">
      <c r="A201" s="257">
        <v>27</v>
      </c>
      <c r="B201" s="535" t="s">
        <v>883</v>
      </c>
      <c r="C201" s="536"/>
      <c r="D201" s="537"/>
      <c r="E201" s="317">
        <v>65934801</v>
      </c>
      <c r="F201" s="327" t="s">
        <v>416</v>
      </c>
    </row>
    <row r="202" spans="1:15" x14ac:dyDescent="0.2">
      <c r="A202" s="287"/>
    </row>
    <row r="203" spans="1:15" x14ac:dyDescent="0.2">
      <c r="B203" s="334" t="s">
        <v>884</v>
      </c>
    </row>
    <row r="204" spans="1:15" x14ac:dyDescent="0.2">
      <c r="A204" s="256" t="s">
        <v>885</v>
      </c>
      <c r="B204" s="523">
        <v>418.1</v>
      </c>
      <c r="C204" s="524"/>
      <c r="D204" s="322" t="s">
        <v>886</v>
      </c>
      <c r="E204" s="305"/>
      <c r="F204" s="252" t="str">
        <f>$J$2</f>
        <v>GRSM</v>
      </c>
      <c r="G204" s="252">
        <f t="shared" ref="G204:G209" si="41">IF(F204=$G$2,E204,0)</f>
        <v>0</v>
      </c>
      <c r="H204" s="256">
        <v>0</v>
      </c>
      <c r="I204" s="465">
        <f t="shared" ref="I204:I209" si="42">G204-H204</f>
        <v>0</v>
      </c>
      <c r="J204" s="252">
        <f>IF(F204=$J$2,E204,0)</f>
        <v>0</v>
      </c>
      <c r="K204" s="476" t="s">
        <v>271</v>
      </c>
      <c r="L204" s="285"/>
      <c r="M204" s="466">
        <f t="shared" ref="M204:M209" si="43">J204-L204</f>
        <v>0</v>
      </c>
      <c r="N204" s="252">
        <f t="shared" ref="N204:N209" si="44">IF(F204=$N$2,E204,0)</f>
        <v>0</v>
      </c>
      <c r="O204" s="259" t="s">
        <v>887</v>
      </c>
    </row>
    <row r="205" spans="1:15" x14ac:dyDescent="0.2">
      <c r="A205" s="256" t="s">
        <v>888</v>
      </c>
      <c r="B205" s="523">
        <v>418.1</v>
      </c>
      <c r="C205" s="524"/>
      <c r="D205" s="322" t="s">
        <v>889</v>
      </c>
      <c r="E205" s="305"/>
      <c r="F205" s="252" t="str">
        <f>$J$2</f>
        <v>GRSM</v>
      </c>
      <c r="G205" s="252">
        <f t="shared" si="41"/>
        <v>0</v>
      </c>
      <c r="H205" s="256">
        <v>0</v>
      </c>
      <c r="I205" s="465">
        <f t="shared" si="42"/>
        <v>0</v>
      </c>
      <c r="J205" s="252">
        <f>IF(F205=$J$2,E205,0)</f>
        <v>0</v>
      </c>
      <c r="K205" s="476" t="s">
        <v>494</v>
      </c>
      <c r="L205" s="285"/>
      <c r="M205" s="466">
        <f t="shared" si="43"/>
        <v>0</v>
      </c>
      <c r="N205" s="252">
        <f t="shared" si="44"/>
        <v>0</v>
      </c>
      <c r="O205" s="259" t="s">
        <v>887</v>
      </c>
    </row>
    <row r="206" spans="1:15" x14ac:dyDescent="0.2">
      <c r="A206" s="256" t="s">
        <v>890</v>
      </c>
      <c r="B206" s="523">
        <v>418.1</v>
      </c>
      <c r="C206" s="524"/>
      <c r="D206" s="322" t="s">
        <v>891</v>
      </c>
      <c r="E206" s="305">
        <v>14200</v>
      </c>
      <c r="F206" s="252" t="s">
        <v>448</v>
      </c>
      <c r="G206" s="252">
        <f t="shared" si="41"/>
        <v>0</v>
      </c>
      <c r="H206" s="256">
        <v>0</v>
      </c>
      <c r="I206" s="465">
        <f t="shared" si="42"/>
        <v>0</v>
      </c>
      <c r="J206" s="252">
        <f>IF(F206=$J$2,E206,0)</f>
        <v>14200</v>
      </c>
      <c r="K206" s="476" t="s">
        <v>494</v>
      </c>
      <c r="L206" s="285"/>
      <c r="M206" s="466">
        <f t="shared" si="43"/>
        <v>14200</v>
      </c>
      <c r="N206" s="252">
        <f t="shared" si="44"/>
        <v>0</v>
      </c>
      <c r="O206" s="259" t="s">
        <v>892</v>
      </c>
    </row>
    <row r="207" spans="1:15" x14ac:dyDescent="0.2">
      <c r="A207" s="256" t="s">
        <v>893</v>
      </c>
      <c r="B207" s="523">
        <v>418.1</v>
      </c>
      <c r="C207" s="524"/>
      <c r="D207" s="322" t="s">
        <v>894</v>
      </c>
      <c r="E207" s="305">
        <v>9165</v>
      </c>
      <c r="F207" s="252" t="str">
        <f>$G$2</f>
        <v>Traditional OOR</v>
      </c>
      <c r="G207" s="252">
        <f t="shared" si="41"/>
        <v>9165</v>
      </c>
      <c r="H207" s="465">
        <v>0</v>
      </c>
      <c r="I207" s="465">
        <f t="shared" si="42"/>
        <v>9165</v>
      </c>
      <c r="J207" s="252">
        <f>IF(F207=$J$2,E207,0)</f>
        <v>0</v>
      </c>
      <c r="K207" s="476"/>
      <c r="L207" s="285"/>
      <c r="M207" s="465">
        <f t="shared" si="43"/>
        <v>0</v>
      </c>
      <c r="N207" s="252">
        <f t="shared" si="44"/>
        <v>0</v>
      </c>
      <c r="O207" s="256">
        <v>13</v>
      </c>
    </row>
    <row r="208" spans="1:15" ht="13.5" thickBot="1" x14ac:dyDescent="0.25">
      <c r="A208" s="256" t="s">
        <v>895</v>
      </c>
      <c r="B208" s="523">
        <v>418.1</v>
      </c>
      <c r="C208" s="524"/>
      <c r="D208" s="322" t="s">
        <v>896</v>
      </c>
      <c r="E208" s="305"/>
      <c r="F208" s="252" t="str">
        <f>$G$2</f>
        <v>Traditional OOR</v>
      </c>
      <c r="G208" s="252">
        <f t="shared" si="41"/>
        <v>0</v>
      </c>
      <c r="H208" s="465">
        <v>0</v>
      </c>
      <c r="I208" s="465">
        <f t="shared" si="42"/>
        <v>0</v>
      </c>
      <c r="J208" s="252">
        <f>IF(F208=$J$2,E208,0)</f>
        <v>0</v>
      </c>
      <c r="K208" s="476"/>
      <c r="L208" s="285"/>
      <c r="M208" s="465">
        <f t="shared" si="43"/>
        <v>0</v>
      </c>
      <c r="N208" s="252">
        <f t="shared" si="44"/>
        <v>0</v>
      </c>
      <c r="O208" s="256">
        <v>14</v>
      </c>
    </row>
    <row r="209" spans="1:15" ht="13.5" thickBot="1" x14ac:dyDescent="0.25">
      <c r="A209" s="256" t="s">
        <v>897</v>
      </c>
      <c r="B209" s="523">
        <v>418.1</v>
      </c>
      <c r="C209" s="524"/>
      <c r="D209" s="322" t="s">
        <v>898</v>
      </c>
      <c r="E209" s="477">
        <v>-554474.54</v>
      </c>
      <c r="F209" s="252" t="str">
        <f>$G$2</f>
        <v>Traditional OOR</v>
      </c>
      <c r="G209" s="252">
        <f t="shared" si="41"/>
        <v>-554474.54</v>
      </c>
      <c r="H209" s="465">
        <f>E209*$D$250</f>
        <v>-32819.348022600003</v>
      </c>
      <c r="I209" s="465">
        <f t="shared" si="42"/>
        <v>-521655.19197740004</v>
      </c>
      <c r="J209" s="252">
        <v>0</v>
      </c>
      <c r="K209" s="476"/>
      <c r="L209" s="285"/>
      <c r="M209" s="465">
        <f t="shared" si="43"/>
        <v>0</v>
      </c>
      <c r="N209" s="252">
        <f t="shared" si="44"/>
        <v>0</v>
      </c>
      <c r="O209" s="256" t="s">
        <v>899</v>
      </c>
    </row>
    <row r="210" spans="1:15" x14ac:dyDescent="0.2">
      <c r="A210" s="267"/>
      <c r="B210" s="337"/>
      <c r="C210" s="338"/>
      <c r="D210" s="339"/>
      <c r="E210" s="305"/>
      <c r="F210" s="285"/>
      <c r="G210" s="468"/>
      <c r="H210" s="267"/>
      <c r="I210" s="318"/>
      <c r="J210" s="285"/>
      <c r="K210" s="478"/>
      <c r="L210" s="285"/>
      <c r="M210" s="479"/>
      <c r="N210" s="285"/>
      <c r="O210" s="267"/>
    </row>
    <row r="211" spans="1:15" x14ac:dyDescent="0.2">
      <c r="A211" s="267"/>
      <c r="B211" s="337"/>
      <c r="C211" s="338"/>
      <c r="D211" s="339"/>
      <c r="E211" s="305"/>
      <c r="F211" s="285"/>
      <c r="G211" s="468"/>
      <c r="H211" s="267"/>
      <c r="I211" s="318"/>
      <c r="J211" s="285"/>
      <c r="K211" s="478"/>
      <c r="L211" s="285"/>
      <c r="M211" s="479"/>
      <c r="N211" s="285"/>
      <c r="O211" s="267"/>
    </row>
    <row r="212" spans="1:15" ht="13.5" thickBot="1" x14ac:dyDescent="0.25">
      <c r="A212" s="259">
        <v>29</v>
      </c>
      <c r="B212" s="525" t="s">
        <v>900</v>
      </c>
      <c r="C212" s="526"/>
      <c r="D212" s="527"/>
      <c r="E212" s="480">
        <f>SUM(E204:E211)</f>
        <v>-531109.54</v>
      </c>
      <c r="F212" s="341"/>
      <c r="G212" s="481">
        <f>SUM(G204:G211)</f>
        <v>-545309.54</v>
      </c>
      <c r="H212" s="481">
        <f>SUM(H204:H211)</f>
        <v>-32819.348022600003</v>
      </c>
      <c r="I212" s="481">
        <f>SUM(I204:I211)</f>
        <v>-512490.19197740004</v>
      </c>
      <c r="J212" s="482">
        <f>SUM(J204:J211)</f>
        <v>14200</v>
      </c>
      <c r="K212" s="483"/>
      <c r="L212" s="482">
        <f>SUM(L204:L211)</f>
        <v>0</v>
      </c>
      <c r="M212" s="482">
        <f>SUM(M204:M211)</f>
        <v>14200</v>
      </c>
      <c r="N212" s="482">
        <f>SUM(N204:N211)</f>
        <v>0</v>
      </c>
      <c r="O212" s="233"/>
    </row>
    <row r="213" spans="1:15" ht="13.5" thickBot="1" x14ac:dyDescent="0.25">
      <c r="A213" s="259">
        <v>30</v>
      </c>
      <c r="B213" s="525" t="s">
        <v>901</v>
      </c>
      <c r="C213" s="528"/>
      <c r="D213" s="528"/>
      <c r="E213" s="484">
        <f>E214-E212</f>
        <v>554474.54</v>
      </c>
      <c r="F213" s="345"/>
      <c r="G213" s="345"/>
      <c r="H213" s="345"/>
      <c r="I213" s="345"/>
      <c r="J213" s="346"/>
      <c r="K213" s="345"/>
      <c r="L213" s="346"/>
      <c r="M213" s="346"/>
      <c r="N213" s="346"/>
      <c r="O213" s="276"/>
    </row>
    <row r="214" spans="1:15" ht="25.5" customHeight="1" x14ac:dyDescent="0.2">
      <c r="A214" s="259">
        <v>31</v>
      </c>
      <c r="B214" s="530" t="s">
        <v>902</v>
      </c>
      <c r="C214" s="531"/>
      <c r="D214" s="531"/>
      <c r="E214" s="485">
        <v>23365</v>
      </c>
      <c r="F214" s="345"/>
      <c r="G214" s="345"/>
      <c r="H214" s="345"/>
      <c r="I214" s="345"/>
      <c r="J214" s="346"/>
      <c r="K214" s="345"/>
      <c r="L214" s="346"/>
      <c r="M214" s="346"/>
      <c r="N214" s="346"/>
      <c r="O214" s="276"/>
    </row>
    <row r="215" spans="1:15" x14ac:dyDescent="0.2">
      <c r="A215" s="287"/>
    </row>
    <row r="216" spans="1:15" x14ac:dyDescent="0.2">
      <c r="A216" s="259">
        <v>32</v>
      </c>
      <c r="B216" s="347"/>
      <c r="C216" s="348"/>
      <c r="D216" s="349" t="s">
        <v>903</v>
      </c>
      <c r="E216" s="486">
        <f>E9+E31+E39+E72+E139+E166+E171+E176+E199+E212</f>
        <v>871536331.70999992</v>
      </c>
      <c r="F216" s="351"/>
      <c r="G216" s="486">
        <f>G9+G31+G39+G72+G139+G166+G171+G176+G199+G212</f>
        <v>333038724.55990267</v>
      </c>
      <c r="H216" s="486">
        <f>H9+H31+H39+H72+H139+H166+H171+H176+H199+H212</f>
        <v>68798299.961880103</v>
      </c>
      <c r="I216" s="486">
        <f>I9+I31+I39+I72+I139+I166+I171+I176+I199+I212</f>
        <v>264240424.59802258</v>
      </c>
      <c r="J216" s="487">
        <f>J9+J31+J39+J72+J139+J166+J171+J176+J199+J212</f>
        <v>81779696.849999979</v>
      </c>
      <c r="K216" s="351"/>
      <c r="L216" s="487">
        <f>L9+L31+L39+L72+L139+L166+L171+L176+L199+L212</f>
        <v>16671389.037109755</v>
      </c>
      <c r="M216" s="487">
        <f>M9+M31+M39+M72+M139+M166+M171+M176+M199+M212</f>
        <v>65108307.812890254</v>
      </c>
      <c r="N216" s="487">
        <f>N9+N31+N39+N72+N139+N166+N171+N176+N199+N212</f>
        <v>456717910.30009729</v>
      </c>
      <c r="O216" s="233"/>
    </row>
    <row r="217" spans="1:15" x14ac:dyDescent="0.2">
      <c r="A217" s="354"/>
      <c r="B217" s="355"/>
      <c r="C217" s="354"/>
      <c r="E217" s="287"/>
      <c r="F217" s="287"/>
      <c r="G217" s="356"/>
      <c r="J217" s="357"/>
      <c r="K217" s="358"/>
      <c r="N217" s="356"/>
    </row>
    <row r="218" spans="1:15" x14ac:dyDescent="0.2">
      <c r="A218" s="354"/>
      <c r="B218" s="355"/>
      <c r="C218" s="354"/>
      <c r="E218" s="287"/>
      <c r="F218" s="287" t="s">
        <v>37</v>
      </c>
      <c r="J218" s="357"/>
      <c r="K218" s="358"/>
      <c r="N218" s="356"/>
    </row>
    <row r="219" spans="1:15" x14ac:dyDescent="0.2">
      <c r="A219" s="259">
        <v>33</v>
      </c>
      <c r="B219" s="359"/>
      <c r="C219" s="359"/>
      <c r="D219" s="360" t="s">
        <v>904</v>
      </c>
      <c r="E219" s="470">
        <f>L216</f>
        <v>16671389.037109755</v>
      </c>
      <c r="F219" s="361" t="s">
        <v>905</v>
      </c>
      <c r="G219" s="356"/>
      <c r="N219" s="356"/>
    </row>
    <row r="220" spans="1:15" x14ac:dyDescent="0.2">
      <c r="A220" s="256">
        <v>34</v>
      </c>
      <c r="B220" s="359"/>
      <c r="C220" s="359"/>
      <c r="D220" s="360" t="s">
        <v>906</v>
      </c>
      <c r="E220" s="470">
        <f>E219*(5.425/16.671)</f>
        <v>5425126.5986635732</v>
      </c>
      <c r="F220" s="362" t="s">
        <v>907</v>
      </c>
      <c r="G220" s="358"/>
      <c r="N220" s="356"/>
    </row>
    <row r="221" spans="1:15" x14ac:dyDescent="0.2">
      <c r="A221" s="256">
        <v>35</v>
      </c>
      <c r="B221" s="359"/>
      <c r="C221" s="359"/>
      <c r="D221" s="363"/>
      <c r="E221" s="364"/>
      <c r="F221" s="365"/>
      <c r="G221" s="358"/>
      <c r="N221" s="356"/>
    </row>
    <row r="222" spans="1:15" x14ac:dyDescent="0.2">
      <c r="A222" s="256">
        <v>36</v>
      </c>
      <c r="B222" s="359"/>
      <c r="C222" s="359"/>
      <c r="D222" s="360" t="s">
        <v>908</v>
      </c>
      <c r="E222" s="470">
        <f>SUMIF(K4:K205,"=A",M4:M205)</f>
        <v>41362698.434934065</v>
      </c>
      <c r="F222" s="362" t="s">
        <v>909</v>
      </c>
      <c r="G222" s="358"/>
      <c r="N222" s="356"/>
    </row>
    <row r="223" spans="1:15" x14ac:dyDescent="0.2">
      <c r="A223" s="256">
        <v>37</v>
      </c>
      <c r="B223" s="236"/>
      <c r="C223" s="236"/>
      <c r="D223" s="360" t="s">
        <v>910</v>
      </c>
      <c r="E223" s="470">
        <f>0.1*E222</f>
        <v>4136269.8434934067</v>
      </c>
      <c r="F223" s="200" t="str">
        <f>"= Line "&amp;A222&amp;"D * 10%"</f>
        <v>= Line 36D * 10%</v>
      </c>
      <c r="G223" s="229"/>
      <c r="H223" s="366"/>
      <c r="I223" s="367"/>
    </row>
    <row r="224" spans="1:15" x14ac:dyDescent="0.2">
      <c r="A224" s="256">
        <v>38</v>
      </c>
      <c r="B224" s="236"/>
      <c r="C224" s="236"/>
      <c r="D224" s="360" t="s">
        <v>911</v>
      </c>
      <c r="E224" s="470">
        <f>SUMIF(K4:K208,"=P",M4:M208)</f>
        <v>23745609.377956178</v>
      </c>
      <c r="F224" s="368" t="s">
        <v>912</v>
      </c>
      <c r="G224" s="229"/>
      <c r="H224" s="287"/>
      <c r="I224" s="367"/>
    </row>
    <row r="225" spans="1:254" x14ac:dyDescent="0.2">
      <c r="A225" s="256">
        <v>39</v>
      </c>
      <c r="B225" s="236"/>
      <c r="C225" s="236"/>
      <c r="D225" s="360" t="s">
        <v>913</v>
      </c>
      <c r="E225" s="470">
        <f>0.3*E224</f>
        <v>7123682.8133868529</v>
      </c>
      <c r="F225" s="200" t="str">
        <f>"= Line "&amp;A224&amp;"D * 30%"</f>
        <v>= Line 38D * 30%</v>
      </c>
      <c r="G225" s="229"/>
      <c r="H225" s="366"/>
      <c r="I225" s="367"/>
    </row>
    <row r="226" spans="1:254" x14ac:dyDescent="0.2">
      <c r="A226" s="256">
        <v>40</v>
      </c>
      <c r="B226" s="236"/>
      <c r="C226" s="236"/>
      <c r="D226" s="360" t="s">
        <v>914</v>
      </c>
      <c r="E226" s="470">
        <f>E223+E225</f>
        <v>11259952.65688026</v>
      </c>
      <c r="F226" s="200" t="str">
        <f>"= Line "&amp;A223&amp;"D + Line "&amp;A225&amp;"D"</f>
        <v>= Line 37D + Line 39D</v>
      </c>
      <c r="G226" s="330"/>
    </row>
    <row r="227" spans="1:254" x14ac:dyDescent="0.2">
      <c r="A227" s="256">
        <v>41</v>
      </c>
      <c r="B227" s="236"/>
      <c r="C227" s="236"/>
      <c r="D227" s="360" t="s">
        <v>915</v>
      </c>
      <c r="E227" s="369">
        <f>5.425/16.671</f>
        <v>0.32541539199808051</v>
      </c>
      <c r="F227" s="362" t="s">
        <v>916</v>
      </c>
      <c r="G227" s="330"/>
    </row>
    <row r="228" spans="1:254" x14ac:dyDescent="0.2">
      <c r="A228" s="256">
        <v>42</v>
      </c>
      <c r="B228" s="236"/>
      <c r="C228" s="236"/>
      <c r="D228" s="360" t="s">
        <v>917</v>
      </c>
      <c r="E228" s="470">
        <f>E226*E227</f>
        <v>3664161.9077185178</v>
      </c>
      <c r="F228" s="200" t="str">
        <f>"= Line "&amp;A226&amp;"D * Line "&amp;A227&amp;"D"</f>
        <v>= Line 40D * Line 41D</v>
      </c>
      <c r="G228" s="330"/>
    </row>
    <row r="229" spans="1:254" ht="12.75" customHeight="1" x14ac:dyDescent="0.2">
      <c r="A229" s="256">
        <v>43</v>
      </c>
      <c r="B229" s="236"/>
      <c r="C229" s="236"/>
      <c r="D229" s="370" t="s">
        <v>918</v>
      </c>
      <c r="E229" s="488">
        <f>E228+E220</f>
        <v>9089288.506382091</v>
      </c>
      <c r="F229" s="200" t="str">
        <f>"= Line "&amp;A220&amp;"D + Line "&amp;A228&amp;"D"</f>
        <v>= Line 34D + Line 42D</v>
      </c>
      <c r="G229" s="330"/>
    </row>
    <row r="230" spans="1:254" x14ac:dyDescent="0.2">
      <c r="A230" s="229"/>
      <c r="D230" s="330"/>
      <c r="E230" s="371"/>
      <c r="F230" s="362"/>
      <c r="G230" s="330"/>
    </row>
    <row r="231" spans="1:254" x14ac:dyDescent="0.2">
      <c r="A231" s="229"/>
      <c r="D231" s="372"/>
      <c r="E231" s="373" t="s">
        <v>32</v>
      </c>
      <c r="F231" s="373" t="s">
        <v>37</v>
      </c>
      <c r="G231" s="374"/>
      <c r="I231" s="332"/>
      <c r="J231" s="229"/>
      <c r="K231" s="332"/>
      <c r="L231" s="372"/>
      <c r="M231" s="373"/>
      <c r="N231" s="373"/>
      <c r="O231" s="374"/>
      <c r="P231" s="329"/>
      <c r="Q231" s="332"/>
      <c r="R231" s="372"/>
      <c r="S231" s="373"/>
      <c r="T231" s="373"/>
      <c r="U231" s="374"/>
      <c r="V231" s="329"/>
      <c r="W231" s="332"/>
      <c r="X231" s="229"/>
      <c r="Y231" s="332"/>
      <c r="Z231" s="372"/>
      <c r="AA231" s="373"/>
      <c r="AB231" s="373"/>
      <c r="AC231" s="374"/>
      <c r="AD231" s="329"/>
      <c r="AE231" s="332"/>
      <c r="AF231" s="229"/>
      <c r="AG231" s="332"/>
      <c r="AH231" s="372"/>
      <c r="AI231" s="373"/>
      <c r="AJ231" s="373"/>
      <c r="AK231" s="374"/>
      <c r="AL231" s="329"/>
      <c r="AM231" s="332"/>
      <c r="AN231" s="229"/>
      <c r="AO231" s="332"/>
      <c r="AP231" s="372"/>
      <c r="AQ231" s="373"/>
      <c r="AR231" s="373"/>
      <c r="AS231" s="374"/>
      <c r="AT231" s="329"/>
      <c r="AU231" s="332"/>
      <c r="AV231" s="229"/>
      <c r="AW231" s="332"/>
      <c r="AX231" s="372"/>
      <c r="AY231" s="373"/>
      <c r="AZ231" s="373"/>
      <c r="BA231" s="374"/>
      <c r="BB231" s="329"/>
      <c r="BC231" s="332"/>
      <c r="BD231" s="229"/>
      <c r="BE231" s="332"/>
      <c r="BF231" s="372"/>
      <c r="BG231" s="373"/>
      <c r="BH231" s="373"/>
      <c r="BI231" s="374"/>
      <c r="BJ231" s="329"/>
      <c r="BK231" s="332"/>
      <c r="BL231" s="229"/>
      <c r="BM231" s="332"/>
      <c r="BN231" s="372"/>
      <c r="BO231" s="373"/>
      <c r="BP231" s="373"/>
      <c r="BQ231" s="374"/>
      <c r="BR231" s="329"/>
      <c r="BS231" s="332"/>
      <c r="BT231" s="229"/>
      <c r="BU231" s="332"/>
      <c r="BV231" s="372"/>
      <c r="BW231" s="373"/>
      <c r="BX231" s="373"/>
      <c r="BY231" s="374"/>
      <c r="BZ231" s="329"/>
      <c r="CA231" s="332"/>
      <c r="CB231" s="229"/>
      <c r="CC231" s="332"/>
      <c r="CD231" s="372"/>
      <c r="CE231" s="373"/>
      <c r="CF231" s="373"/>
      <c r="CG231" s="374"/>
      <c r="CH231" s="329"/>
      <c r="CI231" s="332"/>
      <c r="CJ231" s="229"/>
      <c r="CK231" s="332"/>
      <c r="CL231" s="372"/>
      <c r="CM231" s="373"/>
      <c r="CN231" s="373"/>
      <c r="CO231" s="374"/>
      <c r="CP231" s="329"/>
      <c r="CQ231" s="332"/>
      <c r="CR231" s="229"/>
      <c r="CS231" s="332"/>
      <c r="CT231" s="372"/>
      <c r="CU231" s="373"/>
      <c r="CV231" s="373"/>
      <c r="CW231" s="374"/>
      <c r="CX231" s="329"/>
      <c r="CY231" s="332"/>
      <c r="CZ231" s="229"/>
      <c r="DA231" s="332"/>
      <c r="DB231" s="372"/>
      <c r="DC231" s="373"/>
      <c r="DD231" s="373"/>
      <c r="DE231" s="374"/>
      <c r="DF231" s="329"/>
      <c r="DG231" s="332"/>
      <c r="DH231" s="229"/>
      <c r="DI231" s="332"/>
      <c r="DJ231" s="372"/>
      <c r="DK231" s="373"/>
      <c r="DL231" s="373"/>
      <c r="DM231" s="374"/>
      <c r="DN231" s="329"/>
      <c r="DO231" s="332"/>
      <c r="DP231" s="229"/>
      <c r="DQ231" s="332"/>
      <c r="DR231" s="372"/>
      <c r="DS231" s="373"/>
      <c r="DT231" s="373"/>
      <c r="DU231" s="374"/>
      <c r="DV231" s="329"/>
      <c r="DW231" s="332"/>
      <c r="DX231" s="229"/>
      <c r="DY231" s="332"/>
      <c r="DZ231" s="372"/>
      <c r="EA231" s="373"/>
      <c r="EB231" s="373"/>
      <c r="EC231" s="374"/>
      <c r="ED231" s="329"/>
      <c r="EE231" s="332"/>
      <c r="EF231" s="229"/>
      <c r="EG231" s="332"/>
      <c r="EH231" s="372"/>
      <c r="EI231" s="373"/>
      <c r="EJ231" s="373"/>
      <c r="EK231" s="374"/>
      <c r="EL231" s="329"/>
      <c r="EM231" s="332"/>
      <c r="EN231" s="229"/>
      <c r="EO231" s="332"/>
      <c r="EP231" s="372"/>
      <c r="EQ231" s="373"/>
      <c r="ER231" s="373"/>
      <c r="ES231" s="374"/>
      <c r="ET231" s="329"/>
      <c r="EU231" s="332"/>
      <c r="EV231" s="229"/>
      <c r="EW231" s="332"/>
      <c r="EX231" s="372"/>
      <c r="EY231" s="373"/>
      <c r="EZ231" s="373"/>
      <c r="FA231" s="374"/>
      <c r="FB231" s="329"/>
      <c r="FC231" s="332"/>
      <c r="FD231" s="229"/>
      <c r="FE231" s="332"/>
      <c r="FF231" s="372"/>
      <c r="FG231" s="373"/>
      <c r="FH231" s="373"/>
      <c r="FI231" s="374"/>
      <c r="FJ231" s="329"/>
      <c r="FK231" s="332"/>
      <c r="FL231" s="229"/>
      <c r="FM231" s="332"/>
      <c r="FN231" s="372"/>
      <c r="FO231" s="373"/>
      <c r="FP231" s="373"/>
      <c r="FQ231" s="374"/>
      <c r="FR231" s="329"/>
      <c r="FS231" s="332"/>
      <c r="FT231" s="229"/>
      <c r="FU231" s="332"/>
      <c r="FV231" s="372"/>
      <c r="FW231" s="373"/>
      <c r="FX231" s="373"/>
      <c r="FY231" s="374"/>
      <c r="FZ231" s="329"/>
      <c r="GA231" s="332"/>
      <c r="GB231" s="229"/>
      <c r="GC231" s="332"/>
      <c r="GD231" s="372"/>
      <c r="GE231" s="373"/>
      <c r="GF231" s="373"/>
      <c r="GG231" s="374"/>
      <c r="GH231" s="329"/>
      <c r="GI231" s="332"/>
      <c r="GJ231" s="229"/>
      <c r="GK231" s="332"/>
      <c r="GL231" s="372"/>
      <c r="GM231" s="373"/>
      <c r="GN231" s="373"/>
      <c r="GO231" s="374"/>
      <c r="GP231" s="329"/>
      <c r="GQ231" s="332"/>
      <c r="GR231" s="229"/>
      <c r="GS231" s="332"/>
      <c r="GT231" s="372"/>
      <c r="GU231" s="373"/>
      <c r="GV231" s="373"/>
      <c r="GW231" s="374"/>
      <c r="GX231" s="329"/>
      <c r="GY231" s="332"/>
      <c r="GZ231" s="229"/>
      <c r="HA231" s="332"/>
      <c r="HB231" s="372"/>
      <c r="HC231" s="373"/>
      <c r="HD231" s="373"/>
      <c r="HE231" s="374"/>
      <c r="HF231" s="329"/>
      <c r="HG231" s="332"/>
      <c r="HH231" s="229"/>
      <c r="HI231" s="332"/>
      <c r="HJ231" s="372"/>
      <c r="HK231" s="373"/>
      <c r="HL231" s="373"/>
      <c r="HM231" s="374"/>
      <c r="HN231" s="329"/>
      <c r="HO231" s="332"/>
      <c r="HP231" s="229"/>
      <c r="HQ231" s="332"/>
      <c r="HR231" s="372"/>
      <c r="HS231" s="373"/>
      <c r="HT231" s="373"/>
      <c r="HU231" s="374"/>
      <c r="HV231" s="329"/>
      <c r="HW231" s="332"/>
      <c r="HX231" s="229"/>
      <c r="HY231" s="332"/>
      <c r="HZ231" s="372"/>
      <c r="IA231" s="373"/>
      <c r="IB231" s="373"/>
      <c r="IC231" s="374"/>
      <c r="ID231" s="329"/>
      <c r="IE231" s="332"/>
      <c r="IF231" s="229"/>
      <c r="IG231" s="332"/>
      <c r="IH231" s="372"/>
      <c r="II231" s="373"/>
      <c r="IJ231" s="373"/>
      <c r="IK231" s="374"/>
      <c r="IL231" s="329"/>
      <c r="IM231" s="332"/>
      <c r="IN231" s="229"/>
      <c r="IO231" s="332"/>
      <c r="IP231" s="372"/>
      <c r="IQ231" s="373"/>
      <c r="IR231" s="373"/>
      <c r="IS231" s="374"/>
      <c r="IT231" s="329"/>
    </row>
    <row r="232" spans="1:254" x14ac:dyDescent="0.2">
      <c r="A232" s="256">
        <v>44</v>
      </c>
      <c r="B232" s="334" t="s">
        <v>919</v>
      </c>
      <c r="D232" s="372"/>
      <c r="E232" s="375">
        <f>H216+E229</f>
        <v>77887588.468262196</v>
      </c>
      <c r="F232" s="376" t="s">
        <v>920</v>
      </c>
      <c r="G232" s="374"/>
      <c r="J232" s="334"/>
      <c r="K232" s="332"/>
      <c r="L232" s="372"/>
      <c r="M232" s="377"/>
      <c r="N232" s="376"/>
      <c r="O232" s="374"/>
      <c r="P232" s="329"/>
      <c r="Q232" s="332"/>
      <c r="R232" s="372"/>
      <c r="S232" s="377"/>
      <c r="T232" s="376"/>
      <c r="U232" s="374"/>
      <c r="V232" s="329"/>
      <c r="W232" s="287"/>
      <c r="X232" s="334"/>
      <c r="Y232" s="332"/>
      <c r="Z232" s="372"/>
      <c r="AA232" s="377"/>
      <c r="AB232" s="376"/>
      <c r="AC232" s="374"/>
      <c r="AD232" s="329"/>
      <c r="AE232" s="287"/>
      <c r="AF232" s="334"/>
      <c r="AG232" s="332"/>
      <c r="AH232" s="372"/>
      <c r="AI232" s="377"/>
      <c r="AJ232" s="376"/>
      <c r="AK232" s="374"/>
      <c r="AL232" s="329"/>
      <c r="AM232" s="259"/>
      <c r="AN232" s="334"/>
      <c r="AO232" s="332"/>
      <c r="AP232" s="372"/>
      <c r="AQ232" s="377"/>
      <c r="AR232" s="376"/>
      <c r="AS232" s="374"/>
      <c r="AT232" s="329"/>
      <c r="AU232" s="259"/>
      <c r="AV232" s="334"/>
      <c r="AW232" s="332"/>
      <c r="AX232" s="372"/>
      <c r="AY232" s="377"/>
      <c r="AZ232" s="376"/>
      <c r="BA232" s="374"/>
      <c r="BB232" s="329"/>
      <c r="BC232" s="259"/>
      <c r="BD232" s="334"/>
      <c r="BE232" s="332"/>
      <c r="BF232" s="372"/>
      <c r="BG232" s="377"/>
      <c r="BH232" s="376"/>
      <c r="BI232" s="374"/>
      <c r="BJ232" s="329"/>
      <c r="BK232" s="259"/>
      <c r="BL232" s="334"/>
      <c r="BM232" s="332"/>
      <c r="BN232" s="372"/>
      <c r="BO232" s="377"/>
      <c r="BP232" s="376"/>
      <c r="BQ232" s="374"/>
      <c r="BR232" s="329"/>
      <c r="BS232" s="259"/>
      <c r="BT232" s="334"/>
      <c r="BU232" s="332"/>
      <c r="BV232" s="372"/>
      <c r="BW232" s="377"/>
      <c r="BX232" s="376"/>
      <c r="BY232" s="374"/>
      <c r="BZ232" s="329"/>
      <c r="CA232" s="259"/>
      <c r="CB232" s="334"/>
      <c r="CC232" s="332"/>
      <c r="CD232" s="372"/>
      <c r="CE232" s="377"/>
      <c r="CF232" s="376"/>
      <c r="CG232" s="374"/>
      <c r="CH232" s="329"/>
      <c r="CI232" s="259"/>
      <c r="CJ232" s="334"/>
      <c r="CK232" s="332"/>
      <c r="CL232" s="372"/>
      <c r="CM232" s="377"/>
      <c r="CN232" s="376"/>
      <c r="CO232" s="374"/>
      <c r="CP232" s="329"/>
      <c r="CQ232" s="259"/>
      <c r="CR232" s="334"/>
      <c r="CS232" s="332"/>
      <c r="CT232" s="372"/>
      <c r="CU232" s="377"/>
      <c r="CV232" s="376"/>
      <c r="CW232" s="374"/>
      <c r="CX232" s="329"/>
      <c r="CY232" s="259"/>
      <c r="CZ232" s="334"/>
      <c r="DA232" s="332"/>
      <c r="DB232" s="372"/>
      <c r="DC232" s="377"/>
      <c r="DD232" s="376"/>
      <c r="DE232" s="374"/>
      <c r="DF232" s="329"/>
      <c r="DG232" s="259"/>
      <c r="DH232" s="334"/>
      <c r="DI232" s="332"/>
      <c r="DJ232" s="372"/>
      <c r="DK232" s="377"/>
      <c r="DL232" s="376"/>
      <c r="DM232" s="374"/>
      <c r="DN232" s="329"/>
      <c r="DO232" s="259"/>
      <c r="DP232" s="334"/>
      <c r="DQ232" s="332"/>
      <c r="DR232" s="372"/>
      <c r="DS232" s="377"/>
      <c r="DT232" s="376"/>
      <c r="DU232" s="374"/>
      <c r="DV232" s="329"/>
      <c r="DW232" s="259"/>
      <c r="DX232" s="334"/>
      <c r="DY232" s="332"/>
      <c r="DZ232" s="372"/>
      <c r="EA232" s="377"/>
      <c r="EB232" s="376"/>
      <c r="EC232" s="374"/>
      <c r="ED232" s="329"/>
      <c r="EE232" s="259"/>
      <c r="EF232" s="334"/>
      <c r="EG232" s="332"/>
      <c r="EH232" s="372"/>
      <c r="EI232" s="377"/>
      <c r="EJ232" s="376"/>
      <c r="EK232" s="374"/>
      <c r="EL232" s="329"/>
      <c r="EM232" s="259"/>
      <c r="EN232" s="334"/>
      <c r="EO232" s="332"/>
      <c r="EP232" s="372"/>
      <c r="EQ232" s="377"/>
      <c r="ER232" s="376"/>
      <c r="ES232" s="374"/>
      <c r="ET232" s="329"/>
      <c r="EU232" s="259"/>
      <c r="EV232" s="334"/>
      <c r="EW232" s="332"/>
      <c r="EX232" s="372"/>
      <c r="EY232" s="377"/>
      <c r="EZ232" s="376"/>
      <c r="FA232" s="374"/>
      <c r="FB232" s="329"/>
      <c r="FC232" s="259"/>
      <c r="FD232" s="334"/>
      <c r="FE232" s="332"/>
      <c r="FF232" s="372"/>
      <c r="FG232" s="377"/>
      <c r="FH232" s="376"/>
      <c r="FI232" s="374"/>
      <c r="FJ232" s="329"/>
      <c r="FK232" s="259"/>
      <c r="FL232" s="334"/>
      <c r="FM232" s="332"/>
      <c r="FN232" s="372"/>
      <c r="FO232" s="377"/>
      <c r="FP232" s="376"/>
      <c r="FQ232" s="374"/>
      <c r="FR232" s="329"/>
      <c r="FS232" s="259"/>
      <c r="FT232" s="334"/>
      <c r="FU232" s="332"/>
      <c r="FV232" s="372"/>
      <c r="FW232" s="377"/>
      <c r="FX232" s="376"/>
      <c r="FY232" s="374"/>
      <c r="FZ232" s="329"/>
      <c r="GA232" s="259"/>
      <c r="GB232" s="334"/>
      <c r="GC232" s="332"/>
      <c r="GD232" s="372"/>
      <c r="GE232" s="377"/>
      <c r="GF232" s="376"/>
      <c r="GG232" s="374"/>
      <c r="GH232" s="329"/>
      <c r="GI232" s="259"/>
      <c r="GJ232" s="334"/>
      <c r="GK232" s="332"/>
      <c r="GL232" s="372"/>
      <c r="GM232" s="377"/>
      <c r="GN232" s="376"/>
      <c r="GO232" s="374"/>
      <c r="GP232" s="329"/>
      <c r="GQ232" s="259"/>
      <c r="GR232" s="334"/>
      <c r="GS232" s="332"/>
      <c r="GT232" s="372"/>
      <c r="GU232" s="377"/>
      <c r="GV232" s="376"/>
      <c r="GW232" s="374"/>
      <c r="GX232" s="329"/>
      <c r="GY232" s="259"/>
      <c r="GZ232" s="334"/>
      <c r="HA232" s="332"/>
      <c r="HB232" s="372"/>
      <c r="HC232" s="377"/>
      <c r="HD232" s="376"/>
      <c r="HE232" s="374"/>
      <c r="HF232" s="329"/>
      <c r="HG232" s="259"/>
      <c r="HH232" s="334"/>
      <c r="HI232" s="332"/>
      <c r="HJ232" s="372"/>
      <c r="HK232" s="377"/>
      <c r="HL232" s="376"/>
      <c r="HM232" s="374"/>
      <c r="HN232" s="329"/>
      <c r="HO232" s="259"/>
      <c r="HP232" s="334"/>
      <c r="HQ232" s="332"/>
      <c r="HR232" s="372"/>
      <c r="HS232" s="377"/>
      <c r="HT232" s="376"/>
      <c r="HU232" s="374"/>
      <c r="HV232" s="329"/>
      <c r="HW232" s="259"/>
      <c r="HX232" s="334"/>
      <c r="HY232" s="332"/>
      <c r="HZ232" s="372"/>
      <c r="IA232" s="377"/>
      <c r="IB232" s="376"/>
      <c r="IC232" s="374"/>
      <c r="ID232" s="329"/>
      <c r="IE232" s="259"/>
      <c r="IF232" s="334"/>
      <c r="IG232" s="332"/>
      <c r="IH232" s="372"/>
      <c r="II232" s="377"/>
      <c r="IJ232" s="376"/>
      <c r="IK232" s="374"/>
      <c r="IL232" s="329"/>
      <c r="IM232" s="259"/>
      <c r="IN232" s="334"/>
      <c r="IO232" s="332"/>
      <c r="IP232" s="372"/>
      <c r="IQ232" s="377"/>
      <c r="IR232" s="376"/>
      <c r="IS232" s="374"/>
      <c r="IT232" s="329"/>
    </row>
    <row r="233" spans="1:254" x14ac:dyDescent="0.2">
      <c r="D233" s="330"/>
      <c r="E233" s="331"/>
      <c r="F233" s="361"/>
    </row>
    <row r="235" spans="1:254" x14ac:dyDescent="0.2">
      <c r="A235" s="332" t="s">
        <v>278</v>
      </c>
    </row>
    <row r="236" spans="1:254" ht="12.75" customHeight="1" x14ac:dyDescent="0.2">
      <c r="A236" s="378" t="s">
        <v>921</v>
      </c>
      <c r="B236" s="532" t="s">
        <v>922</v>
      </c>
      <c r="C236" s="533"/>
      <c r="D236" s="533"/>
    </row>
    <row r="237" spans="1:254" ht="77.25" customHeight="1" x14ac:dyDescent="0.2">
      <c r="A237" s="378" t="s">
        <v>923</v>
      </c>
      <c r="B237" s="517" t="s">
        <v>924</v>
      </c>
      <c r="C237" s="519"/>
      <c r="D237" s="519"/>
      <c r="E237" s="521"/>
      <c r="F237" s="521"/>
    </row>
    <row r="238" spans="1:254" ht="12.75" customHeight="1" x14ac:dyDescent="0.2">
      <c r="A238" s="378" t="s">
        <v>925</v>
      </c>
      <c r="B238" s="517" t="s">
        <v>926</v>
      </c>
      <c r="C238" s="518"/>
      <c r="D238" s="518"/>
      <c r="E238" s="522"/>
      <c r="F238" s="522"/>
    </row>
    <row r="239" spans="1:254" ht="12.75" customHeight="1" x14ac:dyDescent="0.2">
      <c r="A239" s="379" t="s">
        <v>927</v>
      </c>
      <c r="B239" s="517" t="s">
        <v>928</v>
      </c>
      <c r="C239" s="518"/>
      <c r="D239" s="518"/>
      <c r="E239" s="522"/>
      <c r="F239" s="522"/>
    </row>
    <row r="240" spans="1:254" ht="12.75" customHeight="1" x14ac:dyDescent="0.2">
      <c r="A240" s="378" t="s">
        <v>929</v>
      </c>
      <c r="B240" s="517" t="s">
        <v>930</v>
      </c>
      <c r="C240" s="518"/>
      <c r="D240" s="518"/>
      <c r="E240" s="522"/>
      <c r="F240" s="522"/>
    </row>
    <row r="241" spans="1:8" ht="12.75" customHeight="1" x14ac:dyDescent="0.2">
      <c r="A241" s="379" t="s">
        <v>931</v>
      </c>
      <c r="B241" s="517" t="s">
        <v>932</v>
      </c>
      <c r="C241" s="518"/>
      <c r="D241" s="518"/>
      <c r="E241" s="522"/>
      <c r="F241" s="522"/>
    </row>
    <row r="242" spans="1:8" ht="12.75" customHeight="1" x14ac:dyDescent="0.2">
      <c r="A242" s="379" t="s">
        <v>933</v>
      </c>
      <c r="B242" s="517" t="s">
        <v>934</v>
      </c>
      <c r="C242" s="519"/>
      <c r="D242" s="519"/>
      <c r="E242" s="520"/>
      <c r="F242" s="520"/>
    </row>
    <row r="243" spans="1:8" ht="12.75" customHeight="1" x14ac:dyDescent="0.2">
      <c r="A243" s="379"/>
      <c r="B243" s="520"/>
      <c r="C243" s="520"/>
      <c r="D243" s="520"/>
      <c r="E243" s="520"/>
      <c r="F243" s="520"/>
    </row>
    <row r="244" spans="1:8" ht="12.75" customHeight="1" x14ac:dyDescent="0.2">
      <c r="A244" s="379"/>
      <c r="B244" s="517" t="s">
        <v>935</v>
      </c>
      <c r="C244" s="518"/>
      <c r="D244" s="380">
        <v>5.919E-2</v>
      </c>
      <c r="E244" s="381" t="s">
        <v>936</v>
      </c>
      <c r="F244" s="382" t="s">
        <v>937</v>
      </c>
      <c r="G244" s="383"/>
    </row>
    <row r="245" spans="1:8" ht="26.25" customHeight="1" x14ac:dyDescent="0.2">
      <c r="A245" s="379" t="s">
        <v>938</v>
      </c>
      <c r="B245" s="517" t="s">
        <v>939</v>
      </c>
      <c r="C245" s="518"/>
      <c r="D245" s="518"/>
      <c r="E245" s="522"/>
      <c r="F245" s="522"/>
    </row>
    <row r="246" spans="1:8" ht="27.75" customHeight="1" x14ac:dyDescent="0.2">
      <c r="A246" s="379" t="s">
        <v>940</v>
      </c>
      <c r="B246" s="517" t="s">
        <v>941</v>
      </c>
      <c r="C246" s="518"/>
      <c r="D246" s="518"/>
      <c r="E246" s="522"/>
      <c r="F246" s="522"/>
    </row>
    <row r="247" spans="1:8" ht="25.5" customHeight="1" x14ac:dyDescent="0.2">
      <c r="A247" s="378" t="s">
        <v>942</v>
      </c>
      <c r="B247" s="517" t="s">
        <v>943</v>
      </c>
      <c r="C247" s="518"/>
      <c r="D247" s="518"/>
      <c r="E247" s="522"/>
      <c r="F247" s="522"/>
    </row>
    <row r="248" spans="1:8" ht="39.950000000000003" customHeight="1" x14ac:dyDescent="0.2">
      <c r="A248" s="379" t="s">
        <v>944</v>
      </c>
      <c r="B248" s="517" t="s">
        <v>945</v>
      </c>
      <c r="C248" s="519"/>
      <c r="D248" s="519"/>
      <c r="E248" s="521"/>
      <c r="F248" s="521"/>
      <c r="G248" s="330"/>
    </row>
    <row r="249" spans="1:8" ht="26.1" customHeight="1" x14ac:dyDescent="0.2">
      <c r="A249" s="379" t="s">
        <v>946</v>
      </c>
      <c r="B249" s="517" t="s">
        <v>947</v>
      </c>
      <c r="C249" s="519"/>
      <c r="D249" s="519"/>
      <c r="E249" s="520"/>
      <c r="F249" s="520"/>
      <c r="G249" s="520"/>
    </row>
    <row r="250" spans="1:8" ht="12.75" customHeight="1" x14ac:dyDescent="0.2">
      <c r="A250" s="379"/>
      <c r="B250" s="517" t="s">
        <v>935</v>
      </c>
      <c r="C250" s="518"/>
      <c r="D250" s="380">
        <v>5.919E-2</v>
      </c>
      <c r="E250" s="381" t="s">
        <v>936</v>
      </c>
      <c r="F250" s="382" t="s">
        <v>937</v>
      </c>
      <c r="G250" s="383"/>
    </row>
    <row r="251" spans="1:8" ht="12.75" customHeight="1" x14ac:dyDescent="0.2">
      <c r="A251" s="379" t="s">
        <v>948</v>
      </c>
      <c r="B251" s="517" t="s">
        <v>949</v>
      </c>
      <c r="C251" s="519"/>
      <c r="D251" s="519"/>
      <c r="E251" s="520"/>
      <c r="F251" s="520"/>
      <c r="G251" s="520"/>
      <c r="H251" s="520"/>
    </row>
    <row r="252" spans="1:8" ht="12.75" customHeight="1" x14ac:dyDescent="0.2">
      <c r="A252" s="379" t="s">
        <v>950</v>
      </c>
      <c r="B252" s="517" t="s">
        <v>951</v>
      </c>
      <c r="C252" s="519"/>
      <c r="D252" s="519"/>
      <c r="E252" s="520"/>
      <c r="F252" s="520"/>
      <c r="G252" s="520"/>
    </row>
    <row r="253" spans="1:8" ht="25.5" customHeight="1" x14ac:dyDescent="0.2">
      <c r="A253" s="379" t="s">
        <v>952</v>
      </c>
      <c r="B253" s="517" t="s">
        <v>953</v>
      </c>
      <c r="C253" s="519"/>
      <c r="D253" s="519"/>
      <c r="E253" s="521"/>
      <c r="F253" s="521"/>
      <c r="G253" s="330"/>
    </row>
    <row r="254" spans="1:8" x14ac:dyDescent="0.2">
      <c r="A254" s="379" t="s">
        <v>954</v>
      </c>
      <c r="B254" s="229" t="s">
        <v>955</v>
      </c>
      <c r="C254" s="229"/>
      <c r="E254" s="229"/>
      <c r="F254" s="229"/>
      <c r="G254" s="330"/>
    </row>
    <row r="255" spans="1:8" x14ac:dyDescent="0.2">
      <c r="A255" s="379" t="s">
        <v>956</v>
      </c>
      <c r="B255" s="229" t="s">
        <v>957</v>
      </c>
      <c r="C255" s="229"/>
      <c r="E255" s="330"/>
      <c r="F255" s="330"/>
      <c r="G255" s="330"/>
    </row>
    <row r="256" spans="1:8" x14ac:dyDescent="0.2">
      <c r="A256" s="229"/>
      <c r="B256" s="229" t="s">
        <v>958</v>
      </c>
      <c r="C256" s="229"/>
      <c r="E256" s="330"/>
      <c r="F256" s="330"/>
      <c r="G256" s="330"/>
    </row>
    <row r="257" spans="1:7" x14ac:dyDescent="0.2">
      <c r="A257" s="229"/>
      <c r="B257" s="229" t="s">
        <v>959</v>
      </c>
      <c r="C257" s="229"/>
      <c r="E257" s="330"/>
      <c r="F257" s="330"/>
      <c r="G257" s="330"/>
    </row>
    <row r="258" spans="1:7" x14ac:dyDescent="0.2">
      <c r="A258" s="229"/>
      <c r="B258" s="229" t="s">
        <v>960</v>
      </c>
      <c r="C258" s="229"/>
      <c r="E258" s="330"/>
      <c r="F258" s="330"/>
      <c r="G258" s="330"/>
    </row>
  </sheetData>
  <autoFilter ref="A1:O254"/>
  <mergeCells count="47">
    <mergeCell ref="B249:G249"/>
    <mergeCell ref="B250:C250"/>
    <mergeCell ref="B251:H251"/>
    <mergeCell ref="B252:G252"/>
    <mergeCell ref="B253:F253"/>
    <mergeCell ref="B248:F248"/>
    <mergeCell ref="B236:D236"/>
    <mergeCell ref="B237:F237"/>
    <mergeCell ref="B238:F238"/>
    <mergeCell ref="B239:F239"/>
    <mergeCell ref="B240:F240"/>
    <mergeCell ref="B241:F241"/>
    <mergeCell ref="B242:F243"/>
    <mergeCell ref="B244:C244"/>
    <mergeCell ref="B245:F245"/>
    <mergeCell ref="B246:F246"/>
    <mergeCell ref="B247:F247"/>
    <mergeCell ref="B214:D214"/>
    <mergeCell ref="B199:D199"/>
    <mergeCell ref="B200:D200"/>
    <mergeCell ref="B201:D201"/>
    <mergeCell ref="B204:C204"/>
    <mergeCell ref="B205:C205"/>
    <mergeCell ref="B206:C206"/>
    <mergeCell ref="B207:C207"/>
    <mergeCell ref="B208:C208"/>
    <mergeCell ref="B209:C209"/>
    <mergeCell ref="B212:D212"/>
    <mergeCell ref="B213:D213"/>
    <mergeCell ref="B177:D177"/>
    <mergeCell ref="B39:D39"/>
    <mergeCell ref="B40:D40"/>
    <mergeCell ref="B72:D72"/>
    <mergeCell ref="B73:D73"/>
    <mergeCell ref="B139:D139"/>
    <mergeCell ref="B140:D140"/>
    <mergeCell ref="B166:D166"/>
    <mergeCell ref="B167:D167"/>
    <mergeCell ref="B171:D171"/>
    <mergeCell ref="B172:D172"/>
    <mergeCell ref="B176:D176"/>
    <mergeCell ref="B32:D32"/>
    <mergeCell ref="G2:I2"/>
    <mergeCell ref="J2:M2"/>
    <mergeCell ref="B9:D9"/>
    <mergeCell ref="B10:D10"/>
    <mergeCell ref="B31:D31"/>
  </mergeCells>
  <conditionalFormatting sqref="A240:A241 C173:C175 C141:C162 D78 C2:C8 C168:C170 C255:C65564 A245:A246 C177:C186 A248:A251 C233:C235 C33:C38 C74:C138 C216:C230 A253:A254 C11:C30 C41:C71 C164:C165">
    <cfRule type="cellIs" dxfId="6" priority="7" stopIfTrue="1" operator="between">
      <formula>4990000</formula>
      <formula>4999999</formula>
    </cfRule>
  </conditionalFormatting>
  <conditionalFormatting sqref="A252">
    <cfRule type="cellIs" dxfId="5" priority="6" stopIfTrue="1" operator="between">
      <formula>4990000</formula>
      <formula>4999999</formula>
    </cfRule>
  </conditionalFormatting>
  <conditionalFormatting sqref="A242:A244">
    <cfRule type="cellIs" dxfId="4" priority="5" stopIfTrue="1" operator="between">
      <formula>4990000</formula>
      <formula>4999999</formula>
    </cfRule>
  </conditionalFormatting>
  <conditionalFormatting sqref="K231:K232 Q231:Q232 Y231:Y232 AG231:AG232 AO231:AO232 AW231:AW232 BE231:BE232 BM231:BM232 BU231:BU232 CC231:CC232 CK231:CK232 CS231:CS232 DA231:DA232 DI231:DI232 DQ231:DQ232 DY231:DY232 EG231:EG232 EO231:EO232 EW231:EW232 FE231:FE232 FM231:FM232 FU231:FU232 GC231:GC232 GK231:GK232 GS231:GS232 HA231:HA232 HI231:HI232 HQ231:HQ232 HY231:HY232 IG231:IG232 IO231:IO232">
    <cfRule type="cellIs" dxfId="3" priority="4" stopIfTrue="1" operator="between">
      <formula>4990000</formula>
      <formula>4999999</formula>
    </cfRule>
  </conditionalFormatting>
  <conditionalFormatting sqref="C231:C232">
    <cfRule type="cellIs" dxfId="2" priority="3" stopIfTrue="1" operator="between">
      <formula>4990000</formula>
      <formula>4999999</formula>
    </cfRule>
  </conditionalFormatting>
  <conditionalFormatting sqref="A255">
    <cfRule type="cellIs" dxfId="1" priority="2" stopIfTrue="1" operator="between">
      <formula>4990000</formula>
      <formula>4999999</formula>
    </cfRule>
  </conditionalFormatting>
  <conditionalFormatting sqref="C163">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2016 True Up TRR)&amp;RExhibit SCE-29
TO2019A
WP-Schedule 3-One Time Adj Prior Period
Page &amp;P of &amp;N</oddHeader>
    <oddFooter>&amp;R21-RevenueCredits</oddFooter>
  </headerFooter>
  <rowBreaks count="3" manualBreakCount="3">
    <brk id="73" max="16383" man="1"/>
    <brk id="140" max="16383" man="1"/>
    <brk id="201"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120" zoomScaleNormal="120" workbookViewId="0"/>
  </sheetViews>
  <sheetFormatPr defaultRowHeight="12.75" x14ac:dyDescent="0.2"/>
  <cols>
    <col min="1" max="2" width="4.7109375" style="63" customWidth="1"/>
    <col min="3" max="3" width="40.7109375" style="63" customWidth="1"/>
    <col min="4" max="4" width="20.7109375" style="63" customWidth="1"/>
    <col min="5" max="5" width="28.7109375" style="63" customWidth="1"/>
    <col min="6" max="6" width="2.7109375" style="63" customWidth="1"/>
    <col min="7" max="7" width="16.7109375" style="63" customWidth="1"/>
    <col min="8" max="16384" width="9.140625" style="63"/>
  </cols>
  <sheetData>
    <row r="1" spans="1:9" x14ac:dyDescent="0.2">
      <c r="A1" s="92" t="s">
        <v>415</v>
      </c>
      <c r="B1" s="92"/>
    </row>
    <row r="2" spans="1:9" x14ac:dyDescent="0.2">
      <c r="A2" s="92"/>
      <c r="B2" s="92"/>
      <c r="E2" s="83" t="s">
        <v>156</v>
      </c>
    </row>
    <row r="3" spans="1:9" x14ac:dyDescent="0.2">
      <c r="G3" s="105"/>
    </row>
    <row r="4" spans="1:9" x14ac:dyDescent="0.2">
      <c r="A4" s="84"/>
      <c r="B4" s="92" t="s">
        <v>414</v>
      </c>
      <c r="G4" s="105"/>
    </row>
    <row r="5" spans="1:9" x14ac:dyDescent="0.2">
      <c r="A5" s="84"/>
      <c r="C5" s="92"/>
      <c r="D5" s="84"/>
      <c r="E5" s="84" t="s">
        <v>38</v>
      </c>
      <c r="G5" s="102" t="s">
        <v>401</v>
      </c>
    </row>
    <row r="6" spans="1:9" x14ac:dyDescent="0.2">
      <c r="A6" s="97" t="s">
        <v>277</v>
      </c>
      <c r="C6" s="92"/>
      <c r="D6" s="85" t="s">
        <v>42</v>
      </c>
      <c r="E6" s="85" t="s">
        <v>43</v>
      </c>
      <c r="G6" s="85" t="s">
        <v>400</v>
      </c>
    </row>
    <row r="7" spans="1:9" x14ac:dyDescent="0.2">
      <c r="A7" s="84">
        <v>1</v>
      </c>
      <c r="C7" s="200" t="s">
        <v>413</v>
      </c>
      <c r="D7" s="90"/>
      <c r="E7" s="96" t="str">
        <f>"19-OandM Line "&amp;'[16]19-OandM'!A170&amp;", Col. 7"</f>
        <v>19-OandM Line 137, Col. 7</v>
      </c>
      <c r="G7" s="187">
        <f>'[16]19-OandM'!H170</f>
        <v>33251375.720437568</v>
      </c>
      <c r="I7" s="88"/>
    </row>
    <row r="8" spans="1:9" x14ac:dyDescent="0.2">
      <c r="A8" s="84">
        <f>A7+1</f>
        <v>2</v>
      </c>
      <c r="C8" s="200" t="s">
        <v>412</v>
      </c>
      <c r="D8" s="90"/>
      <c r="E8" s="96" t="s">
        <v>411</v>
      </c>
      <c r="G8" s="202">
        <v>737797550</v>
      </c>
    </row>
    <row r="9" spans="1:9" x14ac:dyDescent="0.2">
      <c r="A9" s="84">
        <f t="shared" ref="A9:A72" si="0">A8+1</f>
        <v>3</v>
      </c>
      <c r="C9" s="201" t="s">
        <v>410</v>
      </c>
      <c r="D9" s="90"/>
      <c r="E9" s="96" t="s">
        <v>409</v>
      </c>
      <c r="G9" s="202">
        <v>205867991</v>
      </c>
    </row>
    <row r="10" spans="1:9" x14ac:dyDescent="0.2">
      <c r="A10" s="84">
        <f t="shared" si="0"/>
        <v>4</v>
      </c>
      <c r="C10" s="200" t="s">
        <v>408</v>
      </c>
      <c r="D10" s="90"/>
      <c r="E10" s="96" t="str">
        <f>"Line "&amp;A8&amp;" - Line "&amp;A9&amp;""</f>
        <v>Line 2 - Line 3</v>
      </c>
      <c r="G10" s="87">
        <f>G8-G9</f>
        <v>531929559</v>
      </c>
    </row>
    <row r="11" spans="1:9" x14ac:dyDescent="0.2">
      <c r="A11" s="84">
        <f t="shared" si="0"/>
        <v>5</v>
      </c>
      <c r="C11" s="200" t="s">
        <v>407</v>
      </c>
      <c r="D11" s="90"/>
      <c r="E11" s="96" t="str">
        <f>"20-AandG, Note 2"</f>
        <v>20-AandG, Note 2</v>
      </c>
      <c r="G11" s="86">
        <f>'[16]20-AandG'!E64</f>
        <v>71991890.000000045</v>
      </c>
      <c r="I11" s="88"/>
    </row>
    <row r="12" spans="1:9" x14ac:dyDescent="0.2">
      <c r="A12" s="84">
        <f t="shared" si="0"/>
        <v>6</v>
      </c>
      <c r="C12" s="201" t="s">
        <v>406</v>
      </c>
      <c r="D12" s="90"/>
      <c r="E12" s="96" t="str">
        <f>"20-AandG, Note 2"</f>
        <v>20-AandG, Note 2</v>
      </c>
      <c r="G12" s="450">
        <f>'[16]20-AandG'!E61</f>
        <v>23529615.574556775</v>
      </c>
    </row>
    <row r="13" spans="1:9" x14ac:dyDescent="0.2">
      <c r="A13" s="84">
        <f t="shared" si="0"/>
        <v>7</v>
      </c>
      <c r="C13" s="200" t="s">
        <v>405</v>
      </c>
      <c r="D13" s="90"/>
      <c r="E13" s="96" t="str">
        <f>"Line "&amp;A11&amp;" - Line "&amp;A12&amp;""</f>
        <v>Line 5 - Line 6</v>
      </c>
      <c r="G13" s="87">
        <f>G11-G12</f>
        <v>48462274.425443269</v>
      </c>
    </row>
    <row r="14" spans="1:9" x14ac:dyDescent="0.2">
      <c r="A14" s="84">
        <f t="shared" si="0"/>
        <v>8</v>
      </c>
      <c r="C14" s="200" t="s">
        <v>404</v>
      </c>
      <c r="D14" s="90"/>
      <c r="E14" s="96" t="str">
        <f>"Line "&amp;A10&amp;" + Line "&amp;A13&amp;""</f>
        <v>Line 4 + Line 7</v>
      </c>
      <c r="G14" s="87">
        <f>G10+G13</f>
        <v>580391833.42544329</v>
      </c>
    </row>
    <row r="15" spans="1:9" x14ac:dyDescent="0.2">
      <c r="A15" s="84">
        <f t="shared" si="0"/>
        <v>9</v>
      </c>
      <c r="C15" s="90" t="s">
        <v>403</v>
      </c>
      <c r="D15" s="90"/>
      <c r="E15" s="96" t="str">
        <f>"Line "&amp;A7&amp;" / Line "&amp;A14&amp;""</f>
        <v>Line 1 / Line 8</v>
      </c>
      <c r="G15" s="227">
        <f>G7/G14</f>
        <v>5.7291253607394212E-2</v>
      </c>
    </row>
    <row r="16" spans="1:9" x14ac:dyDescent="0.2">
      <c r="A16" s="84">
        <f t="shared" si="0"/>
        <v>10</v>
      </c>
      <c r="C16" s="90"/>
      <c r="D16" s="90"/>
      <c r="E16" s="90"/>
    </row>
    <row r="17" spans="1:11" x14ac:dyDescent="0.2">
      <c r="A17" s="84">
        <f t="shared" si="0"/>
        <v>11</v>
      </c>
      <c r="B17" s="92" t="s">
        <v>402</v>
      </c>
      <c r="C17" s="90"/>
      <c r="D17" s="90"/>
      <c r="E17" s="90"/>
      <c r="G17" s="105"/>
    </row>
    <row r="18" spans="1:11" x14ac:dyDescent="0.2">
      <c r="A18" s="84">
        <f t="shared" si="0"/>
        <v>12</v>
      </c>
      <c r="C18" s="90"/>
      <c r="D18" s="93"/>
      <c r="E18" s="93" t="s">
        <v>38</v>
      </c>
      <c r="G18" s="102" t="s">
        <v>401</v>
      </c>
    </row>
    <row r="19" spans="1:11" x14ac:dyDescent="0.2">
      <c r="A19" s="84">
        <f t="shared" si="0"/>
        <v>13</v>
      </c>
      <c r="C19" s="90"/>
      <c r="D19" s="62" t="s">
        <v>42</v>
      </c>
      <c r="E19" s="62" t="s">
        <v>43</v>
      </c>
      <c r="G19" s="85" t="s">
        <v>400</v>
      </c>
    </row>
    <row r="20" spans="1:11" x14ac:dyDescent="0.2">
      <c r="A20" s="84">
        <f t="shared" si="0"/>
        <v>14</v>
      </c>
      <c r="C20" s="90" t="s">
        <v>399</v>
      </c>
      <c r="D20" s="90"/>
      <c r="E20" s="96" t="str">
        <f>"7-PlantStudy, Line "&amp;'[16]7-PlantStudy'!A28&amp;""</f>
        <v>7-PlantStudy, Line 21</v>
      </c>
      <c r="G20" s="86">
        <f>'[16]7-PlantStudy'!E28</f>
        <v>8276570295.1064177</v>
      </c>
    </row>
    <row r="21" spans="1:11" x14ac:dyDescent="0.2">
      <c r="A21" s="84">
        <f t="shared" si="0"/>
        <v>15</v>
      </c>
      <c r="C21" s="90" t="s">
        <v>398</v>
      </c>
      <c r="D21" s="90"/>
      <c r="E21" s="96" t="str">
        <f>"7-PlantStudy, Line "&amp;'[16]7-PlantStudy'!A42&amp;""</f>
        <v>7-PlantStudy, Line 30</v>
      </c>
      <c r="G21" s="86">
        <f>'[16]7-PlantStudy'!E42</f>
        <v>0</v>
      </c>
    </row>
    <row r="22" spans="1:11" x14ac:dyDescent="0.2">
      <c r="A22" s="84">
        <f t="shared" si="0"/>
        <v>16</v>
      </c>
      <c r="C22" s="90" t="s">
        <v>397</v>
      </c>
      <c r="D22" s="90"/>
      <c r="E22" s="96" t="str">
        <f>"6-PlantInService, Line "&amp;'[16]6-PlantInService'!A53&amp;", C2"</f>
        <v>6-PlantInService, Line 21, C2</v>
      </c>
      <c r="G22" s="86">
        <f>'[16]6-PlantInService'!G53</f>
        <v>1588136353</v>
      </c>
      <c r="H22" s="105"/>
    </row>
    <row r="23" spans="1:11" x14ac:dyDescent="0.2">
      <c r="A23" s="84">
        <f t="shared" si="0"/>
        <v>17</v>
      </c>
      <c r="C23" s="90" t="s">
        <v>396</v>
      </c>
      <c r="D23" s="90"/>
      <c r="E23" s="90" t="str">
        <f>"Line "&amp;A22&amp;" * Line "&amp;A15&amp;""</f>
        <v>Line 16 * Line 9</v>
      </c>
      <c r="G23" s="187">
        <f>G22*G15</f>
        <v>90986322.562845141</v>
      </c>
    </row>
    <row r="24" spans="1:11" x14ac:dyDescent="0.2">
      <c r="A24" s="84">
        <f t="shared" si="0"/>
        <v>18</v>
      </c>
      <c r="C24" s="90" t="s">
        <v>395</v>
      </c>
      <c r="D24" s="90"/>
      <c r="E24" s="96" t="str">
        <f>"6-PlantInService, Line "&amp;'[16]6-PlantInService'!A53&amp;", C1"</f>
        <v>6-PlantInService, Line 21, C1</v>
      </c>
      <c r="G24" s="86">
        <f>'[16]6-PlantInService'!F53</f>
        <v>2941903413</v>
      </c>
    </row>
    <row r="25" spans="1:11" x14ac:dyDescent="0.2">
      <c r="A25" s="84">
        <f t="shared" si="0"/>
        <v>19</v>
      </c>
      <c r="C25" s="90" t="s">
        <v>394</v>
      </c>
      <c r="D25" s="90"/>
      <c r="E25" s="90" t="str">
        <f>"Line "&amp;A24&amp;" * Line "&amp;A15&amp;""</f>
        <v>Line 18 * Line 9</v>
      </c>
      <c r="G25" s="187">
        <f>G24*G15</f>
        <v>168545334.5226416</v>
      </c>
    </row>
    <row r="26" spans="1:11" x14ac:dyDescent="0.2">
      <c r="A26" s="84">
        <f t="shared" si="0"/>
        <v>20</v>
      </c>
      <c r="C26" s="96" t="s">
        <v>393</v>
      </c>
      <c r="D26" s="90"/>
      <c r="E26" s="90" t="s">
        <v>392</v>
      </c>
      <c r="G26" s="202">
        <v>44298088225</v>
      </c>
    </row>
    <row r="27" spans="1:11" x14ac:dyDescent="0.2">
      <c r="A27" s="84">
        <f t="shared" si="0"/>
        <v>21</v>
      </c>
      <c r="C27" s="90"/>
      <c r="D27" s="90"/>
      <c r="E27" s="90"/>
      <c r="G27" s="105"/>
    </row>
    <row r="28" spans="1:11" x14ac:dyDescent="0.2">
      <c r="A28" s="84">
        <f t="shared" si="0"/>
        <v>22</v>
      </c>
      <c r="C28" s="90" t="s">
        <v>391</v>
      </c>
      <c r="D28" s="90"/>
      <c r="E28" s="96" t="str">
        <f>"(L"&amp;A20&amp;" + L"&amp;A21&amp;" + L"&amp;A23&amp;" + L"&amp;A25&amp;") / L"&amp;A26&amp;""</f>
        <v>(L14 + L15 + L17 + L19) / L20</v>
      </c>
      <c r="G28" s="103">
        <f>(G20+G21+G23+G25)/G26</f>
        <v>0.19269684752161567</v>
      </c>
    </row>
    <row r="29" spans="1:11" x14ac:dyDescent="0.2">
      <c r="A29" s="84">
        <f t="shared" si="0"/>
        <v>23</v>
      </c>
      <c r="C29" s="90"/>
      <c r="D29" s="90"/>
      <c r="E29" s="96"/>
      <c r="G29" s="103"/>
    </row>
    <row r="30" spans="1:11" x14ac:dyDescent="0.2">
      <c r="A30" s="93">
        <f t="shared" si="0"/>
        <v>24</v>
      </c>
      <c r="B30" s="95" t="s">
        <v>390</v>
      </c>
      <c r="C30" s="90"/>
      <c r="D30" s="90"/>
      <c r="E30" s="90"/>
      <c r="F30" s="90"/>
      <c r="G30" s="90"/>
      <c r="H30" s="90"/>
      <c r="I30" s="90"/>
      <c r="J30" s="90"/>
      <c r="K30" s="90"/>
    </row>
    <row r="31" spans="1:11" x14ac:dyDescent="0.2">
      <c r="A31" s="93">
        <f t="shared" si="0"/>
        <v>25</v>
      </c>
      <c r="B31" s="96"/>
      <c r="C31" s="90"/>
      <c r="D31" s="90"/>
      <c r="E31" s="90"/>
      <c r="F31" s="90"/>
      <c r="G31" s="90"/>
      <c r="H31" s="90"/>
      <c r="I31" s="90"/>
      <c r="J31" s="90"/>
      <c r="K31" s="90"/>
    </row>
    <row r="32" spans="1:11" x14ac:dyDescent="0.2">
      <c r="A32" s="93">
        <f t="shared" si="0"/>
        <v>26</v>
      </c>
      <c r="B32" s="90" t="s">
        <v>389</v>
      </c>
      <c r="C32" s="90"/>
      <c r="D32" s="62" t="s">
        <v>292</v>
      </c>
      <c r="E32" s="62" t="s">
        <v>42</v>
      </c>
      <c r="F32" s="90"/>
      <c r="G32" s="100" t="s">
        <v>291</v>
      </c>
      <c r="H32" s="90"/>
      <c r="I32" s="90"/>
      <c r="J32" s="90"/>
      <c r="K32" s="90"/>
    </row>
    <row r="33" spans="1:11" x14ac:dyDescent="0.2">
      <c r="A33" s="93">
        <f t="shared" si="0"/>
        <v>27</v>
      </c>
      <c r="B33" s="90"/>
      <c r="C33" s="96" t="s">
        <v>388</v>
      </c>
      <c r="D33" s="197">
        <v>5623</v>
      </c>
      <c r="E33" s="62"/>
      <c r="F33" s="90"/>
      <c r="G33" s="196" t="s">
        <v>387</v>
      </c>
      <c r="H33" s="90"/>
      <c r="I33" s="90"/>
      <c r="J33" s="101"/>
      <c r="K33" s="90"/>
    </row>
    <row r="34" spans="1:11" x14ac:dyDescent="0.2">
      <c r="A34" s="93">
        <f t="shared" si="0"/>
        <v>28</v>
      </c>
      <c r="B34" s="90"/>
      <c r="C34" s="90" t="s">
        <v>386</v>
      </c>
      <c r="D34" s="197">
        <v>12286</v>
      </c>
      <c r="E34" s="62"/>
      <c r="F34" s="90"/>
      <c r="G34" s="196" t="s">
        <v>385</v>
      </c>
      <c r="H34" s="90"/>
      <c r="I34" s="90"/>
      <c r="J34" s="90"/>
      <c r="K34" s="90"/>
    </row>
    <row r="35" spans="1:11" x14ac:dyDescent="0.2">
      <c r="A35" s="93">
        <f t="shared" si="0"/>
        <v>29</v>
      </c>
      <c r="B35" s="90"/>
      <c r="C35" s="90" t="s">
        <v>384</v>
      </c>
      <c r="D35" s="195">
        <f>SUM(D33:D34)</f>
        <v>17909</v>
      </c>
      <c r="E35" s="96" t="str">
        <f>" = L"&amp;A33&amp;" + L"&amp;A34&amp;""</f>
        <v xml:space="preserve"> = L27 + L28</v>
      </c>
      <c r="F35" s="90"/>
      <c r="G35" s="196" t="s">
        <v>383</v>
      </c>
      <c r="H35" s="90"/>
      <c r="I35" s="90"/>
      <c r="J35" s="90"/>
      <c r="K35" s="90"/>
    </row>
    <row r="36" spans="1:11" x14ac:dyDescent="0.2">
      <c r="A36" s="93">
        <f t="shared" si="0"/>
        <v>30</v>
      </c>
      <c r="B36" s="90"/>
      <c r="C36" s="96" t="s">
        <v>382</v>
      </c>
      <c r="D36" s="193">
        <f>D33/D35</f>
        <v>0.31397621307722373</v>
      </c>
      <c r="E36" s="96" t="str">
        <f>" = L"&amp;A33&amp;" / L"&amp;A35&amp;""</f>
        <v xml:space="preserve"> = L27 / L29</v>
      </c>
      <c r="F36" s="90"/>
      <c r="G36" s="99"/>
      <c r="H36" s="90"/>
      <c r="I36" s="90"/>
      <c r="J36" s="90"/>
      <c r="K36" s="90"/>
    </row>
    <row r="37" spans="1:11" x14ac:dyDescent="0.2">
      <c r="A37" s="93">
        <f t="shared" si="0"/>
        <v>31</v>
      </c>
      <c r="B37" s="90"/>
      <c r="C37" s="90"/>
      <c r="D37" s="90"/>
      <c r="E37" s="90"/>
      <c r="F37" s="90"/>
      <c r="G37" s="99"/>
      <c r="H37" s="90"/>
      <c r="I37" s="90"/>
      <c r="J37" s="90"/>
      <c r="K37" s="90"/>
    </row>
    <row r="38" spans="1:11" x14ac:dyDescent="0.2">
      <c r="A38" s="93">
        <f t="shared" si="0"/>
        <v>32</v>
      </c>
      <c r="B38" s="96" t="s">
        <v>381</v>
      </c>
      <c r="C38" s="90"/>
      <c r="D38" s="62" t="s">
        <v>292</v>
      </c>
      <c r="E38" s="62" t="s">
        <v>42</v>
      </c>
      <c r="F38" s="90"/>
      <c r="G38" s="100" t="s">
        <v>291</v>
      </c>
      <c r="H38" s="90"/>
      <c r="I38" s="90"/>
      <c r="J38" s="90"/>
      <c r="K38" s="90"/>
    </row>
    <row r="39" spans="1:11" x14ac:dyDescent="0.2">
      <c r="A39" s="93">
        <f t="shared" si="0"/>
        <v>33</v>
      </c>
      <c r="B39" s="90"/>
      <c r="C39" s="96" t="s">
        <v>380</v>
      </c>
      <c r="D39" s="197">
        <v>215</v>
      </c>
      <c r="E39" s="62"/>
      <c r="F39" s="90"/>
      <c r="G39" s="196" t="s">
        <v>379</v>
      </c>
      <c r="H39" s="90"/>
      <c r="I39" s="90"/>
      <c r="J39" s="90"/>
      <c r="K39" s="90"/>
    </row>
    <row r="40" spans="1:11" x14ac:dyDescent="0.2">
      <c r="A40" s="93">
        <f t="shared" si="0"/>
        <v>34</v>
      </c>
      <c r="B40" s="90"/>
      <c r="C40" s="96" t="s">
        <v>378</v>
      </c>
      <c r="D40" s="197">
        <v>999</v>
      </c>
      <c r="E40" s="62"/>
      <c r="F40" s="90"/>
      <c r="G40" s="90"/>
      <c r="H40" s="90"/>
      <c r="I40" s="90"/>
      <c r="J40" s="90"/>
      <c r="K40" s="90"/>
    </row>
    <row r="41" spans="1:11" x14ac:dyDescent="0.2">
      <c r="A41" s="93">
        <f t="shared" si="0"/>
        <v>35</v>
      </c>
      <c r="B41" s="90"/>
      <c r="C41" s="96" t="s">
        <v>377</v>
      </c>
      <c r="D41" s="195">
        <f>SUM(D39:D40)</f>
        <v>1214</v>
      </c>
      <c r="E41" s="96" t="str">
        <f>" = L"&amp;A39&amp;" + L"&amp;A40&amp;""</f>
        <v xml:space="preserve"> = L33 + L34</v>
      </c>
      <c r="F41" s="90"/>
      <c r="G41" s="90"/>
      <c r="H41" s="90"/>
      <c r="I41" s="90"/>
      <c r="J41" s="90"/>
      <c r="K41" s="90"/>
    </row>
    <row r="42" spans="1:11" x14ac:dyDescent="0.2">
      <c r="A42" s="93">
        <f t="shared" si="0"/>
        <v>36</v>
      </c>
      <c r="B42" s="90"/>
      <c r="C42" s="96" t="s">
        <v>376</v>
      </c>
      <c r="D42" s="193">
        <f>D39/D41</f>
        <v>0.17710049423393739</v>
      </c>
      <c r="E42" s="96" t="str">
        <f>" = L"&amp;A39&amp;" / L"&amp;A41&amp;""</f>
        <v xml:space="preserve"> = L33 / L35</v>
      </c>
      <c r="F42" s="90"/>
      <c r="G42" s="90"/>
      <c r="H42" s="90"/>
      <c r="I42" s="90"/>
      <c r="J42" s="90"/>
      <c r="K42" s="90"/>
    </row>
    <row r="43" spans="1:11" x14ac:dyDescent="0.2">
      <c r="A43" s="93">
        <f t="shared" si="0"/>
        <v>37</v>
      </c>
      <c r="B43" s="90"/>
      <c r="C43" s="90"/>
      <c r="D43" s="90"/>
      <c r="E43" s="90"/>
      <c r="F43" s="90"/>
      <c r="G43" s="90"/>
      <c r="H43" s="90"/>
      <c r="I43" s="90"/>
      <c r="J43" s="90"/>
      <c r="K43" s="90"/>
    </row>
    <row r="44" spans="1:11" x14ac:dyDescent="0.2">
      <c r="A44" s="93">
        <f t="shared" si="0"/>
        <v>38</v>
      </c>
      <c r="B44" s="96" t="s">
        <v>375</v>
      </c>
      <c r="C44" s="90"/>
      <c r="D44" s="62" t="s">
        <v>292</v>
      </c>
      <c r="E44" s="62" t="s">
        <v>42</v>
      </c>
      <c r="F44" s="90"/>
      <c r="G44" s="100" t="s">
        <v>291</v>
      </c>
      <c r="H44" s="90"/>
      <c r="I44" s="90"/>
      <c r="J44" s="90"/>
      <c r="K44" s="90"/>
    </row>
    <row r="45" spans="1:11" x14ac:dyDescent="0.2">
      <c r="A45" s="93">
        <f t="shared" si="0"/>
        <v>39</v>
      </c>
      <c r="B45" s="90"/>
      <c r="C45" s="96" t="s">
        <v>374</v>
      </c>
      <c r="D45" s="197">
        <v>719</v>
      </c>
      <c r="E45" s="62"/>
      <c r="F45" s="90"/>
      <c r="G45" s="196" t="s">
        <v>373</v>
      </c>
      <c r="H45" s="90"/>
      <c r="I45" s="90"/>
      <c r="J45" s="90"/>
      <c r="K45" s="90"/>
    </row>
    <row r="46" spans="1:11" x14ac:dyDescent="0.2">
      <c r="A46" s="93">
        <f t="shared" si="0"/>
        <v>40</v>
      </c>
      <c r="B46" s="90"/>
      <c r="C46" s="96" t="s">
        <v>372</v>
      </c>
      <c r="D46" s="197">
        <v>2770</v>
      </c>
      <c r="E46" s="62"/>
      <c r="F46" s="90"/>
      <c r="G46" s="90"/>
      <c r="H46" s="90"/>
      <c r="I46" s="90"/>
      <c r="J46" s="90"/>
      <c r="K46" s="90"/>
    </row>
    <row r="47" spans="1:11" x14ac:dyDescent="0.2">
      <c r="A47" s="93">
        <f t="shared" si="0"/>
        <v>41</v>
      </c>
      <c r="B47" s="90"/>
      <c r="C47" s="96" t="s">
        <v>371</v>
      </c>
      <c r="D47" s="195">
        <f>SUM(D45:D46)</f>
        <v>3489</v>
      </c>
      <c r="E47" s="96" t="str">
        <f>" = L"&amp;A45&amp;" + L"&amp;A46&amp;""</f>
        <v xml:space="preserve"> = L39 + L40</v>
      </c>
      <c r="F47" s="90"/>
      <c r="G47" s="90"/>
      <c r="H47" s="90"/>
      <c r="I47" s="90"/>
      <c r="J47" s="90"/>
      <c r="K47" s="90"/>
    </row>
    <row r="48" spans="1:11" x14ac:dyDescent="0.2">
      <c r="A48" s="93">
        <f t="shared" si="0"/>
        <v>42</v>
      </c>
      <c r="B48" s="90"/>
      <c r="C48" s="96" t="s">
        <v>370</v>
      </c>
      <c r="D48" s="193">
        <f>D45/D47</f>
        <v>0.20607623961020349</v>
      </c>
      <c r="E48" s="96" t="str">
        <f>" = L"&amp;A45&amp;" / L"&amp;A47&amp;""</f>
        <v xml:space="preserve"> = L39 / L41</v>
      </c>
      <c r="F48" s="90"/>
      <c r="G48" s="90"/>
      <c r="H48" s="90"/>
      <c r="I48" s="90"/>
      <c r="J48" s="90"/>
      <c r="K48" s="90"/>
    </row>
    <row r="49" spans="1:11" x14ac:dyDescent="0.2">
      <c r="A49" s="93">
        <f t="shared" si="0"/>
        <v>43</v>
      </c>
      <c r="B49" s="90"/>
      <c r="C49" s="90"/>
      <c r="D49" s="90"/>
      <c r="E49" s="90"/>
      <c r="F49" s="90"/>
      <c r="G49" s="90"/>
      <c r="H49" s="90"/>
      <c r="I49" s="90"/>
      <c r="J49" s="90"/>
      <c r="K49" s="90"/>
    </row>
    <row r="50" spans="1:11" x14ac:dyDescent="0.2">
      <c r="A50" s="93">
        <f t="shared" si="0"/>
        <v>44</v>
      </c>
      <c r="B50" s="96" t="s">
        <v>369</v>
      </c>
      <c r="C50" s="90"/>
      <c r="D50" s="62" t="s">
        <v>292</v>
      </c>
      <c r="E50" s="62" t="s">
        <v>42</v>
      </c>
      <c r="F50" s="90"/>
      <c r="G50" s="100" t="s">
        <v>291</v>
      </c>
      <c r="H50" s="90"/>
      <c r="I50" s="90"/>
      <c r="J50" s="90"/>
      <c r="K50" s="90"/>
    </row>
    <row r="51" spans="1:11" x14ac:dyDescent="0.2">
      <c r="A51" s="93">
        <f t="shared" si="0"/>
        <v>45</v>
      </c>
      <c r="B51" s="90"/>
      <c r="C51" s="96" t="s">
        <v>368</v>
      </c>
      <c r="D51" s="197">
        <v>5659.9870401053513</v>
      </c>
      <c r="E51" s="62"/>
      <c r="F51" s="90"/>
      <c r="G51" s="196" t="s">
        <v>367</v>
      </c>
      <c r="H51" s="90"/>
      <c r="I51" s="90"/>
      <c r="J51" s="90"/>
      <c r="K51" s="90"/>
    </row>
    <row r="52" spans="1:11" x14ac:dyDescent="0.2">
      <c r="A52" s="93">
        <f t="shared" si="0"/>
        <v>46</v>
      </c>
      <c r="B52" s="90"/>
      <c r="C52" s="96" t="s">
        <v>366</v>
      </c>
      <c r="D52" s="197">
        <v>6453.1879780764684</v>
      </c>
      <c r="E52" s="62"/>
      <c r="F52" s="90"/>
      <c r="G52" s="196" t="s">
        <v>365</v>
      </c>
      <c r="H52" s="90"/>
      <c r="I52" s="90"/>
      <c r="J52" s="90"/>
      <c r="K52" s="90"/>
    </row>
    <row r="53" spans="1:11" x14ac:dyDescent="0.2">
      <c r="A53" s="93">
        <f t="shared" si="0"/>
        <v>47</v>
      </c>
      <c r="B53" s="90"/>
      <c r="C53" s="96" t="s">
        <v>364</v>
      </c>
      <c r="D53" s="195">
        <f>SUM(D51:D52)</f>
        <v>12113.175018181821</v>
      </c>
      <c r="E53" s="96" t="str">
        <f>" = L"&amp;A51&amp;" + L"&amp;A52&amp;""</f>
        <v xml:space="preserve"> = L45 + L46</v>
      </c>
      <c r="F53" s="90"/>
      <c r="G53" s="196" t="s">
        <v>363</v>
      </c>
      <c r="H53" s="90"/>
      <c r="I53" s="90"/>
      <c r="J53" s="90"/>
      <c r="K53" s="90"/>
    </row>
    <row r="54" spans="1:11" x14ac:dyDescent="0.2">
      <c r="A54" s="93">
        <f t="shared" si="0"/>
        <v>48</v>
      </c>
      <c r="B54" s="90"/>
      <c r="C54" s="96" t="s">
        <v>362</v>
      </c>
      <c r="D54" s="193">
        <f>D51/D53</f>
        <v>0.46725875186396104</v>
      </c>
      <c r="E54" s="96" t="str">
        <f>" = L"&amp;A51&amp;" / L"&amp;A53&amp;""</f>
        <v xml:space="preserve"> = L45 / L47</v>
      </c>
      <c r="F54" s="90"/>
      <c r="G54" s="196" t="s">
        <v>361</v>
      </c>
      <c r="H54" s="90"/>
      <c r="I54" s="90"/>
      <c r="J54" s="90"/>
      <c r="K54" s="90"/>
    </row>
    <row r="55" spans="1:11" x14ac:dyDescent="0.2">
      <c r="A55" s="93">
        <f t="shared" si="0"/>
        <v>49</v>
      </c>
      <c r="B55" s="62"/>
      <c r="C55" s="62"/>
      <c r="D55" s="90"/>
      <c r="E55" s="62"/>
      <c r="F55" s="90"/>
      <c r="G55" s="62"/>
      <c r="H55" s="90"/>
      <c r="I55" s="90"/>
      <c r="J55" s="90"/>
      <c r="K55" s="90"/>
    </row>
    <row r="56" spans="1:11" x14ac:dyDescent="0.2">
      <c r="A56" s="93">
        <f t="shared" si="0"/>
        <v>50</v>
      </c>
      <c r="B56" s="96" t="s">
        <v>360</v>
      </c>
      <c r="C56" s="90"/>
      <c r="D56" s="62" t="s">
        <v>292</v>
      </c>
      <c r="E56" s="62" t="s">
        <v>42</v>
      </c>
      <c r="F56" s="90"/>
      <c r="G56" s="100" t="s">
        <v>291</v>
      </c>
      <c r="H56" s="90"/>
      <c r="I56" s="90"/>
      <c r="J56" s="90"/>
      <c r="K56" s="90"/>
    </row>
    <row r="57" spans="1:11" x14ac:dyDescent="0.2">
      <c r="A57" s="93">
        <f t="shared" si="0"/>
        <v>51</v>
      </c>
      <c r="B57" s="194"/>
      <c r="C57" s="96" t="s">
        <v>359</v>
      </c>
      <c r="D57" s="197">
        <v>5.0368651515151521</v>
      </c>
      <c r="E57" s="62"/>
      <c r="F57" s="90"/>
      <c r="G57" s="196" t="s">
        <v>358</v>
      </c>
      <c r="H57" s="90"/>
      <c r="I57" s="90"/>
      <c r="J57" s="90"/>
      <c r="K57" s="90"/>
    </row>
    <row r="58" spans="1:11" x14ac:dyDescent="0.2">
      <c r="A58" s="93">
        <f t="shared" si="0"/>
        <v>52</v>
      </c>
      <c r="B58" s="194"/>
      <c r="C58" s="96" t="s">
        <v>357</v>
      </c>
      <c r="D58" s="197">
        <v>353.27363484848473</v>
      </c>
      <c r="E58" s="62"/>
      <c r="F58" s="90"/>
      <c r="G58" s="196" t="s">
        <v>356</v>
      </c>
      <c r="H58" s="90"/>
      <c r="I58" s="90"/>
      <c r="J58" s="90"/>
      <c r="K58" s="90"/>
    </row>
    <row r="59" spans="1:11" x14ac:dyDescent="0.2">
      <c r="A59" s="93">
        <f t="shared" si="0"/>
        <v>53</v>
      </c>
      <c r="B59" s="194"/>
      <c r="C59" s="96" t="s">
        <v>355</v>
      </c>
      <c r="D59" s="195">
        <f>SUM(D57:D58)</f>
        <v>358.31049999999988</v>
      </c>
      <c r="E59" s="96" t="str">
        <f>" = L"&amp;A57&amp;" + L"&amp;A58&amp;""</f>
        <v xml:space="preserve"> = L51 + L52</v>
      </c>
      <c r="F59" s="90"/>
      <c r="G59" s="90"/>
      <c r="H59" s="90"/>
      <c r="I59" s="90"/>
      <c r="J59" s="90"/>
      <c r="K59" s="90"/>
    </row>
    <row r="60" spans="1:11" x14ac:dyDescent="0.2">
      <c r="A60" s="93">
        <f t="shared" si="0"/>
        <v>54</v>
      </c>
      <c r="B60" s="194"/>
      <c r="C60" s="96" t="s">
        <v>354</v>
      </c>
      <c r="D60" s="193">
        <f>D57/D59</f>
        <v>1.4057263606606991E-2</v>
      </c>
      <c r="E60" s="96" t="str">
        <f>" = L"&amp;A57&amp;" / L"&amp;A59&amp;""</f>
        <v xml:space="preserve"> = L51 / L53</v>
      </c>
      <c r="F60" s="90"/>
      <c r="G60" s="90"/>
      <c r="H60" s="90"/>
      <c r="I60" s="90"/>
      <c r="J60" s="90"/>
      <c r="K60" s="90"/>
    </row>
    <row r="61" spans="1:11" x14ac:dyDescent="0.2">
      <c r="A61" s="93">
        <f t="shared" si="0"/>
        <v>55</v>
      </c>
      <c r="B61" s="194"/>
      <c r="C61" s="89"/>
      <c r="D61" s="90"/>
      <c r="E61" s="62"/>
      <c r="F61" s="90"/>
      <c r="G61" s="86"/>
      <c r="H61" s="90"/>
      <c r="I61" s="90"/>
      <c r="J61" s="90"/>
      <c r="K61" s="90"/>
    </row>
    <row r="62" spans="1:11" x14ac:dyDescent="0.2">
      <c r="A62" s="93">
        <f t="shared" si="0"/>
        <v>56</v>
      </c>
      <c r="B62" s="96" t="s">
        <v>353</v>
      </c>
      <c r="C62" s="90"/>
      <c r="D62" s="62" t="s">
        <v>292</v>
      </c>
      <c r="E62" s="62" t="s">
        <v>42</v>
      </c>
      <c r="F62" s="90"/>
      <c r="G62" s="100" t="s">
        <v>291</v>
      </c>
      <c r="H62" s="90"/>
      <c r="I62" s="90"/>
      <c r="J62" s="90"/>
      <c r="K62" s="90"/>
    </row>
    <row r="63" spans="1:11" x14ac:dyDescent="0.2">
      <c r="A63" s="93">
        <f t="shared" si="0"/>
        <v>57</v>
      </c>
      <c r="B63" s="194"/>
      <c r="C63" s="96" t="s">
        <v>352</v>
      </c>
      <c r="D63" s="197">
        <v>6695787</v>
      </c>
      <c r="E63" s="62"/>
      <c r="F63" s="90"/>
      <c r="G63" s="196" t="s">
        <v>351</v>
      </c>
      <c r="H63" s="90"/>
      <c r="I63" s="90"/>
      <c r="J63" s="90"/>
      <c r="K63" s="90"/>
    </row>
    <row r="64" spans="1:11" x14ac:dyDescent="0.2">
      <c r="A64" s="93">
        <f t="shared" si="0"/>
        <v>58</v>
      </c>
      <c r="B64" s="194"/>
      <c r="C64" s="96" t="s">
        <v>350</v>
      </c>
      <c r="D64" s="197">
        <v>2496641</v>
      </c>
      <c r="E64" s="62"/>
      <c r="F64" s="90"/>
      <c r="G64" s="196"/>
      <c r="H64" s="90"/>
      <c r="I64" s="90"/>
      <c r="J64" s="90"/>
      <c r="K64" s="90"/>
    </row>
    <row r="65" spans="1:11" x14ac:dyDescent="0.2">
      <c r="A65" s="93">
        <f t="shared" si="0"/>
        <v>59</v>
      </c>
      <c r="B65" s="194"/>
      <c r="C65" s="96" t="s">
        <v>349</v>
      </c>
      <c r="D65" s="195">
        <f>SUM(D63:D64)</f>
        <v>9192428</v>
      </c>
      <c r="E65" s="96" t="str">
        <f>" = L"&amp;A63&amp;" + L"&amp;A64&amp;""</f>
        <v xml:space="preserve"> = L57 + L58</v>
      </c>
      <c r="F65" s="90"/>
      <c r="G65" s="90"/>
      <c r="H65" s="90"/>
      <c r="I65" s="90"/>
      <c r="J65" s="90"/>
      <c r="K65" s="90"/>
    </row>
    <row r="66" spans="1:11" x14ac:dyDescent="0.2">
      <c r="A66" s="93">
        <f t="shared" si="0"/>
        <v>60</v>
      </c>
      <c r="B66" s="194"/>
      <c r="C66" s="96" t="s">
        <v>348</v>
      </c>
      <c r="D66" s="193">
        <f>D63/D65</f>
        <v>0.72840244166176771</v>
      </c>
      <c r="E66" s="96" t="str">
        <f>" = L"&amp;A63&amp;" / L"&amp;A65&amp;""</f>
        <v xml:space="preserve"> = L57 / L59</v>
      </c>
      <c r="F66" s="90"/>
      <c r="G66" s="90"/>
      <c r="H66" s="90"/>
      <c r="I66" s="90"/>
      <c r="J66" s="90"/>
      <c r="K66" s="90"/>
    </row>
    <row r="67" spans="1:11" x14ac:dyDescent="0.2">
      <c r="A67" s="93">
        <f t="shared" si="0"/>
        <v>61</v>
      </c>
      <c r="B67" s="199"/>
      <c r="C67" s="62"/>
      <c r="D67" s="90"/>
      <c r="E67" s="193"/>
      <c r="F67" s="90"/>
      <c r="G67" s="90"/>
      <c r="H67" s="90"/>
      <c r="I67" s="90"/>
      <c r="J67" s="90"/>
      <c r="K67" s="90"/>
    </row>
    <row r="68" spans="1:11" x14ac:dyDescent="0.2">
      <c r="A68" s="93">
        <f t="shared" si="0"/>
        <v>62</v>
      </c>
      <c r="B68" s="96" t="s">
        <v>347</v>
      </c>
      <c r="C68" s="90"/>
      <c r="D68" s="62" t="s">
        <v>292</v>
      </c>
      <c r="E68" s="62" t="s">
        <v>42</v>
      </c>
      <c r="F68" s="90"/>
      <c r="G68" s="100" t="s">
        <v>291</v>
      </c>
      <c r="H68" s="90"/>
      <c r="I68" s="90"/>
      <c r="J68" s="90"/>
      <c r="K68" s="90"/>
    </row>
    <row r="69" spans="1:11" x14ac:dyDescent="0.2">
      <c r="A69" s="93">
        <f t="shared" si="0"/>
        <v>63</v>
      </c>
      <c r="B69" s="194"/>
      <c r="C69" s="96" t="s">
        <v>346</v>
      </c>
      <c r="D69" s="197">
        <v>377.33300000000003</v>
      </c>
      <c r="E69" s="62"/>
      <c r="F69" s="90"/>
      <c r="G69" s="196" t="s">
        <v>345</v>
      </c>
      <c r="H69" s="90"/>
      <c r="I69" s="90"/>
      <c r="J69" s="90"/>
      <c r="K69" s="90"/>
    </row>
    <row r="70" spans="1:11" x14ac:dyDescent="0.2">
      <c r="A70" s="93">
        <f t="shared" si="0"/>
        <v>64</v>
      </c>
      <c r="B70" s="194"/>
      <c r="C70" s="96" t="s">
        <v>344</v>
      </c>
      <c r="D70" s="197">
        <v>38.217000000000041</v>
      </c>
      <c r="E70" s="62"/>
      <c r="F70" s="90"/>
      <c r="G70" s="196"/>
      <c r="H70" s="90"/>
      <c r="I70" s="90"/>
      <c r="J70" s="90"/>
      <c r="K70" s="90"/>
    </row>
    <row r="71" spans="1:11" x14ac:dyDescent="0.2">
      <c r="A71" s="93">
        <f t="shared" si="0"/>
        <v>65</v>
      </c>
      <c r="B71" s="194"/>
      <c r="C71" s="96" t="s">
        <v>343</v>
      </c>
      <c r="D71" s="195">
        <f>SUM(D69:D70)</f>
        <v>415.55000000000007</v>
      </c>
      <c r="E71" s="96" t="str">
        <f>" = L"&amp;A69&amp;" + L"&amp;A70&amp;""</f>
        <v xml:space="preserve"> = L63 + L64</v>
      </c>
      <c r="F71" s="90"/>
      <c r="G71" s="90"/>
      <c r="H71" s="90"/>
      <c r="I71" s="90"/>
      <c r="J71" s="90"/>
      <c r="K71" s="90"/>
    </row>
    <row r="72" spans="1:11" x14ac:dyDescent="0.2">
      <c r="A72" s="93">
        <f t="shared" si="0"/>
        <v>66</v>
      </c>
      <c r="B72" s="194"/>
      <c r="C72" s="96" t="s">
        <v>342</v>
      </c>
      <c r="D72" s="193">
        <f>D69/D71</f>
        <v>0.90803272771026344</v>
      </c>
      <c r="E72" s="96" t="str">
        <f>" = L"&amp;A69&amp;" / L"&amp;A71&amp;""</f>
        <v xml:space="preserve"> = L63 / L65</v>
      </c>
      <c r="F72" s="90"/>
      <c r="G72" s="90"/>
      <c r="H72" s="90"/>
      <c r="I72" s="90"/>
      <c r="J72" s="90"/>
      <c r="K72" s="90"/>
    </row>
    <row r="73" spans="1:11" x14ac:dyDescent="0.2">
      <c r="A73" s="93">
        <f t="shared" ref="A73:A126" si="1">A72+1</f>
        <v>67</v>
      </c>
      <c r="B73" s="95"/>
      <c r="C73" s="90"/>
      <c r="D73" s="90"/>
      <c r="E73" s="90"/>
      <c r="F73" s="90"/>
      <c r="G73" s="90"/>
      <c r="H73" s="90"/>
      <c r="I73" s="90"/>
      <c r="J73" s="90"/>
      <c r="K73" s="90"/>
    </row>
    <row r="74" spans="1:11" x14ac:dyDescent="0.2">
      <c r="A74" s="93">
        <f t="shared" si="1"/>
        <v>68</v>
      </c>
      <c r="B74" s="96" t="s">
        <v>341</v>
      </c>
      <c r="C74" s="90"/>
      <c r="D74" s="62" t="s">
        <v>292</v>
      </c>
      <c r="E74" s="62" t="s">
        <v>42</v>
      </c>
      <c r="F74" s="90"/>
      <c r="G74" s="100" t="s">
        <v>291</v>
      </c>
      <c r="H74" s="90"/>
      <c r="I74" s="90"/>
      <c r="J74" s="90"/>
      <c r="K74" s="90"/>
    </row>
    <row r="75" spans="1:11" x14ac:dyDescent="0.2">
      <c r="A75" s="93">
        <f t="shared" si="1"/>
        <v>69</v>
      </c>
      <c r="B75" s="194"/>
      <c r="C75" s="96" t="s">
        <v>340</v>
      </c>
      <c r="D75" s="197">
        <v>138</v>
      </c>
      <c r="E75" s="62"/>
      <c r="F75" s="90"/>
      <c r="G75" s="196" t="s">
        <v>339</v>
      </c>
      <c r="H75" s="90"/>
      <c r="I75" s="90"/>
      <c r="J75" s="90"/>
      <c r="K75" s="90"/>
    </row>
    <row r="76" spans="1:11" x14ac:dyDescent="0.2">
      <c r="A76" s="93">
        <f t="shared" si="1"/>
        <v>70</v>
      </c>
      <c r="B76" s="194"/>
      <c r="C76" s="96" t="s">
        <v>338</v>
      </c>
      <c r="D76" s="197">
        <v>478</v>
      </c>
      <c r="E76" s="62"/>
      <c r="F76" s="90"/>
      <c r="G76" s="196"/>
      <c r="H76" s="90"/>
      <c r="I76" s="90"/>
      <c r="J76" s="90"/>
      <c r="K76" s="90"/>
    </row>
    <row r="77" spans="1:11" x14ac:dyDescent="0.2">
      <c r="A77" s="93">
        <f t="shared" si="1"/>
        <v>71</v>
      </c>
      <c r="B77" s="194"/>
      <c r="C77" s="96" t="s">
        <v>337</v>
      </c>
      <c r="D77" s="195">
        <f>SUM(D75:D76)</f>
        <v>616</v>
      </c>
      <c r="E77" s="96" t="str">
        <f>" = L"&amp;A75&amp;" + L"&amp;A76&amp;""</f>
        <v xml:space="preserve"> = L69 + L70</v>
      </c>
      <c r="F77" s="90"/>
      <c r="G77" s="90"/>
      <c r="H77" s="90"/>
      <c r="I77" s="90"/>
      <c r="J77" s="90"/>
      <c r="K77" s="90"/>
    </row>
    <row r="78" spans="1:11" x14ac:dyDescent="0.2">
      <c r="A78" s="93">
        <f t="shared" si="1"/>
        <v>72</v>
      </c>
      <c r="B78" s="194"/>
      <c r="C78" s="96" t="s">
        <v>336</v>
      </c>
      <c r="D78" s="193">
        <f>D75/D77</f>
        <v>0.22402597402597402</v>
      </c>
      <c r="E78" s="96" t="str">
        <f>" = L"&amp;A75&amp;" / L"&amp;A77&amp;""</f>
        <v xml:space="preserve"> = L69 / L71</v>
      </c>
      <c r="F78" s="90"/>
      <c r="G78" s="90"/>
      <c r="H78" s="90"/>
      <c r="I78" s="90"/>
      <c r="J78" s="90"/>
      <c r="K78" s="90"/>
    </row>
    <row r="79" spans="1:11" x14ac:dyDescent="0.2">
      <c r="A79" s="93">
        <f t="shared" si="1"/>
        <v>73</v>
      </c>
      <c r="B79" s="90"/>
      <c r="C79" s="90"/>
      <c r="D79" s="90"/>
      <c r="E79" s="90"/>
      <c r="F79" s="90"/>
      <c r="G79" s="90"/>
      <c r="H79" s="90"/>
      <c r="I79" s="90"/>
      <c r="J79" s="90"/>
      <c r="K79" s="90"/>
    </row>
    <row r="80" spans="1:11" ht="13.5" thickBot="1" x14ac:dyDescent="0.25">
      <c r="A80" s="93">
        <f t="shared" si="1"/>
        <v>74</v>
      </c>
      <c r="B80" s="96" t="s">
        <v>335</v>
      </c>
      <c r="C80" s="90"/>
      <c r="D80" s="62" t="s">
        <v>292</v>
      </c>
      <c r="E80" s="62" t="s">
        <v>42</v>
      </c>
      <c r="F80" s="90"/>
      <c r="G80" s="100" t="s">
        <v>291</v>
      </c>
      <c r="H80" s="90"/>
      <c r="I80" s="90"/>
      <c r="J80" s="90"/>
      <c r="K80" s="90"/>
    </row>
    <row r="81" spans="1:11" x14ac:dyDescent="0.2">
      <c r="A81" s="93">
        <f t="shared" si="1"/>
        <v>75</v>
      </c>
      <c r="B81" s="194"/>
      <c r="C81" s="96" t="s">
        <v>334</v>
      </c>
      <c r="D81" s="230">
        <v>1179</v>
      </c>
      <c r="E81" s="62"/>
      <c r="F81" s="90"/>
      <c r="G81" s="196" t="s">
        <v>333</v>
      </c>
      <c r="H81" s="90"/>
      <c r="I81" s="90"/>
      <c r="J81" s="90"/>
      <c r="K81" s="90"/>
    </row>
    <row r="82" spans="1:11" ht="13.5" thickBot="1" x14ac:dyDescent="0.25">
      <c r="A82" s="93">
        <f t="shared" si="1"/>
        <v>76</v>
      </c>
      <c r="B82" s="194"/>
      <c r="C82" s="96" t="s">
        <v>332</v>
      </c>
      <c r="D82" s="231">
        <v>2072</v>
      </c>
      <c r="E82" s="62"/>
      <c r="F82" s="90"/>
      <c r="G82" s="196"/>
      <c r="H82" s="90"/>
      <c r="I82" s="90"/>
      <c r="J82" s="90"/>
      <c r="K82" s="90"/>
    </row>
    <row r="83" spans="1:11" x14ac:dyDescent="0.2">
      <c r="A83" s="93">
        <f t="shared" si="1"/>
        <v>77</v>
      </c>
      <c r="B83" s="194"/>
      <c r="C83" s="96" t="s">
        <v>331</v>
      </c>
      <c r="D83" s="198">
        <f>SUM(D81:D82)</f>
        <v>3251</v>
      </c>
      <c r="E83" s="96" t="str">
        <f>" = L"&amp;A81&amp;" + L"&amp;A82&amp;""</f>
        <v xml:space="preserve"> = L75 + L76</v>
      </c>
      <c r="F83" s="90"/>
      <c r="G83" s="90"/>
      <c r="H83" s="90"/>
      <c r="I83" s="90"/>
      <c r="J83" s="90"/>
      <c r="K83" s="90"/>
    </row>
    <row r="84" spans="1:11" x14ac:dyDescent="0.2">
      <c r="A84" s="93">
        <f t="shared" si="1"/>
        <v>78</v>
      </c>
      <c r="B84" s="194"/>
      <c r="C84" s="96" t="s">
        <v>330</v>
      </c>
      <c r="D84" s="193">
        <f>D81/D83</f>
        <v>0.36265764380190713</v>
      </c>
      <c r="E84" s="96" t="str">
        <f>" = L"&amp;A81&amp;" / L"&amp;A83&amp;""</f>
        <v xml:space="preserve"> = L75 / L77</v>
      </c>
      <c r="F84" s="90"/>
      <c r="G84" s="90"/>
      <c r="H84" s="90"/>
      <c r="I84" s="90"/>
      <c r="J84" s="90"/>
      <c r="K84" s="90"/>
    </row>
    <row r="85" spans="1:11" x14ac:dyDescent="0.2">
      <c r="A85" s="93">
        <f t="shared" si="1"/>
        <v>79</v>
      </c>
      <c r="B85" s="90"/>
      <c r="C85" s="91"/>
      <c r="D85" s="90"/>
      <c r="E85" s="90"/>
      <c r="F85" s="90"/>
      <c r="G85" s="90"/>
      <c r="H85" s="90"/>
      <c r="I85" s="90"/>
      <c r="J85" s="90"/>
      <c r="K85" s="90"/>
    </row>
    <row r="86" spans="1:11" x14ac:dyDescent="0.2">
      <c r="A86" s="93">
        <f t="shared" si="1"/>
        <v>80</v>
      </c>
      <c r="B86" s="96" t="s">
        <v>329</v>
      </c>
      <c r="C86" s="90"/>
      <c r="D86" s="62" t="s">
        <v>292</v>
      </c>
      <c r="E86" s="62" t="s">
        <v>42</v>
      </c>
      <c r="F86" s="90"/>
      <c r="G86" s="100" t="s">
        <v>291</v>
      </c>
      <c r="H86" s="90"/>
      <c r="I86" s="90"/>
      <c r="J86" s="90"/>
      <c r="K86" s="90"/>
    </row>
    <row r="87" spans="1:11" x14ac:dyDescent="0.2">
      <c r="A87" s="93">
        <f t="shared" si="1"/>
        <v>81</v>
      </c>
      <c r="B87" s="194"/>
      <c r="C87" s="96" t="s">
        <v>328</v>
      </c>
      <c r="D87" s="197">
        <v>323</v>
      </c>
      <c r="E87" s="62"/>
      <c r="F87" s="90"/>
      <c r="G87" s="196" t="s">
        <v>327</v>
      </c>
      <c r="H87" s="90"/>
      <c r="I87" s="90"/>
      <c r="J87" s="90"/>
      <c r="K87" s="90"/>
    </row>
    <row r="88" spans="1:11" x14ac:dyDescent="0.2">
      <c r="A88" s="93">
        <f t="shared" si="1"/>
        <v>82</v>
      </c>
      <c r="B88" s="194"/>
      <c r="C88" s="96" t="s">
        <v>326</v>
      </c>
      <c r="D88" s="197">
        <v>155</v>
      </c>
      <c r="E88" s="62"/>
      <c r="F88" s="90"/>
      <c r="G88" s="196"/>
      <c r="H88" s="90"/>
      <c r="I88" s="90"/>
      <c r="J88" s="90"/>
      <c r="K88" s="90"/>
    </row>
    <row r="89" spans="1:11" x14ac:dyDescent="0.2">
      <c r="A89" s="93">
        <f t="shared" si="1"/>
        <v>83</v>
      </c>
      <c r="B89" s="194"/>
      <c r="C89" s="96" t="s">
        <v>325</v>
      </c>
      <c r="D89" s="195">
        <f>SUM(D87:D88)</f>
        <v>478</v>
      </c>
      <c r="E89" s="96" t="str">
        <f>" = L"&amp;A87&amp;" + L"&amp;A88&amp;""</f>
        <v xml:space="preserve"> = L81 + L82</v>
      </c>
      <c r="F89" s="90"/>
      <c r="G89" s="90"/>
      <c r="H89" s="90"/>
      <c r="I89" s="90"/>
      <c r="J89" s="90"/>
      <c r="K89" s="90"/>
    </row>
    <row r="90" spans="1:11" x14ac:dyDescent="0.2">
      <c r="A90" s="93">
        <f t="shared" si="1"/>
        <v>84</v>
      </c>
      <c r="B90" s="194"/>
      <c r="C90" s="96" t="s">
        <v>324</v>
      </c>
      <c r="D90" s="193">
        <f>D87/D89</f>
        <v>0.67573221757322177</v>
      </c>
      <c r="E90" s="96" t="str">
        <f>" = L"&amp;A87&amp;" / L"&amp;A89&amp;""</f>
        <v xml:space="preserve"> = L81 / L83</v>
      </c>
      <c r="F90" s="90"/>
      <c r="G90" s="90"/>
      <c r="H90" s="90"/>
      <c r="I90" s="90"/>
      <c r="J90" s="90"/>
      <c r="K90" s="90"/>
    </row>
    <row r="91" spans="1:11" x14ac:dyDescent="0.2">
      <c r="A91" s="93">
        <f t="shared" si="1"/>
        <v>85</v>
      </c>
      <c r="B91" s="90"/>
      <c r="C91" s="90"/>
      <c r="D91" s="90"/>
      <c r="E91" s="90"/>
      <c r="F91" s="90"/>
      <c r="G91" s="90"/>
      <c r="H91" s="90"/>
      <c r="I91" s="90"/>
      <c r="J91" s="90"/>
      <c r="K91" s="90"/>
    </row>
    <row r="92" spans="1:11" x14ac:dyDescent="0.2">
      <c r="A92" s="93">
        <f t="shared" si="1"/>
        <v>86</v>
      </c>
      <c r="B92" s="96" t="s">
        <v>323</v>
      </c>
      <c r="C92" s="90"/>
      <c r="D92" s="62" t="s">
        <v>292</v>
      </c>
      <c r="E92" s="62" t="s">
        <v>42</v>
      </c>
      <c r="F92" s="90"/>
      <c r="G92" s="100" t="s">
        <v>291</v>
      </c>
      <c r="H92" s="90"/>
      <c r="I92" s="90"/>
      <c r="J92" s="90"/>
      <c r="K92" s="90"/>
    </row>
    <row r="93" spans="1:11" x14ac:dyDescent="0.2">
      <c r="A93" s="93">
        <f t="shared" si="1"/>
        <v>87</v>
      </c>
      <c r="B93" s="194"/>
      <c r="C93" s="96" t="s">
        <v>322</v>
      </c>
      <c r="D93" s="197">
        <v>609935.84823709226</v>
      </c>
      <c r="E93" s="62"/>
      <c r="F93" s="90"/>
      <c r="G93" s="90" t="s">
        <v>321</v>
      </c>
      <c r="H93" s="90"/>
      <c r="I93" s="90"/>
      <c r="J93" s="90"/>
      <c r="K93" s="90"/>
    </row>
    <row r="94" spans="1:11" x14ac:dyDescent="0.2">
      <c r="A94" s="93">
        <f t="shared" si="1"/>
        <v>88</v>
      </c>
      <c r="B94" s="194"/>
      <c r="C94" s="96" t="s">
        <v>320</v>
      </c>
      <c r="D94" s="197">
        <v>4928423.8217629101</v>
      </c>
      <c r="E94" s="62"/>
      <c r="F94" s="90"/>
      <c r="G94" s="196"/>
      <c r="H94" s="90"/>
      <c r="I94" s="90"/>
      <c r="J94" s="90"/>
      <c r="K94" s="90"/>
    </row>
    <row r="95" spans="1:11" x14ac:dyDescent="0.2">
      <c r="A95" s="93">
        <f t="shared" si="1"/>
        <v>89</v>
      </c>
      <c r="B95" s="194"/>
      <c r="C95" s="96" t="s">
        <v>319</v>
      </c>
      <c r="D95" s="195">
        <f>SUM(D93:D94)</f>
        <v>5538359.6700000027</v>
      </c>
      <c r="E95" s="96" t="str">
        <f>" = L"&amp;A93&amp;" + L"&amp;A94&amp;""</f>
        <v xml:space="preserve"> = L87 + L88</v>
      </c>
      <c r="F95" s="90"/>
      <c r="G95" s="90"/>
      <c r="H95" s="90"/>
      <c r="I95" s="90"/>
      <c r="J95" s="90"/>
      <c r="K95" s="90"/>
    </row>
    <row r="96" spans="1:11" x14ac:dyDescent="0.2">
      <c r="A96" s="93">
        <f t="shared" si="1"/>
        <v>90</v>
      </c>
      <c r="B96" s="194"/>
      <c r="C96" s="96" t="s">
        <v>318</v>
      </c>
      <c r="D96" s="193">
        <f>D93/D95</f>
        <v>0.11012933153131457</v>
      </c>
      <c r="E96" s="96" t="str">
        <f>" = L"&amp;A93&amp;" / L"&amp;A95&amp;""</f>
        <v xml:space="preserve"> = L87 / L89</v>
      </c>
      <c r="F96" s="90"/>
      <c r="G96" s="90"/>
      <c r="H96" s="90"/>
      <c r="I96" s="90"/>
      <c r="J96" s="90"/>
      <c r="K96" s="90"/>
    </row>
    <row r="97" spans="1:11" x14ac:dyDescent="0.2">
      <c r="A97" s="93">
        <f t="shared" si="1"/>
        <v>91</v>
      </c>
      <c r="B97" s="90"/>
      <c r="C97" s="90"/>
      <c r="D97" s="90"/>
      <c r="E97" s="90"/>
      <c r="F97" s="90"/>
      <c r="G97" s="90"/>
      <c r="H97" s="90"/>
      <c r="I97" s="90"/>
      <c r="J97" s="90"/>
      <c r="K97" s="90"/>
    </row>
    <row r="98" spans="1:11" x14ac:dyDescent="0.2">
      <c r="A98" s="93">
        <f t="shared" si="1"/>
        <v>92</v>
      </c>
      <c r="B98" s="96" t="s">
        <v>317</v>
      </c>
      <c r="C98" s="90"/>
      <c r="D98" s="62" t="s">
        <v>292</v>
      </c>
      <c r="E98" s="62" t="s">
        <v>42</v>
      </c>
      <c r="F98" s="90"/>
      <c r="G98" s="100" t="s">
        <v>291</v>
      </c>
      <c r="H98" s="90"/>
      <c r="I98" s="90"/>
      <c r="J98" s="90"/>
      <c r="K98" s="90"/>
    </row>
    <row r="99" spans="1:11" x14ac:dyDescent="0.2">
      <c r="A99" s="93">
        <f t="shared" si="1"/>
        <v>93</v>
      </c>
      <c r="B99" s="194"/>
      <c r="C99" s="96" t="s">
        <v>316</v>
      </c>
      <c r="D99" s="197">
        <v>283286.544514518</v>
      </c>
      <c r="E99" s="62"/>
      <c r="F99" s="90"/>
      <c r="G99" s="196" t="s">
        <v>315</v>
      </c>
      <c r="H99" s="90"/>
      <c r="I99" s="90"/>
      <c r="J99" s="90"/>
      <c r="K99" s="90"/>
    </row>
    <row r="100" spans="1:11" x14ac:dyDescent="0.2">
      <c r="A100" s="93">
        <f t="shared" si="1"/>
        <v>94</v>
      </c>
      <c r="B100" s="194"/>
      <c r="C100" s="96" t="s">
        <v>314</v>
      </c>
      <c r="D100" s="197">
        <v>3197350.8654854875</v>
      </c>
      <c r="E100" s="62"/>
      <c r="F100" s="90"/>
      <c r="G100" s="196"/>
      <c r="H100" s="90"/>
      <c r="I100" s="90"/>
      <c r="J100" s="90"/>
      <c r="K100" s="90"/>
    </row>
    <row r="101" spans="1:11" x14ac:dyDescent="0.2">
      <c r="A101" s="93">
        <f t="shared" si="1"/>
        <v>95</v>
      </c>
      <c r="B101" s="194"/>
      <c r="C101" s="96" t="s">
        <v>313</v>
      </c>
      <c r="D101" s="195">
        <f>SUM(D99:D100)</f>
        <v>3480637.4100000057</v>
      </c>
      <c r="E101" s="96" t="str">
        <f>" = L"&amp;A99&amp;" + L"&amp;A100&amp;""</f>
        <v xml:space="preserve"> = L93 + L94</v>
      </c>
      <c r="F101" s="90"/>
      <c r="G101" s="90"/>
      <c r="H101" s="90"/>
      <c r="I101" s="90"/>
      <c r="J101" s="90"/>
      <c r="K101" s="90"/>
    </row>
    <row r="102" spans="1:11" x14ac:dyDescent="0.2">
      <c r="A102" s="93">
        <f t="shared" si="1"/>
        <v>96</v>
      </c>
      <c r="B102" s="194"/>
      <c r="C102" s="96" t="s">
        <v>312</v>
      </c>
      <c r="D102" s="193">
        <f>D99/D101</f>
        <v>8.1389271890437306E-2</v>
      </c>
      <c r="E102" s="96" t="str">
        <f>" = L"&amp;A99&amp;" / L"&amp;A101&amp;""</f>
        <v xml:space="preserve"> = L93 / L95</v>
      </c>
      <c r="F102" s="90"/>
      <c r="G102" s="90"/>
      <c r="H102" s="90"/>
      <c r="I102" s="90"/>
      <c r="J102" s="90"/>
      <c r="K102" s="90"/>
    </row>
    <row r="103" spans="1:11" x14ac:dyDescent="0.2">
      <c r="A103" s="93">
        <f t="shared" si="1"/>
        <v>97</v>
      </c>
      <c r="B103" s="90"/>
      <c r="C103" s="90"/>
      <c r="D103" s="90"/>
      <c r="E103" s="90"/>
      <c r="F103" s="90"/>
      <c r="G103" s="90"/>
      <c r="H103" s="90"/>
      <c r="I103" s="90"/>
      <c r="J103" s="90"/>
      <c r="K103" s="90"/>
    </row>
    <row r="104" spans="1:11" x14ac:dyDescent="0.2">
      <c r="A104" s="93">
        <f t="shared" si="1"/>
        <v>98</v>
      </c>
      <c r="B104" s="96" t="s">
        <v>311</v>
      </c>
      <c r="C104" s="90"/>
      <c r="D104" s="62" t="s">
        <v>292</v>
      </c>
      <c r="E104" s="62" t="s">
        <v>42</v>
      </c>
      <c r="F104" s="90"/>
      <c r="G104" s="100" t="s">
        <v>291</v>
      </c>
      <c r="H104" s="90"/>
      <c r="I104" s="90"/>
      <c r="J104" s="90"/>
      <c r="K104" s="90"/>
    </row>
    <row r="105" spans="1:11" x14ac:dyDescent="0.2">
      <c r="A105" s="93">
        <f t="shared" si="1"/>
        <v>99</v>
      </c>
      <c r="B105" s="194"/>
      <c r="C105" s="96" t="s">
        <v>310</v>
      </c>
      <c r="D105" s="197">
        <v>1625490.040505365</v>
      </c>
      <c r="E105" s="62"/>
      <c r="F105" s="90"/>
      <c r="G105" s="196" t="s">
        <v>309</v>
      </c>
      <c r="H105" s="90"/>
      <c r="I105" s="90"/>
      <c r="J105" s="90"/>
      <c r="K105" s="90"/>
    </row>
    <row r="106" spans="1:11" x14ac:dyDescent="0.2">
      <c r="A106" s="93">
        <f t="shared" si="1"/>
        <v>100</v>
      </c>
      <c r="B106" s="194"/>
      <c r="C106" s="96" t="s">
        <v>308</v>
      </c>
      <c r="D106" s="197">
        <v>2060289.479494635</v>
      </c>
      <c r="E106" s="62"/>
      <c r="F106" s="90"/>
      <c r="G106" s="196"/>
      <c r="H106" s="90"/>
      <c r="I106" s="90"/>
      <c r="J106" s="90"/>
      <c r="K106" s="90"/>
    </row>
    <row r="107" spans="1:11" x14ac:dyDescent="0.2">
      <c r="A107" s="93">
        <f t="shared" si="1"/>
        <v>101</v>
      </c>
      <c r="B107" s="194"/>
      <c r="C107" s="96" t="s">
        <v>307</v>
      </c>
      <c r="D107" s="195">
        <f>SUM(D105:D106)</f>
        <v>3685779.52</v>
      </c>
      <c r="E107" s="96" t="str">
        <f>" = L"&amp;A105&amp;" + L"&amp;A106&amp;""</f>
        <v xml:space="preserve"> = L99 + L100</v>
      </c>
      <c r="F107" s="90"/>
      <c r="G107" s="90"/>
      <c r="H107" s="90"/>
      <c r="I107" s="90"/>
      <c r="J107" s="90"/>
      <c r="K107" s="90"/>
    </row>
    <row r="108" spans="1:11" x14ac:dyDescent="0.2">
      <c r="A108" s="93">
        <f t="shared" si="1"/>
        <v>102</v>
      </c>
      <c r="B108" s="194"/>
      <c r="C108" s="96" t="s">
        <v>306</v>
      </c>
      <c r="D108" s="193">
        <f>D105/D107</f>
        <v>0.44101662394210844</v>
      </c>
      <c r="E108" s="96" t="str">
        <f>" = L"&amp;A105&amp;" / L"&amp;A107&amp;""</f>
        <v xml:space="preserve"> = L99 / L101</v>
      </c>
      <c r="F108" s="90"/>
      <c r="G108" s="90"/>
      <c r="H108" s="90"/>
      <c r="I108" s="90"/>
      <c r="J108" s="90"/>
      <c r="K108" s="90"/>
    </row>
    <row r="109" spans="1:11" x14ac:dyDescent="0.2">
      <c r="A109" s="93">
        <f t="shared" si="1"/>
        <v>103</v>
      </c>
      <c r="B109" s="90"/>
      <c r="C109" s="90"/>
      <c r="D109" s="90"/>
      <c r="E109" s="90"/>
      <c r="F109" s="90"/>
      <c r="G109" s="90"/>
      <c r="H109" s="90"/>
      <c r="I109" s="90"/>
      <c r="J109" s="90"/>
      <c r="K109" s="90"/>
    </row>
    <row r="110" spans="1:11" x14ac:dyDescent="0.2">
      <c r="A110" s="93">
        <f t="shared" si="1"/>
        <v>104</v>
      </c>
      <c r="B110" s="96" t="s">
        <v>305</v>
      </c>
      <c r="C110" s="90"/>
      <c r="D110" s="62" t="s">
        <v>292</v>
      </c>
      <c r="E110" s="62" t="s">
        <v>42</v>
      </c>
      <c r="F110" s="90"/>
      <c r="G110" s="100" t="s">
        <v>291</v>
      </c>
      <c r="H110" s="90"/>
      <c r="I110" s="90"/>
      <c r="J110" s="90"/>
      <c r="K110" s="90"/>
    </row>
    <row r="111" spans="1:11" x14ac:dyDescent="0.2">
      <c r="A111" s="93">
        <f t="shared" si="1"/>
        <v>105</v>
      </c>
      <c r="B111" s="194"/>
      <c r="C111" s="96" t="s">
        <v>304</v>
      </c>
      <c r="D111" s="197">
        <v>0</v>
      </c>
      <c r="E111" s="62"/>
      <c r="F111" s="90"/>
      <c r="G111" s="196" t="s">
        <v>303</v>
      </c>
      <c r="H111" s="90"/>
      <c r="I111" s="90"/>
      <c r="J111" s="90"/>
      <c r="K111" s="90"/>
    </row>
    <row r="112" spans="1:11" x14ac:dyDescent="0.2">
      <c r="A112" s="93">
        <f t="shared" si="1"/>
        <v>106</v>
      </c>
      <c r="B112" s="194"/>
      <c r="C112" s="96" t="s">
        <v>302</v>
      </c>
      <c r="D112" s="197">
        <v>2045</v>
      </c>
      <c r="E112" s="62"/>
      <c r="F112" s="90"/>
      <c r="G112" s="196"/>
      <c r="H112" s="90"/>
      <c r="I112" s="90"/>
      <c r="J112" s="90"/>
      <c r="K112" s="90"/>
    </row>
    <row r="113" spans="1:11" x14ac:dyDescent="0.2">
      <c r="A113" s="93">
        <f t="shared" si="1"/>
        <v>107</v>
      </c>
      <c r="B113" s="194"/>
      <c r="C113" s="96" t="s">
        <v>301</v>
      </c>
      <c r="D113" s="195">
        <f>SUM(D111:D112)</f>
        <v>2045</v>
      </c>
      <c r="E113" s="96" t="str">
        <f>" = L"&amp;A111&amp;" + L"&amp;A112&amp;""</f>
        <v xml:space="preserve"> = L105 + L106</v>
      </c>
      <c r="F113" s="90"/>
      <c r="G113" s="90"/>
      <c r="H113" s="90"/>
      <c r="I113" s="90"/>
      <c r="J113" s="90"/>
      <c r="K113" s="90"/>
    </row>
    <row r="114" spans="1:11" x14ac:dyDescent="0.2">
      <c r="A114" s="93">
        <f t="shared" si="1"/>
        <v>108</v>
      </c>
      <c r="B114" s="194"/>
      <c r="C114" s="96" t="s">
        <v>300</v>
      </c>
      <c r="D114" s="193">
        <f>D111/D113</f>
        <v>0</v>
      </c>
      <c r="E114" s="96" t="str">
        <f>" = L"&amp;A111&amp;" / L"&amp;A113&amp;""</f>
        <v xml:space="preserve"> = L105 / L107</v>
      </c>
      <c r="F114" s="90"/>
      <c r="G114" s="90"/>
      <c r="H114" s="90"/>
      <c r="I114" s="90"/>
      <c r="J114" s="90"/>
      <c r="K114" s="90"/>
    </row>
    <row r="115" spans="1:11" x14ac:dyDescent="0.2">
      <c r="A115" s="93">
        <f t="shared" si="1"/>
        <v>109</v>
      </c>
      <c r="B115" s="90"/>
      <c r="C115" s="90"/>
      <c r="D115" s="90"/>
      <c r="E115" s="90"/>
      <c r="F115" s="90"/>
      <c r="G115" s="90"/>
      <c r="H115" s="90"/>
      <c r="I115" s="90"/>
      <c r="J115" s="90"/>
      <c r="K115" s="90"/>
    </row>
    <row r="116" spans="1:11" x14ac:dyDescent="0.2">
      <c r="A116" s="93">
        <f t="shared" si="1"/>
        <v>110</v>
      </c>
      <c r="B116" s="96" t="s">
        <v>299</v>
      </c>
      <c r="C116" s="90"/>
      <c r="D116" s="62" t="s">
        <v>292</v>
      </c>
      <c r="E116" s="62" t="s">
        <v>42</v>
      </c>
      <c r="F116" s="90"/>
      <c r="G116" s="100" t="s">
        <v>291</v>
      </c>
      <c r="H116" s="90"/>
      <c r="I116" s="90"/>
      <c r="J116" s="90"/>
      <c r="K116" s="90"/>
    </row>
    <row r="117" spans="1:11" x14ac:dyDescent="0.2">
      <c r="A117" s="93">
        <f t="shared" si="1"/>
        <v>111</v>
      </c>
      <c r="B117" s="194"/>
      <c r="C117" s="96" t="s">
        <v>298</v>
      </c>
      <c r="D117" s="197">
        <v>0</v>
      </c>
      <c r="E117" s="62"/>
      <c r="F117" s="90"/>
      <c r="G117" s="196" t="s">
        <v>297</v>
      </c>
      <c r="H117" s="90"/>
      <c r="I117" s="90"/>
      <c r="J117" s="90"/>
      <c r="K117" s="90"/>
    </row>
    <row r="118" spans="1:11" x14ac:dyDescent="0.2">
      <c r="A118" s="93">
        <f t="shared" si="1"/>
        <v>112</v>
      </c>
      <c r="B118" s="194"/>
      <c r="C118" s="96" t="s">
        <v>296</v>
      </c>
      <c r="D118" s="197">
        <v>8875</v>
      </c>
      <c r="E118" s="62"/>
      <c r="F118" s="90"/>
      <c r="G118" s="196"/>
      <c r="H118" s="90"/>
      <c r="I118" s="90"/>
      <c r="J118" s="90"/>
      <c r="K118" s="90"/>
    </row>
    <row r="119" spans="1:11" x14ac:dyDescent="0.2">
      <c r="A119" s="93">
        <f t="shared" si="1"/>
        <v>113</v>
      </c>
      <c r="B119" s="194"/>
      <c r="C119" s="96" t="s">
        <v>295</v>
      </c>
      <c r="D119" s="195">
        <f>SUM(D117:D118)</f>
        <v>8875</v>
      </c>
      <c r="E119" s="96" t="str">
        <f>" = L"&amp;A117&amp;" + L"&amp;A118&amp;""</f>
        <v xml:space="preserve"> = L111 + L112</v>
      </c>
      <c r="F119" s="90"/>
      <c r="G119" s="90"/>
      <c r="H119" s="90"/>
      <c r="I119" s="90"/>
      <c r="J119" s="90"/>
      <c r="K119" s="90"/>
    </row>
    <row r="120" spans="1:11" x14ac:dyDescent="0.2">
      <c r="A120" s="93">
        <f t="shared" si="1"/>
        <v>114</v>
      </c>
      <c r="B120" s="194"/>
      <c r="C120" s="96" t="s">
        <v>294</v>
      </c>
      <c r="D120" s="193">
        <f>D117/D119</f>
        <v>0</v>
      </c>
      <c r="E120" s="96" t="str">
        <f>" = L"&amp;A117&amp;" / L"&amp;A119&amp;""</f>
        <v xml:space="preserve"> = L111 / L113</v>
      </c>
      <c r="F120" s="90"/>
      <c r="G120" s="90"/>
      <c r="H120" s="90"/>
      <c r="I120" s="90"/>
      <c r="J120" s="90"/>
      <c r="K120" s="90"/>
    </row>
    <row r="121" spans="1:11" x14ac:dyDescent="0.2">
      <c r="A121" s="93">
        <f t="shared" si="1"/>
        <v>115</v>
      </c>
      <c r="B121" s="90"/>
      <c r="C121" s="90"/>
      <c r="D121" s="90"/>
      <c r="E121" s="90"/>
      <c r="F121" s="90"/>
      <c r="G121" s="90"/>
      <c r="H121" s="90"/>
      <c r="I121" s="90"/>
      <c r="J121" s="90"/>
      <c r="K121" s="90"/>
    </row>
    <row r="122" spans="1:11" x14ac:dyDescent="0.2">
      <c r="A122" s="93">
        <f t="shared" si="1"/>
        <v>116</v>
      </c>
      <c r="B122" s="96" t="s">
        <v>293</v>
      </c>
      <c r="C122" s="90"/>
      <c r="D122" s="62" t="s">
        <v>292</v>
      </c>
      <c r="E122" s="62" t="s">
        <v>42</v>
      </c>
      <c r="F122" s="90"/>
      <c r="G122" s="100" t="s">
        <v>291</v>
      </c>
      <c r="H122" s="90"/>
      <c r="I122" s="90"/>
      <c r="J122" s="90"/>
      <c r="K122" s="90"/>
    </row>
    <row r="123" spans="1:11" x14ac:dyDescent="0.2">
      <c r="A123" s="93">
        <f t="shared" si="1"/>
        <v>117</v>
      </c>
      <c r="B123" s="194"/>
      <c r="C123" s="96" t="s">
        <v>290</v>
      </c>
      <c r="D123" s="197">
        <v>0</v>
      </c>
      <c r="E123" s="62"/>
      <c r="F123" s="90"/>
      <c r="G123" s="196" t="s">
        <v>289</v>
      </c>
      <c r="H123" s="90"/>
      <c r="I123" s="90"/>
      <c r="J123" s="90"/>
      <c r="K123" s="90"/>
    </row>
    <row r="124" spans="1:11" x14ac:dyDescent="0.2">
      <c r="A124" s="93">
        <f t="shared" si="1"/>
        <v>118</v>
      </c>
      <c r="B124" s="194"/>
      <c r="C124" s="96" t="s">
        <v>288</v>
      </c>
      <c r="D124" s="197">
        <v>2340</v>
      </c>
      <c r="E124" s="62"/>
      <c r="F124" s="90"/>
      <c r="G124" s="196"/>
      <c r="H124" s="90"/>
      <c r="I124" s="90"/>
      <c r="J124" s="90"/>
      <c r="K124" s="90"/>
    </row>
    <row r="125" spans="1:11" x14ac:dyDescent="0.2">
      <c r="A125" s="93">
        <f t="shared" si="1"/>
        <v>119</v>
      </c>
      <c r="B125" s="194"/>
      <c r="C125" s="96" t="s">
        <v>287</v>
      </c>
      <c r="D125" s="195">
        <f>SUM(D123:D124)</f>
        <v>2340</v>
      </c>
      <c r="E125" s="96" t="str">
        <f>" = L"&amp;A123&amp;" + L"&amp;A124&amp;""</f>
        <v xml:space="preserve"> = L117 + L118</v>
      </c>
      <c r="F125" s="90"/>
      <c r="G125" s="90"/>
      <c r="H125" s="90"/>
      <c r="I125" s="90"/>
      <c r="J125" s="90"/>
      <c r="K125" s="90"/>
    </row>
    <row r="126" spans="1:11" x14ac:dyDescent="0.2">
      <c r="A126" s="93">
        <f t="shared" si="1"/>
        <v>120</v>
      </c>
      <c r="B126" s="194"/>
      <c r="C126" s="96" t="s">
        <v>286</v>
      </c>
      <c r="D126" s="193">
        <f>D123/D125</f>
        <v>0</v>
      </c>
      <c r="E126" s="96" t="str">
        <f>" = L"&amp;A123&amp;" / L"&amp;A125&amp;""</f>
        <v xml:space="preserve"> = L117 / L119</v>
      </c>
      <c r="F126" s="90"/>
      <c r="G126" s="90"/>
      <c r="H126" s="90"/>
      <c r="I126" s="90"/>
      <c r="J126" s="90"/>
      <c r="K126" s="90"/>
    </row>
    <row r="127" spans="1:11" x14ac:dyDescent="0.2">
      <c r="A127" s="84"/>
      <c r="E127" s="90"/>
      <c r="F127" s="90"/>
      <c r="G127" s="90"/>
      <c r="H127" s="90"/>
      <c r="I127" s="90"/>
      <c r="J127" s="90"/>
      <c r="K127" s="90"/>
    </row>
    <row r="128" spans="1:11" x14ac:dyDescent="0.2">
      <c r="A128" s="84"/>
      <c r="E128" s="90"/>
      <c r="F128" s="90"/>
      <c r="G128" s="90"/>
      <c r="H128" s="90"/>
      <c r="I128" s="90"/>
      <c r="J128" s="90"/>
      <c r="K128" s="90"/>
    </row>
    <row r="129" spans="1:11" x14ac:dyDescent="0.2">
      <c r="A129" s="84"/>
      <c r="E129" s="90"/>
      <c r="F129" s="90"/>
      <c r="G129" s="90"/>
      <c r="H129" s="90"/>
      <c r="I129" s="90"/>
      <c r="J129" s="90"/>
      <c r="K129" s="90"/>
    </row>
    <row r="130" spans="1:11" x14ac:dyDescent="0.2">
      <c r="A130" s="84"/>
    </row>
    <row r="131" spans="1:11" x14ac:dyDescent="0.2">
      <c r="A131" s="84"/>
    </row>
    <row r="132" spans="1:11" x14ac:dyDescent="0.2">
      <c r="A132" s="84"/>
    </row>
    <row r="133" spans="1:11" x14ac:dyDescent="0.2">
      <c r="A133" s="84"/>
    </row>
    <row r="134" spans="1:11" x14ac:dyDescent="0.2">
      <c r="A134" s="84"/>
    </row>
    <row r="135" spans="1:11" x14ac:dyDescent="0.2">
      <c r="A135" s="84"/>
    </row>
    <row r="136" spans="1:11" x14ac:dyDescent="0.2">
      <c r="A136" s="84"/>
    </row>
    <row r="137" spans="1:11" x14ac:dyDescent="0.2">
      <c r="A137" s="84"/>
    </row>
    <row r="138" spans="1:11" x14ac:dyDescent="0.2">
      <c r="A138" s="84"/>
    </row>
  </sheetData>
  <pageMargins left="0.75" right="0.75" top="1" bottom="1" header="0.5" footer="0.5"/>
  <pageSetup scale="69" orientation="landscape" cellComments="asDisplayed" r:id="rId1"/>
  <headerFooter alignWithMargins="0">
    <oddHeader>&amp;CSchedule 27
Allocation Factors
(Revised 2016 True Up TRR)&amp;RExhibit SCE-29
TO2019A
WP-Schedule 3-One Time Adj Prior Period
Page &amp;P of &amp;N</oddHeader>
    <oddFooter>&amp;R&amp;A</oddFooter>
  </headerFooter>
  <rowBreaks count="2" manualBreakCount="2">
    <brk id="49" max="16383" man="1"/>
    <brk id="103"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L55"/>
  <sheetViews>
    <sheetView topLeftCell="A7" zoomScaleNormal="100" workbookViewId="0"/>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22.42578125" style="1" customWidth="1"/>
    <col min="12" max="16384" width="9.140625" style="1"/>
  </cols>
  <sheetData>
    <row r="2" spans="1:12" ht="15.75" thickBot="1" x14ac:dyDescent="0.3"/>
    <row r="3" spans="1:12" x14ac:dyDescent="0.25">
      <c r="A3" s="30" t="s">
        <v>27</v>
      </c>
      <c r="B3" s="31"/>
      <c r="C3" s="31"/>
      <c r="D3" s="31"/>
      <c r="E3" s="31"/>
      <c r="F3" s="31"/>
      <c r="G3" s="31"/>
      <c r="H3" s="31"/>
      <c r="I3" s="31"/>
      <c r="J3" s="31"/>
      <c r="K3" s="31"/>
      <c r="L3" s="13"/>
    </row>
    <row r="4" spans="1:12" ht="15.75" thickBot="1" x14ac:dyDescent="0.3">
      <c r="A4" s="2"/>
      <c r="B4" s="3"/>
      <c r="C4" s="3"/>
      <c r="D4" s="3"/>
      <c r="E4" s="3"/>
      <c r="F4" s="3"/>
      <c r="G4" s="3"/>
      <c r="H4" s="3"/>
      <c r="I4" s="3"/>
      <c r="J4" s="3"/>
      <c r="K4" s="3"/>
      <c r="L4" s="13"/>
    </row>
    <row r="5" spans="1:12" ht="32.25" customHeight="1" thickBot="1" x14ac:dyDescent="0.3">
      <c r="A5" s="500" t="s">
        <v>283</v>
      </c>
      <c r="B5" s="501"/>
      <c r="C5" s="501"/>
      <c r="D5" s="501"/>
      <c r="E5" s="501"/>
      <c r="F5" s="501"/>
      <c r="G5" s="502"/>
      <c r="H5" s="500" t="s">
        <v>962</v>
      </c>
      <c r="I5" s="501"/>
      <c r="J5" s="501"/>
      <c r="K5" s="501"/>
    </row>
    <row r="6" spans="1:12" ht="15" customHeight="1" x14ac:dyDescent="0.25">
      <c r="A6" s="36"/>
      <c r="B6" s="37"/>
      <c r="C6" s="37"/>
      <c r="D6" s="37"/>
      <c r="E6" s="38" t="s">
        <v>19</v>
      </c>
      <c r="F6" s="39"/>
      <c r="G6" s="40"/>
      <c r="H6" s="4"/>
      <c r="I6" s="5" t="s">
        <v>19</v>
      </c>
      <c r="J6" s="6"/>
      <c r="K6" s="7"/>
    </row>
    <row r="7" spans="1:12" ht="15" customHeight="1" x14ac:dyDescent="0.25">
      <c r="A7" s="13"/>
      <c r="B7" s="4"/>
      <c r="C7" s="4"/>
      <c r="D7" s="4"/>
      <c r="E7" s="5" t="s">
        <v>4</v>
      </c>
      <c r="F7" s="9"/>
      <c r="G7" s="10" t="s">
        <v>19</v>
      </c>
      <c r="H7" s="4"/>
      <c r="I7" s="5" t="s">
        <v>4</v>
      </c>
      <c r="J7" s="9"/>
      <c r="K7" s="10" t="s">
        <v>19</v>
      </c>
    </row>
    <row r="8" spans="1:12" ht="15" customHeight="1" x14ac:dyDescent="0.25">
      <c r="A8" s="13"/>
      <c r="B8" s="4"/>
      <c r="C8" s="4"/>
      <c r="D8" s="4"/>
      <c r="E8" s="5" t="s">
        <v>5</v>
      </c>
      <c r="F8" s="9"/>
      <c r="G8" s="10" t="s">
        <v>4</v>
      </c>
      <c r="H8" s="4"/>
      <c r="I8" s="5" t="s">
        <v>5</v>
      </c>
      <c r="J8" s="9"/>
      <c r="K8" s="10" t="s">
        <v>4</v>
      </c>
    </row>
    <row r="9" spans="1:12" ht="15" customHeight="1" x14ac:dyDescent="0.25">
      <c r="A9" s="13"/>
      <c r="B9" s="4"/>
      <c r="C9" s="8" t="s">
        <v>1</v>
      </c>
      <c r="D9" s="5" t="s">
        <v>1</v>
      </c>
      <c r="E9" s="5" t="s">
        <v>2</v>
      </c>
      <c r="F9" s="12" t="s">
        <v>3</v>
      </c>
      <c r="G9" s="10" t="s">
        <v>5</v>
      </c>
      <c r="H9" s="5" t="s">
        <v>1</v>
      </c>
      <c r="I9" s="5" t="s">
        <v>2</v>
      </c>
      <c r="J9" s="12" t="s">
        <v>3</v>
      </c>
      <c r="K9" s="10" t="s">
        <v>5</v>
      </c>
    </row>
    <row r="10" spans="1:12" ht="15" customHeight="1" x14ac:dyDescent="0.25">
      <c r="A10" s="13"/>
      <c r="B10" s="4"/>
      <c r="C10" s="11" t="s">
        <v>3</v>
      </c>
      <c r="D10" s="5" t="s">
        <v>20</v>
      </c>
      <c r="E10" s="5" t="s">
        <v>22</v>
      </c>
      <c r="F10" s="5" t="s">
        <v>23</v>
      </c>
      <c r="G10" s="10" t="s">
        <v>2</v>
      </c>
      <c r="H10" s="5" t="s">
        <v>20</v>
      </c>
      <c r="I10" s="5" t="s">
        <v>22</v>
      </c>
      <c r="J10" s="5" t="s">
        <v>23</v>
      </c>
      <c r="K10" s="10" t="s">
        <v>2</v>
      </c>
    </row>
    <row r="11" spans="1:12" ht="15.75" customHeight="1" x14ac:dyDescent="0.25">
      <c r="A11" s="28" t="s">
        <v>16</v>
      </c>
      <c r="B11" s="27" t="s">
        <v>17</v>
      </c>
      <c r="C11" s="27" t="s">
        <v>0</v>
      </c>
      <c r="D11" s="26" t="s">
        <v>26</v>
      </c>
      <c r="E11" s="26" t="s">
        <v>24</v>
      </c>
      <c r="F11" s="26" t="s">
        <v>16</v>
      </c>
      <c r="G11" s="29" t="s">
        <v>21</v>
      </c>
      <c r="H11" s="26" t="s">
        <v>26</v>
      </c>
      <c r="I11" s="26" t="s">
        <v>24</v>
      </c>
      <c r="J11" s="26" t="s">
        <v>16</v>
      </c>
      <c r="K11" s="29" t="s">
        <v>21</v>
      </c>
    </row>
    <row r="12" spans="1:12" x14ac:dyDescent="0.25">
      <c r="A12" s="13" t="s">
        <v>7</v>
      </c>
      <c r="B12" s="106" t="s">
        <v>417</v>
      </c>
      <c r="C12" s="14">
        <v>2.7000000000000001E-3</v>
      </c>
      <c r="D12" s="15">
        <f>'WP-2015 True Up TRR Adj'!D8/12</f>
        <v>-2963.1894669334092</v>
      </c>
      <c r="E12" s="16">
        <f>D12</f>
        <v>-2963.1894669334092</v>
      </c>
      <c r="F12" s="16">
        <f>((E12)/2)*$C12</f>
        <v>-4.0003057803601028</v>
      </c>
      <c r="G12" s="18">
        <f>E12+F12</f>
        <v>-2967.1897727137693</v>
      </c>
      <c r="H12" s="15">
        <v>0</v>
      </c>
      <c r="I12" s="16">
        <f>H12</f>
        <v>0</v>
      </c>
      <c r="J12" s="16">
        <f>((H12)/2)*C12</f>
        <v>0</v>
      </c>
      <c r="K12" s="18">
        <f>I12+J12</f>
        <v>0</v>
      </c>
    </row>
    <row r="13" spans="1:12" x14ac:dyDescent="0.25">
      <c r="A13" s="13" t="s">
        <v>8</v>
      </c>
      <c r="B13" s="106" t="s">
        <v>417</v>
      </c>
      <c r="C13" s="14">
        <v>2.7000000000000001E-3</v>
      </c>
      <c r="D13" s="15">
        <f>D12</f>
        <v>-2963.1894669334092</v>
      </c>
      <c r="E13" s="16">
        <f>D13+G12</f>
        <v>-5930.3792396471781</v>
      </c>
      <c r="F13" s="17">
        <f t="shared" ref="F13:F20" si="0">(((E13+G12))/2)*$C13</f>
        <v>-12.011718166687279</v>
      </c>
      <c r="G13" s="18">
        <f t="shared" ref="G13:G23" si="1">E13+F13</f>
        <v>-5942.3909578138655</v>
      </c>
      <c r="H13" s="15">
        <v>0</v>
      </c>
      <c r="I13" s="16">
        <f>H13+K12</f>
        <v>0</v>
      </c>
      <c r="J13" s="17">
        <f>(((I13+K12))/2)*$C13</f>
        <v>0</v>
      </c>
      <c r="K13" s="18">
        <f t="shared" ref="K13:K23" si="2">I13+J13</f>
        <v>0</v>
      </c>
    </row>
    <row r="14" spans="1:12" x14ac:dyDescent="0.25">
      <c r="A14" s="13" t="s">
        <v>18</v>
      </c>
      <c r="B14" s="106" t="s">
        <v>417</v>
      </c>
      <c r="C14" s="14">
        <v>2.7000000000000001E-3</v>
      </c>
      <c r="D14" s="15">
        <f t="shared" ref="D14:D23" si="3">D13</f>
        <v>-2963.1894669334092</v>
      </c>
      <c r="E14" s="16">
        <f t="shared" ref="E14:E35" si="4">D14+G13</f>
        <v>-8905.5804247472752</v>
      </c>
      <c r="F14" s="17">
        <f t="shared" si="0"/>
        <v>-20.044761366457539</v>
      </c>
      <c r="G14" s="18">
        <f t="shared" si="1"/>
        <v>-8925.6251861137334</v>
      </c>
      <c r="H14" s="15">
        <v>0</v>
      </c>
      <c r="I14" s="16">
        <f t="shared" ref="I14:I35" si="5">H14+K13</f>
        <v>0</v>
      </c>
      <c r="J14" s="17">
        <f t="shared" ref="J14:J35" si="6">(((I14+K13))/2)*$C14</f>
        <v>0</v>
      </c>
      <c r="K14" s="18">
        <f t="shared" si="2"/>
        <v>0</v>
      </c>
    </row>
    <row r="15" spans="1:12" x14ac:dyDescent="0.25">
      <c r="A15" s="13" t="s">
        <v>9</v>
      </c>
      <c r="B15" s="106" t="s">
        <v>417</v>
      </c>
      <c r="C15" s="14">
        <v>2.7000000000000001E-3</v>
      </c>
      <c r="D15" s="15">
        <f t="shared" si="3"/>
        <v>-2963.1894669334092</v>
      </c>
      <c r="E15" s="16">
        <f t="shared" si="4"/>
        <v>-11888.814653047142</v>
      </c>
      <c r="F15" s="17">
        <f t="shared" si="0"/>
        <v>-28.099493782867185</v>
      </c>
      <c r="G15" s="18">
        <f t="shared" si="1"/>
        <v>-11916.914146830009</v>
      </c>
      <c r="H15" s="15">
        <v>0</v>
      </c>
      <c r="I15" s="16">
        <f t="shared" si="5"/>
        <v>0</v>
      </c>
      <c r="J15" s="17">
        <f t="shared" si="6"/>
        <v>0</v>
      </c>
      <c r="K15" s="18">
        <f t="shared" si="2"/>
        <v>0</v>
      </c>
    </row>
    <row r="16" spans="1:12" x14ac:dyDescent="0.25">
      <c r="A16" s="13" t="s">
        <v>10</v>
      </c>
      <c r="B16" s="106" t="s">
        <v>417</v>
      </c>
      <c r="C16" s="14">
        <v>2.7000000000000001E-3</v>
      </c>
      <c r="D16" s="15">
        <f t="shared" si="3"/>
        <v>-2963.1894669334092</v>
      </c>
      <c r="E16" s="16">
        <f t="shared" si="4"/>
        <v>-14880.103613763418</v>
      </c>
      <c r="F16" s="17">
        <f t="shared" si="0"/>
        <v>-36.175973976801131</v>
      </c>
      <c r="G16" s="18">
        <f t="shared" si="1"/>
        <v>-14916.279587740219</v>
      </c>
      <c r="H16" s="15">
        <v>0</v>
      </c>
      <c r="I16" s="16">
        <f t="shared" si="5"/>
        <v>0</v>
      </c>
      <c r="J16" s="17">
        <f t="shared" si="6"/>
        <v>0</v>
      </c>
      <c r="K16" s="18">
        <f t="shared" si="2"/>
        <v>0</v>
      </c>
    </row>
    <row r="17" spans="1:11" x14ac:dyDescent="0.25">
      <c r="A17" s="13" t="s">
        <v>25</v>
      </c>
      <c r="B17" s="106" t="s">
        <v>417</v>
      </c>
      <c r="C17" s="14">
        <v>2.7000000000000001E-3</v>
      </c>
      <c r="D17" s="15">
        <f t="shared" si="3"/>
        <v>-2963.1894669334092</v>
      </c>
      <c r="E17" s="16">
        <f t="shared" si="4"/>
        <v>-17879.469054673627</v>
      </c>
      <c r="F17" s="17">
        <f t="shared" si="0"/>
        <v>-44.274260667258694</v>
      </c>
      <c r="G17" s="18">
        <f t="shared" si="1"/>
        <v>-17923.743315340886</v>
      </c>
      <c r="H17" s="15">
        <v>0</v>
      </c>
      <c r="I17" s="16">
        <f t="shared" si="5"/>
        <v>0</v>
      </c>
      <c r="J17" s="17">
        <f t="shared" si="6"/>
        <v>0</v>
      </c>
      <c r="K17" s="18">
        <f t="shared" si="2"/>
        <v>0</v>
      </c>
    </row>
    <row r="18" spans="1:11" x14ac:dyDescent="0.25">
      <c r="A18" s="13" t="s">
        <v>11</v>
      </c>
      <c r="B18" s="106" t="s">
        <v>417</v>
      </c>
      <c r="C18" s="14">
        <v>2.7000000000000001E-3</v>
      </c>
      <c r="D18" s="15">
        <f t="shared" si="3"/>
        <v>-2963.1894669334092</v>
      </c>
      <c r="E18" s="16">
        <f t="shared" si="4"/>
        <v>-20886.932782274296</v>
      </c>
      <c r="F18" s="17">
        <f t="shared" si="0"/>
        <v>-52.394412731780506</v>
      </c>
      <c r="G18" s="18">
        <f t="shared" si="1"/>
        <v>-20939.327195006077</v>
      </c>
      <c r="H18" s="15">
        <v>0</v>
      </c>
      <c r="I18" s="16">
        <f t="shared" si="5"/>
        <v>0</v>
      </c>
      <c r="J18" s="17">
        <f t="shared" si="6"/>
        <v>0</v>
      </c>
      <c r="K18" s="18">
        <f t="shared" si="2"/>
        <v>0</v>
      </c>
    </row>
    <row r="19" spans="1:11" x14ac:dyDescent="0.25">
      <c r="A19" s="13" t="s">
        <v>12</v>
      </c>
      <c r="B19" s="106" t="s">
        <v>417</v>
      </c>
      <c r="C19" s="14">
        <v>2.7000000000000001E-3</v>
      </c>
      <c r="D19" s="15">
        <f t="shared" si="3"/>
        <v>-2963.1894669334092</v>
      </c>
      <c r="E19" s="16">
        <f t="shared" si="4"/>
        <v>-23902.516661939488</v>
      </c>
      <c r="F19" s="17">
        <f t="shared" si="0"/>
        <v>-60.53648920687651</v>
      </c>
      <c r="G19" s="18">
        <f t="shared" si="1"/>
        <v>-23963.053151146363</v>
      </c>
      <c r="H19" s="15">
        <v>0</v>
      </c>
      <c r="I19" s="16">
        <f t="shared" si="5"/>
        <v>0</v>
      </c>
      <c r="J19" s="17">
        <f t="shared" si="6"/>
        <v>0</v>
      </c>
      <c r="K19" s="18">
        <f t="shared" si="2"/>
        <v>0</v>
      </c>
    </row>
    <row r="20" spans="1:11" x14ac:dyDescent="0.25">
      <c r="A20" s="13" t="s">
        <v>13</v>
      </c>
      <c r="B20" s="106" t="s">
        <v>417</v>
      </c>
      <c r="C20" s="14">
        <v>2.7000000000000001E-3</v>
      </c>
      <c r="D20" s="15">
        <f t="shared" si="3"/>
        <v>-2963.1894669334092</v>
      </c>
      <c r="E20" s="16">
        <f t="shared" si="4"/>
        <v>-26926.242618079774</v>
      </c>
      <c r="F20" s="17">
        <f t="shared" si="0"/>
        <v>-68.700549288455292</v>
      </c>
      <c r="G20" s="18">
        <f t="shared" si="1"/>
        <v>-26994.94316736823</v>
      </c>
      <c r="H20" s="15">
        <v>0</v>
      </c>
      <c r="I20" s="16">
        <f t="shared" si="5"/>
        <v>0</v>
      </c>
      <c r="J20" s="17">
        <f t="shared" si="6"/>
        <v>0</v>
      </c>
      <c r="K20" s="18">
        <f t="shared" si="2"/>
        <v>0</v>
      </c>
    </row>
    <row r="21" spans="1:11" x14ac:dyDescent="0.25">
      <c r="A21" s="13" t="s">
        <v>15</v>
      </c>
      <c r="B21" s="106" t="s">
        <v>417</v>
      </c>
      <c r="C21" s="14">
        <v>2.7000000000000001E-3</v>
      </c>
      <c r="D21" s="15">
        <f t="shared" si="3"/>
        <v>-2963.1894669334092</v>
      </c>
      <c r="E21" s="16">
        <f t="shared" si="4"/>
        <v>-29958.132634301641</v>
      </c>
      <c r="F21" s="17">
        <f t="shared" ref="F21:F35" si="7">(((E21+G20))/2)*$C21</f>
        <v>-76.886652332254329</v>
      </c>
      <c r="G21" s="18">
        <f t="shared" si="1"/>
        <v>-30035.019286633895</v>
      </c>
      <c r="H21" s="15">
        <v>0</v>
      </c>
      <c r="I21" s="16">
        <f t="shared" si="5"/>
        <v>0</v>
      </c>
      <c r="J21" s="17">
        <f t="shared" si="6"/>
        <v>0</v>
      </c>
      <c r="K21" s="18">
        <f t="shared" si="2"/>
        <v>0</v>
      </c>
    </row>
    <row r="22" spans="1:11" x14ac:dyDescent="0.25">
      <c r="A22" s="13" t="s">
        <v>14</v>
      </c>
      <c r="B22" s="106" t="s">
        <v>417</v>
      </c>
      <c r="C22" s="14">
        <v>2.7000000000000001E-3</v>
      </c>
      <c r="D22" s="15">
        <f t="shared" si="3"/>
        <v>-2963.1894669334092</v>
      </c>
      <c r="E22" s="16">
        <f t="shared" si="4"/>
        <v>-32998.208753567305</v>
      </c>
      <c r="F22" s="17">
        <f t="shared" si="7"/>
        <v>-85.094857854271623</v>
      </c>
      <c r="G22" s="18">
        <f t="shared" si="1"/>
        <v>-33083.303611421579</v>
      </c>
      <c r="H22" s="15">
        <v>0</v>
      </c>
      <c r="I22" s="16">
        <f t="shared" si="5"/>
        <v>0</v>
      </c>
      <c r="J22" s="17">
        <f t="shared" si="6"/>
        <v>0</v>
      </c>
      <c r="K22" s="18">
        <f t="shared" si="2"/>
        <v>0</v>
      </c>
    </row>
    <row r="23" spans="1:11" x14ac:dyDescent="0.25">
      <c r="A23" s="13" t="s">
        <v>6</v>
      </c>
      <c r="B23" s="106" t="s">
        <v>417</v>
      </c>
      <c r="C23" s="14">
        <v>2.7000000000000001E-3</v>
      </c>
      <c r="D23" s="15">
        <f t="shared" si="3"/>
        <v>-2963.1894669334092</v>
      </c>
      <c r="E23" s="16">
        <f t="shared" si="4"/>
        <v>-36046.493078354986</v>
      </c>
      <c r="F23" s="17">
        <f t="shared" si="7"/>
        <v>-93.325225531198356</v>
      </c>
      <c r="G23" s="16">
        <f t="shared" si="1"/>
        <v>-36139.818303886183</v>
      </c>
      <c r="H23" s="78">
        <v>0</v>
      </c>
      <c r="I23" s="16">
        <f t="shared" si="5"/>
        <v>0</v>
      </c>
      <c r="J23" s="17">
        <f t="shared" si="6"/>
        <v>0</v>
      </c>
      <c r="K23" s="18">
        <f t="shared" si="2"/>
        <v>0</v>
      </c>
    </row>
    <row r="24" spans="1:11" x14ac:dyDescent="0.25">
      <c r="A24" s="13" t="s">
        <v>7</v>
      </c>
      <c r="B24" s="106" t="s">
        <v>963</v>
      </c>
      <c r="C24" s="14">
        <v>2.7000000000000001E-3</v>
      </c>
      <c r="D24" s="15">
        <v>0</v>
      </c>
      <c r="E24" s="16">
        <f t="shared" si="4"/>
        <v>-36139.818303886183</v>
      </c>
      <c r="F24" s="17">
        <f t="shared" si="7"/>
        <v>-97.577509420492703</v>
      </c>
      <c r="G24" s="18">
        <f>E24+F24</f>
        <v>-36237.395813306677</v>
      </c>
      <c r="H24" s="15">
        <f>'WP-2016 True Up TRR Adj'!D8/12</f>
        <v>14336.350778301558</v>
      </c>
      <c r="I24" s="16">
        <f t="shared" si="5"/>
        <v>14336.350778301558</v>
      </c>
      <c r="J24" s="17">
        <f t="shared" si="6"/>
        <v>19.354073550707103</v>
      </c>
      <c r="K24" s="18">
        <f>I24+J24</f>
        <v>14355.704851852264</v>
      </c>
    </row>
    <row r="25" spans="1:11" x14ac:dyDescent="0.25">
      <c r="A25" s="13" t="s">
        <v>8</v>
      </c>
      <c r="B25" s="384" t="s">
        <v>963</v>
      </c>
      <c r="C25" s="14">
        <v>2.7000000000000001E-3</v>
      </c>
      <c r="D25" s="15">
        <v>0</v>
      </c>
      <c r="E25" s="16">
        <f t="shared" si="4"/>
        <v>-36237.395813306677</v>
      </c>
      <c r="F25" s="17">
        <f t="shared" si="7"/>
        <v>-97.840968695928026</v>
      </c>
      <c r="G25" s="18">
        <f t="shared" ref="G25:G35" si="8">E25+F25</f>
        <v>-36335.236782002605</v>
      </c>
      <c r="H25" s="15">
        <f t="shared" ref="H25:H35" si="9">H24</f>
        <v>14336.350778301558</v>
      </c>
      <c r="I25" s="16">
        <f t="shared" si="5"/>
        <v>28692.055630153824</v>
      </c>
      <c r="J25" s="17">
        <f t="shared" si="6"/>
        <v>58.11447665070822</v>
      </c>
      <c r="K25" s="18">
        <f t="shared" ref="K25:K35" si="10">I25+J25</f>
        <v>28750.170106804533</v>
      </c>
    </row>
    <row r="26" spans="1:11" x14ac:dyDescent="0.25">
      <c r="A26" s="13" t="s">
        <v>18</v>
      </c>
      <c r="B26" s="106" t="s">
        <v>963</v>
      </c>
      <c r="C26" s="14">
        <v>2.7000000000000001E-3</v>
      </c>
      <c r="D26" s="15">
        <v>0</v>
      </c>
      <c r="E26" s="16">
        <f t="shared" si="4"/>
        <v>-36335.236782002605</v>
      </c>
      <c r="F26" s="17">
        <f t="shared" si="7"/>
        <v>-98.105139311407044</v>
      </c>
      <c r="G26" s="18">
        <f t="shared" si="8"/>
        <v>-36433.341921314015</v>
      </c>
      <c r="H26" s="15">
        <f t="shared" si="9"/>
        <v>14336.350778301558</v>
      </c>
      <c r="I26" s="16">
        <f t="shared" si="5"/>
        <v>43086.520885106089</v>
      </c>
      <c r="J26" s="17">
        <f t="shared" si="6"/>
        <v>96.979532839079354</v>
      </c>
      <c r="K26" s="18">
        <f t="shared" si="10"/>
        <v>43183.500417945172</v>
      </c>
    </row>
    <row r="27" spans="1:11" x14ac:dyDescent="0.25">
      <c r="A27" s="13" t="s">
        <v>9</v>
      </c>
      <c r="B27" s="384" t="s">
        <v>963</v>
      </c>
      <c r="C27" s="14">
        <v>2.8999999999999998E-3</v>
      </c>
      <c r="D27" s="15">
        <v>0</v>
      </c>
      <c r="E27" s="16">
        <f t="shared" si="4"/>
        <v>-36433.341921314015</v>
      </c>
      <c r="F27" s="17">
        <f t="shared" si="7"/>
        <v>-105.65669157181064</v>
      </c>
      <c r="G27" s="18">
        <f t="shared" si="8"/>
        <v>-36538.998612885829</v>
      </c>
      <c r="H27" s="15">
        <f t="shared" si="9"/>
        <v>14336.350778301558</v>
      </c>
      <c r="I27" s="16">
        <f t="shared" si="5"/>
        <v>57519.851196246731</v>
      </c>
      <c r="J27" s="17">
        <f t="shared" si="6"/>
        <v>146.01985984057825</v>
      </c>
      <c r="K27" s="18">
        <f t="shared" si="10"/>
        <v>57665.871056087308</v>
      </c>
    </row>
    <row r="28" spans="1:11" x14ac:dyDescent="0.25">
      <c r="A28" s="13" t="s">
        <v>10</v>
      </c>
      <c r="B28" s="106" t="s">
        <v>963</v>
      </c>
      <c r="C28" s="14">
        <v>2.8999999999999998E-3</v>
      </c>
      <c r="D28" s="15">
        <v>0</v>
      </c>
      <c r="E28" s="16">
        <f t="shared" si="4"/>
        <v>-36538.998612885829</v>
      </c>
      <c r="F28" s="17">
        <f t="shared" si="7"/>
        <v>-105.96309597736889</v>
      </c>
      <c r="G28" s="18">
        <f t="shared" si="8"/>
        <v>-36644.9617088632</v>
      </c>
      <c r="H28" s="15">
        <f t="shared" si="9"/>
        <v>14336.350778301558</v>
      </c>
      <c r="I28" s="16">
        <f t="shared" si="5"/>
        <v>72002.221834388867</v>
      </c>
      <c r="J28" s="17">
        <f t="shared" si="6"/>
        <v>188.01873469119042</v>
      </c>
      <c r="K28" s="18">
        <f t="shared" si="10"/>
        <v>72190.240569080052</v>
      </c>
    </row>
    <row r="29" spans="1:11" x14ac:dyDescent="0.25">
      <c r="A29" s="13" t="s">
        <v>25</v>
      </c>
      <c r="B29" s="384" t="s">
        <v>963</v>
      </c>
      <c r="C29" s="14">
        <v>2.8999999999999998E-3</v>
      </c>
      <c r="D29" s="15">
        <v>0</v>
      </c>
      <c r="E29" s="16">
        <f t="shared" si="4"/>
        <v>-36644.9617088632</v>
      </c>
      <c r="F29" s="17">
        <f t="shared" si="7"/>
        <v>-106.27038895570327</v>
      </c>
      <c r="G29" s="18">
        <f t="shared" si="8"/>
        <v>-36751.232097818902</v>
      </c>
      <c r="H29" s="15">
        <f t="shared" si="9"/>
        <v>14336.350778301558</v>
      </c>
      <c r="I29" s="16">
        <f t="shared" si="5"/>
        <v>86526.591347381604</v>
      </c>
      <c r="J29" s="17">
        <f t="shared" si="6"/>
        <v>230.13940627886936</v>
      </c>
      <c r="K29" s="18">
        <f t="shared" si="10"/>
        <v>86756.730753660479</v>
      </c>
    </row>
    <row r="30" spans="1:11" x14ac:dyDescent="0.25">
      <c r="A30" s="13" t="s">
        <v>11</v>
      </c>
      <c r="B30" s="106" t="s">
        <v>963</v>
      </c>
      <c r="C30" s="14">
        <v>2.8999999999999998E-3</v>
      </c>
      <c r="D30" s="15">
        <v>0</v>
      </c>
      <c r="E30" s="16">
        <f t="shared" si="4"/>
        <v>-36751.232097818902</v>
      </c>
      <c r="F30" s="17">
        <f t="shared" si="7"/>
        <v>-106.57857308367481</v>
      </c>
      <c r="G30" s="18">
        <f t="shared" si="8"/>
        <v>-36857.810670902574</v>
      </c>
      <c r="H30" s="15">
        <f t="shared" si="9"/>
        <v>14336.350778301558</v>
      </c>
      <c r="I30" s="16">
        <f t="shared" si="5"/>
        <v>101093.08153196203</v>
      </c>
      <c r="J30" s="17">
        <f t="shared" si="6"/>
        <v>272.38222781415266</v>
      </c>
      <c r="K30" s="18">
        <f t="shared" si="10"/>
        <v>101365.46375977619</v>
      </c>
    </row>
    <row r="31" spans="1:11" x14ac:dyDescent="0.25">
      <c r="A31" s="13" t="s">
        <v>12</v>
      </c>
      <c r="B31" s="384" t="s">
        <v>963</v>
      </c>
      <c r="C31" s="14">
        <v>2.8999999999999998E-3</v>
      </c>
      <c r="D31" s="15">
        <v>0</v>
      </c>
      <c r="E31" s="16">
        <f t="shared" si="4"/>
        <v>-36857.810670902574</v>
      </c>
      <c r="F31" s="17">
        <f t="shared" si="7"/>
        <v>-106.88765094561745</v>
      </c>
      <c r="G31" s="18">
        <f t="shared" si="8"/>
        <v>-36964.698321848191</v>
      </c>
      <c r="H31" s="15">
        <f t="shared" si="9"/>
        <v>14336.350778301558</v>
      </c>
      <c r="I31" s="16">
        <f t="shared" si="5"/>
        <v>115701.81453807774</v>
      </c>
      <c r="J31" s="17">
        <f t="shared" si="6"/>
        <v>314.74755353188823</v>
      </c>
      <c r="K31" s="18">
        <f t="shared" si="10"/>
        <v>116016.56209160964</v>
      </c>
    </row>
    <row r="32" spans="1:11" x14ac:dyDescent="0.25">
      <c r="A32" s="13" t="s">
        <v>13</v>
      </c>
      <c r="B32" s="106" t="s">
        <v>963</v>
      </c>
      <c r="C32" s="14">
        <v>2.8999999999999998E-3</v>
      </c>
      <c r="D32" s="15">
        <v>0</v>
      </c>
      <c r="E32" s="16">
        <f t="shared" si="4"/>
        <v>-36964.698321848191</v>
      </c>
      <c r="F32" s="17">
        <f t="shared" si="7"/>
        <v>-107.19762513335975</v>
      </c>
      <c r="G32" s="18">
        <f t="shared" si="8"/>
        <v>-37071.895946981553</v>
      </c>
      <c r="H32" s="15">
        <f t="shared" si="9"/>
        <v>14336.350778301558</v>
      </c>
      <c r="I32" s="16">
        <f t="shared" si="5"/>
        <v>130352.91286991119</v>
      </c>
      <c r="J32" s="17">
        <f t="shared" si="6"/>
        <v>357.23573869420517</v>
      </c>
      <c r="K32" s="18">
        <f t="shared" si="10"/>
        <v>130710.14860860539</v>
      </c>
    </row>
    <row r="33" spans="1:12" x14ac:dyDescent="0.25">
      <c r="A33" s="13" t="s">
        <v>15</v>
      </c>
      <c r="B33" s="384" t="s">
        <v>963</v>
      </c>
      <c r="C33" s="14">
        <v>2.8999999999999998E-3</v>
      </c>
      <c r="D33" s="15">
        <v>0</v>
      </c>
      <c r="E33" s="16">
        <f t="shared" si="4"/>
        <v>-37071.895946981553</v>
      </c>
      <c r="F33" s="17">
        <f t="shared" si="7"/>
        <v>-107.50849824624649</v>
      </c>
      <c r="G33" s="18">
        <f t="shared" si="8"/>
        <v>-37179.404445227796</v>
      </c>
      <c r="H33" s="15">
        <f t="shared" si="9"/>
        <v>14336.350778301558</v>
      </c>
      <c r="I33" s="16">
        <f t="shared" si="5"/>
        <v>145046.49938690694</v>
      </c>
      <c r="J33" s="17">
        <f t="shared" si="6"/>
        <v>399.8471395934929</v>
      </c>
      <c r="K33" s="18">
        <f t="shared" si="10"/>
        <v>145446.34652650045</v>
      </c>
    </row>
    <row r="34" spans="1:12" x14ac:dyDescent="0.25">
      <c r="A34" s="13" t="s">
        <v>14</v>
      </c>
      <c r="B34" s="106" t="s">
        <v>963</v>
      </c>
      <c r="C34" s="14">
        <v>2.8999999999999998E-3</v>
      </c>
      <c r="D34" s="15">
        <v>0</v>
      </c>
      <c r="E34" s="16">
        <f t="shared" si="4"/>
        <v>-37179.404445227796</v>
      </c>
      <c r="F34" s="17">
        <f t="shared" si="7"/>
        <v>-107.8202728911606</v>
      </c>
      <c r="G34" s="18">
        <f t="shared" si="8"/>
        <v>-37287.22471811896</v>
      </c>
      <c r="H34" s="15">
        <f t="shared" si="9"/>
        <v>14336.350778301558</v>
      </c>
      <c r="I34" s="16">
        <f t="shared" si="5"/>
        <v>159782.69730480202</v>
      </c>
      <c r="J34" s="17">
        <f t="shared" si="6"/>
        <v>442.5821135553885</v>
      </c>
      <c r="K34" s="18">
        <f t="shared" si="10"/>
        <v>160225.27941835742</v>
      </c>
    </row>
    <row r="35" spans="1:12" x14ac:dyDescent="0.25">
      <c r="A35" s="13" t="s">
        <v>6</v>
      </c>
      <c r="B35" s="384" t="s">
        <v>963</v>
      </c>
      <c r="C35" s="14">
        <v>2.8999999999999998E-3</v>
      </c>
      <c r="D35" s="15">
        <v>0</v>
      </c>
      <c r="E35" s="16">
        <f t="shared" si="4"/>
        <v>-37287.22471811896</v>
      </c>
      <c r="F35" s="17">
        <f t="shared" si="7"/>
        <v>-108.13295168254497</v>
      </c>
      <c r="G35" s="16">
        <f t="shared" si="8"/>
        <v>-37395.357669801502</v>
      </c>
      <c r="H35" s="78">
        <f t="shared" si="9"/>
        <v>14336.350778301558</v>
      </c>
      <c r="I35" s="16">
        <f t="shared" si="5"/>
        <v>174561.63019665898</v>
      </c>
      <c r="J35" s="17">
        <f t="shared" si="6"/>
        <v>485.44101894177379</v>
      </c>
      <c r="K35" s="18">
        <f t="shared" si="10"/>
        <v>175047.07121560076</v>
      </c>
    </row>
    <row r="36" spans="1:12" s="81" customFormat="1" ht="15.75" thickBot="1" x14ac:dyDescent="0.3">
      <c r="A36" s="209"/>
      <c r="B36" s="210"/>
      <c r="C36" s="210"/>
      <c r="D36" s="211">
        <f>SUM(D12:D35)</f>
        <v>-35558.27360320092</v>
      </c>
      <c r="E36" s="107"/>
      <c r="F36" s="79" t="s">
        <v>30</v>
      </c>
      <c r="G36" s="211">
        <f>G35</f>
        <v>-37395.357669801502</v>
      </c>
      <c r="H36" s="212">
        <f>SUM(H12:H35)</f>
        <v>172036.20933961868</v>
      </c>
      <c r="I36" s="107"/>
      <c r="J36" s="79" t="s">
        <v>30</v>
      </c>
      <c r="K36" s="80">
        <f>K35</f>
        <v>175047.07121560076</v>
      </c>
    </row>
    <row r="37" spans="1:12" ht="26.25" customHeight="1" thickBot="1" x14ac:dyDescent="0.4">
      <c r="A37" s="34"/>
      <c r="B37" s="35"/>
      <c r="C37" s="35"/>
      <c r="D37" s="35"/>
      <c r="E37" s="35"/>
      <c r="F37" s="35"/>
      <c r="G37" s="35"/>
      <c r="H37" s="34"/>
      <c r="I37" s="108"/>
      <c r="J37" s="98" t="s">
        <v>423</v>
      </c>
      <c r="K37" s="219">
        <f>SUM(G36,K36)</f>
        <v>137651.71354579926</v>
      </c>
      <c r="L37" s="13"/>
    </row>
    <row r="38" spans="1:12" x14ac:dyDescent="0.25">
      <c r="I38" s="81"/>
      <c r="J38" s="81"/>
      <c r="K38" s="81"/>
    </row>
    <row r="39" spans="1:12" x14ac:dyDescent="0.25">
      <c r="E39" s="19"/>
    </row>
    <row r="41" spans="1:12" x14ac:dyDescent="0.25">
      <c r="A41" s="20"/>
      <c r="F41" s="41"/>
    </row>
    <row r="42" spans="1:12" x14ac:dyDescent="0.25">
      <c r="E42" s="21"/>
    </row>
    <row r="47" spans="1:12" x14ac:dyDescent="0.25">
      <c r="A47" s="20"/>
    </row>
    <row r="51" spans="4:6" x14ac:dyDescent="0.25">
      <c r="D51" s="22"/>
      <c r="F51" s="23"/>
    </row>
    <row r="52" spans="4:6" x14ac:dyDescent="0.25">
      <c r="E52" s="24"/>
    </row>
    <row r="53" spans="4:6" x14ac:dyDescent="0.25">
      <c r="F53" s="25"/>
    </row>
    <row r="55" spans="4:6" x14ac:dyDescent="0.25">
      <c r="E55" s="24"/>
      <c r="F55" s="23"/>
    </row>
  </sheetData>
  <mergeCells count="2">
    <mergeCell ref="H5:K5"/>
    <mergeCell ref="A5:G5"/>
  </mergeCells>
  <printOptions horizontalCentered="1"/>
  <pageMargins left="0.7" right="0.7" top="0.75" bottom="0.75" header="0.3" footer="0.3"/>
  <pageSetup scale="81" fitToHeight="0" orientation="landscape" cellComments="asDisplayed" r:id="rId1"/>
  <headerFooter>
    <oddHeader>&amp;RExhibit SCE-29
TO2019A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7"/>
  <sheetViews>
    <sheetView zoomScaleNormal="100" workbookViewId="0"/>
  </sheetViews>
  <sheetFormatPr defaultRowHeight="15" x14ac:dyDescent="0.25"/>
  <cols>
    <col min="1" max="2" width="9.140625" style="189"/>
    <col min="3" max="3" width="18.5703125" style="189" customWidth="1"/>
    <col min="4" max="4" width="14" style="189" bestFit="1" customWidth="1"/>
    <col min="5" max="5" width="12.5703125" style="189" customWidth="1"/>
    <col min="6" max="6" width="12" style="189" customWidth="1"/>
    <col min="7" max="7" width="13.85546875" style="189" customWidth="1"/>
    <col min="8" max="16384" width="9.140625" style="189"/>
  </cols>
  <sheetData>
    <row r="2" spans="1:8" ht="21" customHeight="1" x14ac:dyDescent="0.25"/>
    <row r="3" spans="1:8" ht="15" customHeight="1" x14ac:dyDescent="0.25">
      <c r="A3" s="506" t="s">
        <v>284</v>
      </c>
      <c r="B3" s="506"/>
      <c r="C3" s="506"/>
      <c r="D3" s="506"/>
      <c r="E3" s="506"/>
      <c r="F3" s="506"/>
      <c r="G3" s="506"/>
    </row>
    <row r="4" spans="1:8" ht="15" customHeight="1" x14ac:dyDescent="0.25">
      <c r="A4" s="506"/>
      <c r="B4" s="506"/>
      <c r="C4" s="506"/>
      <c r="D4" s="506"/>
      <c r="E4" s="506"/>
      <c r="F4" s="506"/>
      <c r="G4" s="506"/>
    </row>
    <row r="5" spans="1:8" x14ac:dyDescent="0.25">
      <c r="A5" s="507" t="s">
        <v>31</v>
      </c>
      <c r="B5" s="507"/>
      <c r="C5" s="507"/>
      <c r="D5" s="188" t="s">
        <v>32</v>
      </c>
      <c r="E5" s="508" t="s">
        <v>33</v>
      </c>
      <c r="F5" s="508"/>
      <c r="G5" s="508"/>
      <c r="H5" s="190"/>
    </row>
    <row r="6" spans="1:8" ht="49.5" customHeight="1" x14ac:dyDescent="0.25">
      <c r="A6" s="509" t="s">
        <v>437</v>
      </c>
      <c r="B6" s="503"/>
      <c r="C6" s="504"/>
      <c r="D6" s="203">
        <v>970250474</v>
      </c>
      <c r="E6" s="510" t="s">
        <v>438</v>
      </c>
      <c r="F6" s="505"/>
      <c r="G6" s="505"/>
    </row>
    <row r="7" spans="1:8" ht="50.25" customHeight="1" x14ac:dyDescent="0.25">
      <c r="A7" s="558" t="s">
        <v>1003</v>
      </c>
      <c r="B7" s="503"/>
      <c r="C7" s="504"/>
      <c r="D7" s="204">
        <v>970214915.7263968</v>
      </c>
      <c r="E7" s="557" t="s">
        <v>1002</v>
      </c>
      <c r="F7" s="505"/>
      <c r="G7" s="505"/>
    </row>
    <row r="8" spans="1:8" x14ac:dyDescent="0.25">
      <c r="A8" s="513" t="s">
        <v>34</v>
      </c>
      <c r="B8" s="513"/>
      <c r="C8" s="514"/>
      <c r="D8" s="205">
        <f>D7-D6</f>
        <v>-35558.273603200912</v>
      </c>
      <c r="E8" s="515"/>
      <c r="F8" s="515"/>
      <c r="G8" s="515"/>
    </row>
    <row r="11" spans="1:8" x14ac:dyDescent="0.25">
      <c r="A11" s="189" t="s">
        <v>273</v>
      </c>
    </row>
    <row r="12" spans="1:8" x14ac:dyDescent="0.25">
      <c r="A12" s="516" t="s">
        <v>439</v>
      </c>
      <c r="B12" s="512"/>
      <c r="C12" s="512"/>
      <c r="D12" s="512"/>
      <c r="E12" s="512"/>
      <c r="F12" s="512"/>
      <c r="G12" s="512"/>
      <c r="H12" s="512"/>
    </row>
    <row r="13" spans="1:8" x14ac:dyDescent="0.25">
      <c r="A13" s="226" t="s">
        <v>440</v>
      </c>
    </row>
    <row r="14" spans="1:8" x14ac:dyDescent="0.25">
      <c r="A14" s="511"/>
      <c r="B14" s="512"/>
      <c r="C14" s="512"/>
      <c r="D14" s="512"/>
      <c r="E14" s="512"/>
      <c r="F14" s="512"/>
      <c r="G14" s="512"/>
      <c r="H14" s="512"/>
    </row>
    <row r="15" spans="1:8" x14ac:dyDescent="0.25">
      <c r="A15" s="218"/>
    </row>
    <row r="16" spans="1:8" x14ac:dyDescent="0.25">
      <c r="A16" s="511"/>
      <c r="B16" s="512"/>
      <c r="C16" s="512"/>
      <c r="D16" s="512"/>
      <c r="E16" s="512"/>
      <c r="F16" s="512"/>
      <c r="G16" s="512"/>
      <c r="H16" s="512"/>
    </row>
    <row r="17" spans="1:1" x14ac:dyDescent="0.25">
      <c r="A17" s="218"/>
    </row>
  </sheetData>
  <mergeCells count="12">
    <mergeCell ref="A14:H14"/>
    <mergeCell ref="A16:H16"/>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&amp;RExhibit SCE-29
TO2019A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0.85546875" bestFit="1" customWidth="1"/>
  </cols>
  <sheetData>
    <row r="1" spans="1:10" x14ac:dyDescent="0.2">
      <c r="A1" s="109" t="s">
        <v>35</v>
      </c>
    </row>
    <row r="2" spans="1:10" x14ac:dyDescent="0.2">
      <c r="H2" s="110"/>
    </row>
    <row r="3" spans="1:10" x14ac:dyDescent="0.2">
      <c r="B3" s="111" t="s">
        <v>36</v>
      </c>
    </row>
    <row r="4" spans="1:10" x14ac:dyDescent="0.2">
      <c r="B4" s="112"/>
      <c r="F4" s="113" t="s">
        <v>37</v>
      </c>
      <c r="G4" s="113"/>
      <c r="H4" s="113" t="s">
        <v>38</v>
      </c>
    </row>
    <row r="5" spans="1:10" x14ac:dyDescent="0.2">
      <c r="A5" s="114" t="s">
        <v>39</v>
      </c>
      <c r="B5" s="115"/>
      <c r="C5" s="116" t="s">
        <v>40</v>
      </c>
      <c r="F5" s="117" t="s">
        <v>41</v>
      </c>
      <c r="G5" s="117" t="s">
        <v>42</v>
      </c>
      <c r="H5" s="117" t="s">
        <v>43</v>
      </c>
      <c r="J5" s="117" t="s">
        <v>32</v>
      </c>
    </row>
    <row r="6" spans="1:10" x14ac:dyDescent="0.2">
      <c r="A6" s="118">
        <v>1</v>
      </c>
      <c r="B6" s="110"/>
      <c r="C6" s="119" t="s">
        <v>44</v>
      </c>
      <c r="D6" s="110"/>
      <c r="E6" s="110"/>
      <c r="F6" s="110" t="s">
        <v>45</v>
      </c>
      <c r="G6" s="110"/>
      <c r="H6" s="119" t="str">
        <f>"6-PlantInService, Line "&amp;'[15]6-PlantInService'!A42&amp;""</f>
        <v>6-PlantInService, Line 18</v>
      </c>
      <c r="I6" s="110"/>
      <c r="J6" s="120">
        <f>'[15]6-PlantInService'!D42</f>
        <v>7336125811.7188454</v>
      </c>
    </row>
    <row r="7" spans="1:10" x14ac:dyDescent="0.2">
      <c r="A7" s="118">
        <f>A6+1</f>
        <v>2</v>
      </c>
      <c r="B7" s="110"/>
      <c r="C7" s="119" t="s">
        <v>46</v>
      </c>
      <c r="D7" s="110"/>
      <c r="E7" s="110"/>
      <c r="F7" s="110" t="s">
        <v>47</v>
      </c>
      <c r="G7" s="110"/>
      <c r="H7" s="119" t="str">
        <f>"6-PlantInService, Line "&amp;'[15]6-PlantInService'!A58&amp;""</f>
        <v>6-PlantInService, Line 24</v>
      </c>
      <c r="I7" s="110"/>
      <c r="J7" s="126">
        <f>'[15]6-PlantInService'!F58</f>
        <v>270627473.33784723</v>
      </c>
    </row>
    <row r="8" spans="1:10" x14ac:dyDescent="0.2">
      <c r="A8" s="118">
        <f>A7+1</f>
        <v>3</v>
      </c>
      <c r="B8" s="110"/>
      <c r="C8" s="119" t="s">
        <v>48</v>
      </c>
      <c r="D8" s="110"/>
      <c r="E8" s="110"/>
      <c r="F8" s="110" t="s">
        <v>47</v>
      </c>
      <c r="G8" s="110"/>
      <c r="H8" s="110" t="str">
        <f>"11-PHFU, Line "&amp;'[15]11-PHFU'!A41&amp;""</f>
        <v>11-PHFU, Line 9</v>
      </c>
      <c r="I8" s="110"/>
      <c r="J8" s="120">
        <f>'[15]11-PHFU'!D41</f>
        <v>9942155</v>
      </c>
    </row>
    <row r="9" spans="1:10" x14ac:dyDescent="0.2">
      <c r="A9" s="118">
        <f>A8+1</f>
        <v>4</v>
      </c>
      <c r="B9" s="110"/>
      <c r="C9" s="119" t="s">
        <v>49</v>
      </c>
      <c r="D9" s="110"/>
      <c r="E9" s="110"/>
      <c r="F9" s="110" t="s">
        <v>47</v>
      </c>
      <c r="G9" s="110"/>
      <c r="H9" s="121" t="str">
        <f>"12-AbandonedPlant Line "&amp;'[15]12-AbandonedPlant'!A21&amp;""</f>
        <v>12-AbandonedPlant Line 4</v>
      </c>
      <c r="I9" s="110"/>
      <c r="J9" s="120">
        <f>'[15]12-AbandonedPlant'!G21</f>
        <v>0</v>
      </c>
    </row>
    <row r="10" spans="1:10" ht="15.75" x14ac:dyDescent="0.25">
      <c r="A10" s="118"/>
      <c r="B10" s="224"/>
      <c r="C10" s="119"/>
      <c r="D10" s="110"/>
      <c r="E10" s="110"/>
      <c r="F10" s="110"/>
      <c r="G10" s="110"/>
      <c r="H10" s="110"/>
      <c r="I10" s="110"/>
      <c r="J10" s="120"/>
    </row>
    <row r="11" spans="1:10" x14ac:dyDescent="0.2">
      <c r="A11" s="118"/>
      <c r="B11" s="110"/>
      <c r="C11" s="122" t="s">
        <v>50</v>
      </c>
      <c r="D11" s="110"/>
      <c r="E11" s="110"/>
      <c r="F11" s="110"/>
      <c r="G11" s="110"/>
      <c r="H11" s="110"/>
      <c r="I11" s="110"/>
      <c r="J11" s="120"/>
    </row>
    <row r="12" spans="1:10" x14ac:dyDescent="0.2">
      <c r="A12" s="118">
        <f>A9+1</f>
        <v>5</v>
      </c>
      <c r="B12" s="110"/>
      <c r="C12" s="123" t="s">
        <v>51</v>
      </c>
      <c r="D12" s="110"/>
      <c r="E12" s="110"/>
      <c r="F12" s="110" t="s">
        <v>45</v>
      </c>
      <c r="G12" s="110"/>
      <c r="H12" s="119" t="str">
        <f>"13-WorkCap, Line "&amp;'[15]13-WorkCap'!A27&amp;""</f>
        <v>13-WorkCap, Line 17</v>
      </c>
      <c r="I12" s="110"/>
      <c r="J12" s="126">
        <f>'[15]13-WorkCap'!F27</f>
        <v>15777539.567100493</v>
      </c>
    </row>
    <row r="13" spans="1:10" x14ac:dyDescent="0.2">
      <c r="A13" s="118">
        <f>A12+1</f>
        <v>6</v>
      </c>
      <c r="B13" s="110"/>
      <c r="C13" s="124" t="s">
        <v>52</v>
      </c>
      <c r="D13" s="110"/>
      <c r="E13" s="110"/>
      <c r="F13" s="110" t="s">
        <v>45</v>
      </c>
      <c r="G13" s="110"/>
      <c r="H13" s="119" t="str">
        <f>"13-WorkCap, Line "&amp;'[15]13-WorkCap'!A51&amp;""</f>
        <v>13-WorkCap, Line 33</v>
      </c>
      <c r="I13" s="110"/>
      <c r="J13" s="126">
        <f>'[15]13-WorkCap'!F51</f>
        <v>5071512.3926396742</v>
      </c>
    </row>
    <row r="14" spans="1:10" x14ac:dyDescent="0.2">
      <c r="A14" s="118">
        <f>A13+1</f>
        <v>7</v>
      </c>
      <c r="B14" s="110"/>
      <c r="C14" s="123" t="s">
        <v>53</v>
      </c>
      <c r="D14" s="110"/>
      <c r="E14" s="110"/>
      <c r="F14" s="121" t="s">
        <v>54</v>
      </c>
      <c r="G14" s="110"/>
      <c r="H14" s="110" t="str">
        <f>"1-Base TRR Line "&amp;'[15]1-BaseTRR'!A17&amp;""</f>
        <v>1-Base TRR Line 7</v>
      </c>
      <c r="I14" s="110"/>
      <c r="J14" s="125">
        <f>'[15]1-BaseTRR'!K17</f>
        <v>8206986.4563380685</v>
      </c>
    </row>
    <row r="15" spans="1:10" x14ac:dyDescent="0.2">
      <c r="A15" s="118">
        <f>A14+1</f>
        <v>8</v>
      </c>
      <c r="B15" s="110"/>
      <c r="C15" s="123" t="s">
        <v>55</v>
      </c>
      <c r="D15" s="110"/>
      <c r="E15" s="110"/>
      <c r="F15" s="110"/>
      <c r="G15" s="110"/>
      <c r="H15" s="110" t="str">
        <f>"Line "&amp;A12&amp;" + Line "&amp;A13&amp;" + Line "&amp;A14&amp;""</f>
        <v>Line 5 + Line 6 + Line 7</v>
      </c>
      <c r="I15" s="110"/>
      <c r="J15" s="126">
        <f>SUM(J12:J14)</f>
        <v>29056038.41607824</v>
      </c>
    </row>
    <row r="16" spans="1:10" x14ac:dyDescent="0.2">
      <c r="A16" s="118"/>
      <c r="B16" s="110"/>
      <c r="C16" s="123"/>
      <c r="D16" s="110"/>
      <c r="E16" s="110"/>
      <c r="F16" s="110"/>
      <c r="G16" s="110"/>
      <c r="H16" s="110"/>
      <c r="I16" s="110"/>
      <c r="J16" s="120"/>
    </row>
    <row r="17" spans="1:10" x14ac:dyDescent="0.2">
      <c r="A17" s="118"/>
      <c r="B17" s="110"/>
      <c r="C17" s="127" t="s">
        <v>56</v>
      </c>
      <c r="D17" s="110"/>
      <c r="E17" s="110"/>
      <c r="F17" s="110"/>
      <c r="G17" s="110"/>
      <c r="H17" s="110"/>
      <c r="I17" s="110"/>
      <c r="J17" s="120"/>
    </row>
    <row r="18" spans="1:10" x14ac:dyDescent="0.2">
      <c r="A18" s="118">
        <f>A15+1</f>
        <v>9</v>
      </c>
      <c r="B18" s="110"/>
      <c r="C18" s="123" t="s">
        <v>57</v>
      </c>
      <c r="D18" s="110"/>
      <c r="E18" s="110"/>
      <c r="F18" s="110" t="s">
        <v>45</v>
      </c>
      <c r="G18" s="110" t="s">
        <v>58</v>
      </c>
      <c r="H18" s="119" t="str">
        <f>"8-AccDep, Line "&amp;'[15]8-AccDep'!A25&amp;", Col. 12"</f>
        <v>8-AccDep, Line 14, Col. 12</v>
      </c>
      <c r="I18" s="110"/>
      <c r="J18" s="120">
        <f>-'[15]8-AccDep'!N25</f>
        <v>-1246135909.221061</v>
      </c>
    </row>
    <row r="19" spans="1:10" x14ac:dyDescent="0.2">
      <c r="A19" s="118">
        <f>A18+1</f>
        <v>10</v>
      </c>
      <c r="B19" s="110"/>
      <c r="C19" s="123" t="s">
        <v>59</v>
      </c>
      <c r="D19" s="110"/>
      <c r="E19" s="110"/>
      <c r="F19" s="110" t="s">
        <v>47</v>
      </c>
      <c r="G19" s="110" t="s">
        <v>58</v>
      </c>
      <c r="H19" s="119" t="str">
        <f>"8-AccDep, Line "&amp;'[15]8-AccDep'!A35&amp;", Col. 5"</f>
        <v>8-AccDep, Line 17, Col. 5</v>
      </c>
      <c r="I19" s="110"/>
      <c r="J19" s="120">
        <f>-'[15]8-AccDep'!G35</f>
        <v>0</v>
      </c>
    </row>
    <row r="20" spans="1:10" x14ac:dyDescent="0.2">
      <c r="A20" s="118">
        <f>A19+1</f>
        <v>11</v>
      </c>
      <c r="B20" s="110"/>
      <c r="C20" s="123" t="s">
        <v>60</v>
      </c>
      <c r="D20" s="47"/>
      <c r="E20" s="110"/>
      <c r="F20" s="110" t="s">
        <v>47</v>
      </c>
      <c r="G20" s="110" t="s">
        <v>58</v>
      </c>
      <c r="H20" s="119" t="str">
        <f>"8-AccDep, Line "&amp;'[15]8-AccDep'!A53&amp;""</f>
        <v>8-AccDep, Line 23</v>
      </c>
      <c r="I20" s="110"/>
      <c r="J20" s="125">
        <f>-'[15]8-AccDep'!F53</f>
        <v>-117525593.7932701</v>
      </c>
    </row>
    <row r="21" spans="1:10" x14ac:dyDescent="0.2">
      <c r="A21" s="118">
        <f>A20+1</f>
        <v>12</v>
      </c>
      <c r="B21" s="110"/>
      <c r="C21" s="48" t="s">
        <v>61</v>
      </c>
      <c r="D21" s="47"/>
      <c r="E21" s="110"/>
      <c r="F21" s="110"/>
      <c r="G21" s="110"/>
      <c r="H21" s="110" t="str">
        <f>"Line "&amp;A18&amp;" + Line "&amp;A19&amp;" + Line "&amp;A20&amp;""</f>
        <v>Line 9 + Line 10 + Line 11</v>
      </c>
      <c r="I21" s="110"/>
      <c r="J21" s="126">
        <f>SUM(J18:J20)</f>
        <v>-1363661503.0143311</v>
      </c>
    </row>
    <row r="22" spans="1:10" x14ac:dyDescent="0.2">
      <c r="A22" s="118"/>
      <c r="B22" s="110"/>
      <c r="C22" s="121"/>
      <c r="D22" s="110"/>
      <c r="E22" s="110"/>
      <c r="F22" s="110"/>
      <c r="G22" s="110"/>
      <c r="H22" s="110"/>
      <c r="I22" s="110"/>
      <c r="J22" s="120"/>
    </row>
    <row r="23" spans="1:10" x14ac:dyDescent="0.2">
      <c r="A23" s="118">
        <f>A21+1</f>
        <v>13</v>
      </c>
      <c r="B23" s="110"/>
      <c r="C23" s="129" t="s">
        <v>62</v>
      </c>
      <c r="D23" s="110"/>
      <c r="E23" s="110"/>
      <c r="F23" s="110" t="s">
        <v>47</v>
      </c>
      <c r="G23" s="110"/>
      <c r="H23" s="119" t="str">
        <f>"9-ADIT, Line "&amp;'[15]9-ADIT'!A24&amp;""</f>
        <v>9-ADIT, Line 15</v>
      </c>
      <c r="I23" s="110"/>
      <c r="J23" s="126">
        <f>'[15]9-ADIT'!D24</f>
        <v>-1289565209.3954203</v>
      </c>
    </row>
    <row r="24" spans="1:10" x14ac:dyDescent="0.2">
      <c r="A24" s="118">
        <f>A23+1</f>
        <v>14</v>
      </c>
      <c r="B24" s="110"/>
      <c r="C24" s="119" t="s">
        <v>63</v>
      </c>
      <c r="D24" s="110"/>
      <c r="E24" s="110"/>
      <c r="F24" s="110" t="s">
        <v>45</v>
      </c>
      <c r="G24" s="110"/>
      <c r="H24" s="119" t="str">
        <f>"14-IncentivePlant, L "&amp;'[15]14-IncentivePlant'!A37&amp;", C2"</f>
        <v>14-IncentivePlant, L 12, C2</v>
      </c>
      <c r="I24" s="110"/>
      <c r="J24" s="120">
        <f>'[15]14-IncentivePlant'!F37</f>
        <v>378577965.22230768</v>
      </c>
    </row>
    <row r="25" spans="1:10" x14ac:dyDescent="0.2">
      <c r="A25" s="118">
        <f>A24+1</f>
        <v>15</v>
      </c>
      <c r="B25" s="110"/>
      <c r="C25" s="129" t="s">
        <v>64</v>
      </c>
      <c r="D25" s="110"/>
      <c r="E25" s="110"/>
      <c r="F25" s="110" t="s">
        <v>47</v>
      </c>
      <c r="G25" s="110" t="s">
        <v>58</v>
      </c>
      <c r="H25" s="119" t="str">
        <f>"22-NUCs, Line "&amp;'[15]22-NUCs'!A17&amp;""</f>
        <v>22-NUCs, Line 9</v>
      </c>
      <c r="I25" s="110"/>
      <c r="J25" s="120">
        <f>-'[15]22-NUCs'!E17</f>
        <v>-31931714</v>
      </c>
    </row>
    <row r="26" spans="1:10" x14ac:dyDescent="0.2">
      <c r="A26" s="118" t="s">
        <v>65</v>
      </c>
      <c r="B26" s="110"/>
      <c r="C26" s="119" t="s">
        <v>66</v>
      </c>
      <c r="D26" s="110"/>
      <c r="E26" s="110"/>
      <c r="F26" s="110"/>
      <c r="G26" s="110"/>
      <c r="H26" s="121" t="str">
        <f>"34-UnfundedReserves, Line "&amp;'[15]34-UnfundedReserves'!A10&amp;""</f>
        <v>34-UnfundedReserves, Line 7</v>
      </c>
      <c r="I26" s="110"/>
      <c r="J26" s="126">
        <f>'[15]34-UnfundedReserves'!K10</f>
        <v>-14911861.313116848</v>
      </c>
    </row>
    <row r="27" spans="1:10" x14ac:dyDescent="0.2">
      <c r="A27" s="118">
        <v>16</v>
      </c>
      <c r="B27" s="110"/>
      <c r="C27" s="129" t="s">
        <v>67</v>
      </c>
      <c r="D27" s="110"/>
      <c r="E27" s="110"/>
      <c r="F27" s="110" t="s">
        <v>47</v>
      </c>
      <c r="G27" s="110"/>
      <c r="H27" s="119" t="str">
        <f>"23-RegAssets, Line "&amp;'[15]23-RegAssets'!A18&amp;""</f>
        <v>23-RegAssets, Line 15</v>
      </c>
      <c r="I27" s="110"/>
      <c r="J27" s="120">
        <f>'[15]23-RegAssets'!E18</f>
        <v>0</v>
      </c>
    </row>
    <row r="28" spans="1:10" x14ac:dyDescent="0.2">
      <c r="A28" s="118"/>
      <c r="B28" s="110"/>
      <c r="C28" s="129"/>
      <c r="D28" s="110"/>
      <c r="E28" s="110"/>
      <c r="F28" s="110"/>
      <c r="G28" s="110"/>
      <c r="H28" s="110"/>
      <c r="I28" s="110"/>
      <c r="J28" s="110"/>
    </row>
    <row r="29" spans="1:10" x14ac:dyDescent="0.2">
      <c r="A29" s="118">
        <v>17</v>
      </c>
      <c r="B29" s="110"/>
      <c r="C29" s="110" t="s">
        <v>68</v>
      </c>
      <c r="D29" s="110"/>
      <c r="E29" s="110"/>
      <c r="F29" s="110"/>
      <c r="G29" s="110"/>
      <c r="H29" s="110" t="str">
        <f>"L"&amp;A6&amp;"+L"&amp;A7&amp;"+L"&amp;A8&amp;"+L"&amp;A9&amp;"+L"&amp;A15&amp;"+L"&amp;A21&amp;"+"</f>
        <v>L1+L2+L3+L4+L8+L12+</v>
      </c>
      <c r="I29" s="110"/>
      <c r="J29" s="126">
        <f>J6+ J7+J8+J9+J15+J21+J23+J24+J25+J26+J27</f>
        <v>5324259155.9722109</v>
      </c>
    </row>
    <row r="30" spans="1:10" x14ac:dyDescent="0.2">
      <c r="A30" s="118"/>
      <c r="B30" s="110"/>
      <c r="C30" s="110"/>
      <c r="D30" s="110"/>
      <c r="E30" s="110"/>
      <c r="F30" s="110"/>
      <c r="G30" s="110"/>
      <c r="H30" s="110" t="str">
        <f>"L"&amp;A23&amp;"+L"&amp;A24&amp;"+L"&amp;A25&amp;"+L"&amp;A26&amp;"+L"&amp;A27&amp;""</f>
        <v>L13+L14+L15+L15a+L16</v>
      </c>
      <c r="I30" s="110"/>
      <c r="J30" s="120"/>
    </row>
    <row r="31" spans="1:10" x14ac:dyDescent="0.2">
      <c r="A31" s="118"/>
      <c r="B31" s="130" t="s">
        <v>69</v>
      </c>
      <c r="D31" s="110"/>
      <c r="E31" s="110"/>
      <c r="F31" s="110"/>
      <c r="G31" s="110"/>
      <c r="H31" s="110"/>
      <c r="I31" s="110"/>
      <c r="J31" s="120"/>
    </row>
    <row r="32" spans="1:10" x14ac:dyDescent="0.2">
      <c r="A32" s="131" t="s">
        <v>39</v>
      </c>
      <c r="B32" s="110"/>
      <c r="C32" s="130"/>
      <c r="D32" s="110"/>
      <c r="E32" s="110"/>
      <c r="F32" s="110"/>
      <c r="G32" s="110"/>
      <c r="H32" s="110"/>
      <c r="I32" s="110"/>
      <c r="J32" s="120"/>
    </row>
    <row r="33" spans="1:10" x14ac:dyDescent="0.2">
      <c r="A33" s="118">
        <f>A29+1</f>
        <v>18</v>
      </c>
      <c r="B33" s="110"/>
      <c r="C33" s="110" t="s">
        <v>70</v>
      </c>
      <c r="D33" s="110"/>
      <c r="E33" s="110"/>
      <c r="F33" s="110"/>
      <c r="G33" s="121" t="s">
        <v>71</v>
      </c>
      <c r="H33" s="121" t="str">
        <f>"Instruction 1, Line "&amp;B98&amp;""</f>
        <v>Instruction 1, Line j</v>
      </c>
      <c r="I33" s="110"/>
      <c r="J33" s="132">
        <f>E98</f>
        <v>7.2170567904872154E-2</v>
      </c>
    </row>
    <row r="34" spans="1:10" x14ac:dyDescent="0.2">
      <c r="A34" s="113">
        <f>A33+1</f>
        <v>19</v>
      </c>
      <c r="C34" s="121" t="s">
        <v>72</v>
      </c>
      <c r="D34" s="121"/>
      <c r="E34" s="121"/>
      <c r="F34" s="121"/>
      <c r="G34" s="121"/>
      <c r="H34" t="str">
        <f>"Line "&amp;A29&amp;" * Line "&amp;A33&amp;""</f>
        <v>Line 17 * Line 18</v>
      </c>
      <c r="J34" s="133">
        <f>J29*J33</f>
        <v>384254806.95922977</v>
      </c>
    </row>
    <row r="35" spans="1:10" x14ac:dyDescent="0.2">
      <c r="A35" s="113"/>
      <c r="B35" s="115"/>
      <c r="J35" s="110"/>
    </row>
    <row r="36" spans="1:10" x14ac:dyDescent="0.2">
      <c r="A36" s="113"/>
      <c r="B36" s="109" t="s">
        <v>73</v>
      </c>
      <c r="J36" s="110"/>
    </row>
    <row r="37" spans="1:10" x14ac:dyDescent="0.2">
      <c r="A37" s="118"/>
      <c r="B37" s="124"/>
      <c r="C37" s="110"/>
      <c r="D37" s="110"/>
      <c r="E37" s="110"/>
      <c r="F37" s="110"/>
      <c r="G37" s="110"/>
      <c r="H37" s="110"/>
      <c r="I37" s="110"/>
      <c r="J37" s="110"/>
    </row>
    <row r="38" spans="1:10" x14ac:dyDescent="0.2">
      <c r="A38" s="118">
        <f>A34+1</f>
        <v>20</v>
      </c>
      <c r="B38" s="110"/>
      <c r="C38" s="121" t="s">
        <v>74</v>
      </c>
      <c r="D38" s="110"/>
      <c r="E38" s="110"/>
      <c r="F38" s="110"/>
      <c r="G38" s="110"/>
      <c r="H38" s="110"/>
      <c r="I38" s="110"/>
      <c r="J38" s="126">
        <f>(((J29*J42) + J45) *(J43/(1-J43)))+(J44/(1-J43))</f>
        <v>194519831.51618686</v>
      </c>
    </row>
    <row r="39" spans="1:10" x14ac:dyDescent="0.2">
      <c r="A39" s="118"/>
      <c r="B39" s="110"/>
      <c r="C39" s="110"/>
      <c r="D39" s="110"/>
      <c r="E39" s="110"/>
      <c r="F39" s="110"/>
      <c r="G39" s="110"/>
      <c r="H39" s="110"/>
      <c r="I39" s="110"/>
      <c r="J39" s="121"/>
    </row>
    <row r="40" spans="1:10" x14ac:dyDescent="0.2">
      <c r="A40" s="118"/>
      <c r="B40" s="110"/>
      <c r="C40" s="110"/>
      <c r="D40" s="110" t="s">
        <v>75</v>
      </c>
      <c r="E40" s="110"/>
      <c r="F40" s="110"/>
      <c r="G40" s="110"/>
      <c r="H40" s="110"/>
      <c r="I40" s="110"/>
      <c r="J40" s="110"/>
    </row>
    <row r="41" spans="1:10" x14ac:dyDescent="0.2">
      <c r="A41" s="118">
        <f>A38+1</f>
        <v>21</v>
      </c>
      <c r="B41" s="110"/>
      <c r="C41" s="110"/>
      <c r="D41" s="124" t="s">
        <v>76</v>
      </c>
      <c r="E41" s="110"/>
      <c r="F41" s="110"/>
      <c r="G41" s="110"/>
      <c r="H41" s="110" t="str">
        <f>"Line "&amp;A29&amp;""</f>
        <v>Line 17</v>
      </c>
      <c r="I41" s="110"/>
      <c r="J41" s="126">
        <f>J29</f>
        <v>5324259155.9722109</v>
      </c>
    </row>
    <row r="42" spans="1:10" x14ac:dyDescent="0.2">
      <c r="A42" s="118">
        <f>A41+1</f>
        <v>22</v>
      </c>
      <c r="B42" s="110"/>
      <c r="C42" s="110"/>
      <c r="D42" s="123" t="s">
        <v>77</v>
      </c>
      <c r="E42" s="110"/>
      <c r="F42" s="110"/>
      <c r="G42" s="121" t="s">
        <v>78</v>
      </c>
      <c r="H42" s="121" t="str">
        <f>"Instruction 1, Line "&amp;B103&amp;""</f>
        <v>Instruction 1, Line k</v>
      </c>
      <c r="I42" s="110"/>
      <c r="J42" s="134">
        <f>E103</f>
        <v>5.1605747113765393E-2</v>
      </c>
    </row>
    <row r="43" spans="1:10" x14ac:dyDescent="0.2">
      <c r="A43" s="118">
        <f>A42+1</f>
        <v>23</v>
      </c>
      <c r="B43" s="110"/>
      <c r="C43" s="110"/>
      <c r="D43" s="124" t="s">
        <v>79</v>
      </c>
      <c r="E43" s="110"/>
      <c r="F43" s="110"/>
      <c r="G43" s="110"/>
      <c r="H43" s="110" t="str">
        <f>"1-Base TRR L "&amp;'[15]1-BaseTRR'!A102&amp;""</f>
        <v>1-Base TRR L 58</v>
      </c>
      <c r="I43" s="110"/>
      <c r="J43" s="134">
        <f>'[15]1-BaseTRR'!K102</f>
        <v>0.40754725118781476</v>
      </c>
    </row>
    <row r="44" spans="1:10" x14ac:dyDescent="0.2">
      <c r="A44" s="118">
        <f>A43+1</f>
        <v>24</v>
      </c>
      <c r="B44" s="110"/>
      <c r="C44" s="110"/>
      <c r="D44" s="124" t="s">
        <v>80</v>
      </c>
      <c r="E44" s="110"/>
      <c r="F44" s="110"/>
      <c r="G44" s="110"/>
      <c r="H44" s="110" t="str">
        <f>"1-Base TRR L "&amp;'[15]1-BaseTRR'!A108&amp;""</f>
        <v>1-Base TRR L 62</v>
      </c>
      <c r="I44" s="110"/>
      <c r="J44" s="120">
        <f>'[15]1-BaseTRR'!K108</f>
        <v>2086200</v>
      </c>
    </row>
    <row r="45" spans="1:10" x14ac:dyDescent="0.2">
      <c r="A45" s="118">
        <f>A44+1</f>
        <v>25</v>
      </c>
      <c r="B45" s="110"/>
      <c r="C45" s="110"/>
      <c r="D45" s="124" t="s">
        <v>81</v>
      </c>
      <c r="E45" s="110"/>
      <c r="F45" s="110"/>
      <c r="G45" s="110"/>
      <c r="H45" s="110" t="str">
        <f>"1-Base TRR L "&amp;'[15]1-BaseTRR'!A112&amp;""</f>
        <v>1-Base TRR L 64</v>
      </c>
      <c r="I45" s="110"/>
      <c r="J45" s="135">
        <f>'[15]1-BaseTRR'!K119</f>
        <v>2892817</v>
      </c>
    </row>
    <row r="46" spans="1:10" x14ac:dyDescent="0.2">
      <c r="A46" s="118"/>
      <c r="B46" s="124"/>
      <c r="C46" s="110"/>
      <c r="D46" s="110"/>
      <c r="E46" s="110"/>
      <c r="F46" s="110"/>
      <c r="G46" s="110"/>
      <c r="H46" s="110"/>
      <c r="I46" s="110"/>
      <c r="J46" s="110"/>
    </row>
    <row r="47" spans="1:10" x14ac:dyDescent="0.2">
      <c r="A47" s="118"/>
      <c r="B47" s="130" t="s">
        <v>82</v>
      </c>
      <c r="D47" s="110"/>
      <c r="E47" s="110"/>
      <c r="F47" s="110"/>
      <c r="G47" s="110"/>
      <c r="H47" s="110"/>
      <c r="I47" s="110"/>
      <c r="J47" s="110"/>
    </row>
    <row r="48" spans="1:10" x14ac:dyDescent="0.2">
      <c r="A48" s="118">
        <f>A45+1</f>
        <v>26</v>
      </c>
      <c r="B48" s="124"/>
      <c r="C48" s="110" t="s">
        <v>83</v>
      </c>
      <c r="D48" s="110"/>
      <c r="E48" s="110"/>
      <c r="F48" s="110"/>
      <c r="G48" s="110"/>
      <c r="H48" s="110" t="str">
        <f>"1-Base TRR L "&amp;'[15]1-BaseTRR'!A124&amp;""</f>
        <v>1-Base TRR L 65</v>
      </c>
      <c r="I48" s="110"/>
      <c r="J48" s="126">
        <f>'[15]1-BaseTRR'!K124</f>
        <v>80036269.421181321</v>
      </c>
    </row>
    <row r="49" spans="1:10" x14ac:dyDescent="0.2">
      <c r="A49" s="118">
        <f t="shared" ref="A49:A60" si="0">A48+1</f>
        <v>27</v>
      </c>
      <c r="B49" s="124"/>
      <c r="C49" s="121" t="s">
        <v>84</v>
      </c>
      <c r="D49" s="110"/>
      <c r="E49" s="110"/>
      <c r="F49" s="110"/>
      <c r="G49" s="110"/>
      <c r="H49" s="110" t="str">
        <f>"1-Base TRR L "&amp;'[15]1-BaseTRR'!A125&amp;""</f>
        <v>1-Base TRR L 66</v>
      </c>
      <c r="I49" s="110"/>
      <c r="J49" s="126">
        <f>'[15]1-BaseTRR'!K125</f>
        <v>51275513.880227782</v>
      </c>
    </row>
    <row r="50" spans="1:10" x14ac:dyDescent="0.2">
      <c r="A50" s="136" t="s">
        <v>154</v>
      </c>
      <c r="B50" s="137"/>
      <c r="C50" s="138" t="s">
        <v>155</v>
      </c>
      <c r="D50" s="139"/>
      <c r="E50" s="139"/>
      <c r="F50" s="139"/>
      <c r="G50" s="139"/>
      <c r="H50" s="139" t="str">
        <f>"35-PBOPs L "&amp;'[15]35-PBOPs'!A38&amp;""</f>
        <v>35-PBOPs L 14</v>
      </c>
      <c r="I50" s="139"/>
      <c r="J50" s="140">
        <f>'[15]35-PBOPs'!G38</f>
        <v>-1125993.3508003007</v>
      </c>
    </row>
    <row r="51" spans="1:10" x14ac:dyDescent="0.2">
      <c r="A51" s="118">
        <f>A49+1</f>
        <v>28</v>
      </c>
      <c r="B51" s="124"/>
      <c r="C51" s="110" t="s">
        <v>85</v>
      </c>
      <c r="D51" s="110"/>
      <c r="E51" s="110"/>
      <c r="F51" s="110"/>
      <c r="G51" s="110"/>
      <c r="H51" s="110" t="str">
        <f>"1-Base TRR L "&amp;'[15]1-BaseTRR'!A126&amp;""</f>
        <v>1-Base TRR L 67</v>
      </c>
      <c r="I51" s="110"/>
      <c r="J51" s="120">
        <f>'[15]1-BaseTRR'!K126</f>
        <v>1403660</v>
      </c>
    </row>
    <row r="52" spans="1:10" x14ac:dyDescent="0.2">
      <c r="A52" s="118">
        <f t="shared" si="0"/>
        <v>29</v>
      </c>
      <c r="B52" s="124"/>
      <c r="C52" s="121" t="s">
        <v>86</v>
      </c>
      <c r="D52" s="110"/>
      <c r="E52" s="110"/>
      <c r="F52" s="110"/>
      <c r="G52" s="110"/>
      <c r="H52" s="110" t="str">
        <f>"1-Base TRR L "&amp;'[15]1-BaseTRR'!A127&amp;""</f>
        <v>1-Base TRR L 68</v>
      </c>
      <c r="I52" s="110"/>
      <c r="J52" s="126">
        <f>'[15]1-BaseTRR'!K127</f>
        <v>216794581.25901765</v>
      </c>
    </row>
    <row r="53" spans="1:10" x14ac:dyDescent="0.2">
      <c r="A53" s="118">
        <f t="shared" si="0"/>
        <v>30</v>
      </c>
      <c r="B53" s="124"/>
      <c r="C53" s="121" t="s">
        <v>87</v>
      </c>
      <c r="D53" s="110"/>
      <c r="E53" s="110"/>
      <c r="F53" s="110"/>
      <c r="G53" s="110"/>
      <c r="H53" s="110" t="str">
        <f>"1-Base TRR L "&amp;'[15]1-BaseTRR'!A128&amp;""</f>
        <v>1-Base TRR L 69</v>
      </c>
      <c r="I53" s="110"/>
      <c r="J53" s="120">
        <f>'[15]1-BaseTRR'!K128</f>
        <v>0</v>
      </c>
    </row>
    <row r="54" spans="1:10" x14ac:dyDescent="0.2">
      <c r="A54" s="118">
        <f t="shared" si="0"/>
        <v>31</v>
      </c>
      <c r="B54" s="124"/>
      <c r="C54" s="121" t="s">
        <v>88</v>
      </c>
      <c r="D54" s="110"/>
      <c r="E54" s="110"/>
      <c r="F54" s="110"/>
      <c r="G54" s="110"/>
      <c r="H54" s="110" t="str">
        <f>"1-Base TRR L "&amp;'[15]1-BaseTRR'!A129&amp;""</f>
        <v>1-Base TRR L 70</v>
      </c>
      <c r="I54" s="110"/>
      <c r="J54" s="126">
        <f>'[15]1-BaseTRR'!K129</f>
        <v>53571530.921241835</v>
      </c>
    </row>
    <row r="55" spans="1:10" x14ac:dyDescent="0.2">
      <c r="A55" s="118">
        <f t="shared" si="0"/>
        <v>32</v>
      </c>
      <c r="B55" s="124"/>
      <c r="C55" s="110" t="s">
        <v>89</v>
      </c>
      <c r="D55" s="110"/>
      <c r="E55" s="110"/>
      <c r="F55" s="110"/>
      <c r="G55" s="121"/>
      <c r="H55" s="110" t="str">
        <f>"1-Base TRR L "&amp;'[15]1-BaseTRR'!A130&amp;""</f>
        <v>1-Base TRR L 71</v>
      </c>
      <c r="I55" s="110"/>
      <c r="J55" s="120">
        <f>'[15]1-BaseTRR'!K130</f>
        <v>-55106642.357153259</v>
      </c>
    </row>
    <row r="56" spans="1:10" x14ac:dyDescent="0.2">
      <c r="A56" s="118">
        <f t="shared" si="0"/>
        <v>33</v>
      </c>
      <c r="B56" s="124"/>
      <c r="C56" s="110" t="s">
        <v>90</v>
      </c>
      <c r="D56" s="110"/>
      <c r="E56" s="110"/>
      <c r="F56" s="110"/>
      <c r="G56" s="110"/>
      <c r="H56" s="110" t="str">
        <f>"Line "&amp;A34&amp;""</f>
        <v>Line 19</v>
      </c>
      <c r="I56" s="110"/>
      <c r="J56" s="126">
        <f>J34</f>
        <v>384254806.95922977</v>
      </c>
    </row>
    <row r="57" spans="1:10" x14ac:dyDescent="0.2">
      <c r="A57" s="118">
        <f t="shared" si="0"/>
        <v>34</v>
      </c>
      <c r="B57" s="124"/>
      <c r="C57" s="110" t="s">
        <v>91</v>
      </c>
      <c r="D57" s="110"/>
      <c r="E57" s="110"/>
      <c r="F57" s="110"/>
      <c r="G57" s="110"/>
      <c r="H57" s="110" t="str">
        <f>"Line "&amp;A38&amp;""</f>
        <v>Line 20</v>
      </c>
      <c r="I57" s="110"/>
      <c r="J57" s="133">
        <f>J38</f>
        <v>194519831.51618686</v>
      </c>
    </row>
    <row r="58" spans="1:10" x14ac:dyDescent="0.2">
      <c r="A58" s="118">
        <f t="shared" si="0"/>
        <v>35</v>
      </c>
      <c r="B58" s="124"/>
      <c r="C58" s="121" t="s">
        <v>92</v>
      </c>
      <c r="D58" s="110"/>
      <c r="E58" s="110"/>
      <c r="F58" s="110"/>
      <c r="G58" s="110"/>
      <c r="H58" s="110" t="str">
        <f>"1-Base TRR L "&amp;'[15]1-BaseTRR'!A133&amp;""</f>
        <v>1-Base TRR L 74</v>
      </c>
      <c r="I58" s="110"/>
      <c r="J58" s="135">
        <f>'[15]1-BaseTRR'!K133</f>
        <v>0</v>
      </c>
    </row>
    <row r="59" spans="1:10" x14ac:dyDescent="0.2">
      <c r="A59" s="118">
        <f t="shared" si="0"/>
        <v>36</v>
      </c>
      <c r="B59" s="124"/>
      <c r="C59" s="49" t="s">
        <v>93</v>
      </c>
      <c r="D59" s="50"/>
      <c r="E59" s="110"/>
      <c r="F59" s="110"/>
      <c r="G59" s="110"/>
      <c r="H59" s="110" t="str">
        <f>"1-Base TRR L "&amp;'[15]1-BaseTRR'!A134&amp;""</f>
        <v>1-Base TRR L 75</v>
      </c>
      <c r="I59" s="110"/>
      <c r="J59" s="128">
        <f>'[15]1-BaseTRR'!K134</f>
        <v>0</v>
      </c>
    </row>
    <row r="60" spans="1:10" x14ac:dyDescent="0.2">
      <c r="A60" s="118">
        <f t="shared" si="0"/>
        <v>37</v>
      </c>
      <c r="B60" s="124"/>
      <c r="C60" s="121" t="s">
        <v>94</v>
      </c>
      <c r="D60" s="110"/>
      <c r="E60" s="110"/>
      <c r="F60" s="110"/>
      <c r="G60" s="110"/>
      <c r="H60" s="110" t="str">
        <f>"Sum Line "&amp;A48&amp;" to Line "&amp;A59&amp;""</f>
        <v>Sum Line 26 to Line 36</v>
      </c>
      <c r="I60" s="110"/>
      <c r="J60" s="140">
        <f>SUM(J48:J59)</f>
        <v>925623558.24913156</v>
      </c>
    </row>
    <row r="61" spans="1:10" x14ac:dyDescent="0.2">
      <c r="A61" s="118"/>
      <c r="B61" s="124"/>
      <c r="C61" s="110"/>
      <c r="D61" s="110"/>
      <c r="E61" s="110"/>
      <c r="F61" s="110"/>
      <c r="G61" s="110"/>
      <c r="H61" s="110"/>
      <c r="I61" s="110"/>
      <c r="J61" s="120"/>
    </row>
    <row r="62" spans="1:10" ht="12.75" customHeight="1" x14ac:dyDescent="0.2">
      <c r="A62" s="118">
        <f>A60+1</f>
        <v>38</v>
      </c>
      <c r="B62" s="124"/>
      <c r="C62" s="121" t="s">
        <v>95</v>
      </c>
      <c r="D62" s="110"/>
      <c r="E62" s="110"/>
      <c r="F62" s="110"/>
      <c r="G62" s="110"/>
      <c r="H62" s="110" t="str">
        <f>"15-IncentiveAdder L "&amp;'[15]15-IncentiveAdder'!A59&amp;""</f>
        <v>15-IncentiveAdder L 20</v>
      </c>
      <c r="I62" s="110"/>
      <c r="J62" s="120">
        <f>'[15]15-IncentiveAdder'!G59</f>
        <v>33453290.244726196</v>
      </c>
    </row>
    <row r="63" spans="1:10" x14ac:dyDescent="0.2">
      <c r="A63" s="118"/>
      <c r="B63" s="124"/>
      <c r="C63" s="121"/>
      <c r="D63" s="110"/>
      <c r="E63" s="110"/>
      <c r="F63" s="110"/>
      <c r="G63" s="110"/>
      <c r="H63" s="110"/>
      <c r="I63" s="110"/>
      <c r="J63" s="120"/>
    </row>
    <row r="64" spans="1:10" x14ac:dyDescent="0.2">
      <c r="A64" s="118">
        <f>A62+1</f>
        <v>39</v>
      </c>
      <c r="B64" s="124"/>
      <c r="C64" s="121" t="s">
        <v>96</v>
      </c>
      <c r="D64" s="110"/>
      <c r="E64" s="110"/>
      <c r="F64" s="110"/>
      <c r="G64" s="110"/>
      <c r="H64" s="110" t="str">
        <f>"Line "&amp;A60&amp;" + Line "&amp;A62&amp;""</f>
        <v>Line 37 + Line 38</v>
      </c>
      <c r="I64" s="110"/>
      <c r="J64" s="126">
        <f>J60+J62</f>
        <v>959076848.49385774</v>
      </c>
    </row>
    <row r="65" spans="1:12" x14ac:dyDescent="0.2">
      <c r="A65" s="118"/>
      <c r="B65" s="124"/>
      <c r="C65" s="121"/>
      <c r="D65" s="110"/>
      <c r="E65" s="110"/>
      <c r="F65" s="110"/>
      <c r="G65" s="110"/>
      <c r="H65" s="110"/>
      <c r="I65" s="110"/>
      <c r="J65" s="120"/>
    </row>
    <row r="66" spans="1:12" x14ac:dyDescent="0.2">
      <c r="A66" s="118"/>
      <c r="B66" s="141" t="s">
        <v>97</v>
      </c>
      <c r="C66" s="121"/>
      <c r="D66" s="110"/>
      <c r="E66" s="110"/>
      <c r="F66" s="110"/>
      <c r="G66" s="110"/>
      <c r="H66" s="110"/>
      <c r="I66" s="110"/>
      <c r="J66" s="120"/>
    </row>
    <row r="67" spans="1:12" ht="13.5" thickBot="1" x14ac:dyDescent="0.25">
      <c r="A67" s="114" t="s">
        <v>39</v>
      </c>
      <c r="B67" s="142"/>
      <c r="G67" s="116" t="s">
        <v>98</v>
      </c>
    </row>
    <row r="68" spans="1:12" x14ac:dyDescent="0.2">
      <c r="A68" s="118">
        <f>A64+1</f>
        <v>40</v>
      </c>
      <c r="B68" s="129"/>
      <c r="C68" s="110"/>
      <c r="D68" s="143" t="s">
        <v>99</v>
      </c>
      <c r="E68" s="126">
        <f>J64</f>
        <v>959076848.49385774</v>
      </c>
      <c r="F68" s="110"/>
      <c r="G68" s="110" t="str">
        <f>"Line "&amp;A64&amp;""</f>
        <v>Line 39</v>
      </c>
      <c r="H68" s="110"/>
      <c r="I68" s="110"/>
      <c r="J68" s="144" t="s">
        <v>100</v>
      </c>
    </row>
    <row r="69" spans="1:12" x14ac:dyDescent="0.2">
      <c r="A69" s="118">
        <f>A68+1</f>
        <v>41</v>
      </c>
      <c r="B69" s="129"/>
      <c r="C69" s="110"/>
      <c r="D69" s="143" t="s">
        <v>101</v>
      </c>
      <c r="E69" s="145">
        <f>'[15]28-FFU'!D22</f>
        <v>9.2056812204103118E-3</v>
      </c>
      <c r="F69" s="110"/>
      <c r="G69" s="110" t="str">
        <f>"28-FFU, L "&amp;'[15]28-FFU'!A22&amp;""</f>
        <v>28-FFU, L 5</v>
      </c>
      <c r="H69" s="110"/>
      <c r="I69" s="110"/>
      <c r="J69" s="146" t="s">
        <v>418</v>
      </c>
    </row>
    <row r="70" spans="1:12" x14ac:dyDescent="0.2">
      <c r="A70" s="118">
        <f>A69+1</f>
        <v>42</v>
      </c>
      <c r="B70" s="129"/>
      <c r="C70" s="110"/>
      <c r="D70" s="148" t="s">
        <v>102</v>
      </c>
      <c r="E70" s="126">
        <f>E68*'[15]28-FFU'!D22</f>
        <v>8828955.7331102118</v>
      </c>
      <c r="F70" s="110"/>
      <c r="G70" s="110" t="str">
        <f>"Line "&amp;A68&amp;" * Line "&amp;A69&amp;""</f>
        <v>Line 40 * Line 41</v>
      </c>
      <c r="H70" s="110"/>
      <c r="I70" s="110"/>
      <c r="J70" s="149">
        <f>E73</f>
        <v>970214915.7263968</v>
      </c>
    </row>
    <row r="71" spans="1:12" x14ac:dyDescent="0.2">
      <c r="A71" s="118">
        <f>A70+1</f>
        <v>43</v>
      </c>
      <c r="B71" s="129"/>
      <c r="C71" s="110"/>
      <c r="D71" s="143" t="s">
        <v>103</v>
      </c>
      <c r="E71" s="145">
        <f>'[15]28-FFU'!E22</f>
        <v>2.4076397037996198E-3</v>
      </c>
      <c r="F71" s="110"/>
      <c r="G71" s="110" t="str">
        <f>"28-FFU, L "&amp;'[15]28-FFU'!A22&amp;""</f>
        <v>28-FFU, L 5</v>
      </c>
      <c r="H71" s="110"/>
      <c r="I71" s="110"/>
      <c r="J71" s="150">
        <v>970250474.48693633</v>
      </c>
    </row>
    <row r="72" spans="1:12" ht="13.5" thickBot="1" x14ac:dyDescent="0.25">
      <c r="A72" s="118">
        <f>A71+1</f>
        <v>44</v>
      </c>
      <c r="B72" s="129"/>
      <c r="C72" s="110"/>
      <c r="D72" s="143" t="s">
        <v>104</v>
      </c>
      <c r="E72" s="126">
        <f>E68*'[15]28-FFU'!E22</f>
        <v>2309111.4994288245</v>
      </c>
      <c r="F72" s="110"/>
      <c r="G72" s="110" t="str">
        <f>"Line "&amp;A70&amp;" * Line "&amp;A71&amp;""</f>
        <v>Line 42 * Line 43</v>
      </c>
      <c r="H72" s="110"/>
      <c r="I72" s="110"/>
      <c r="J72" s="151">
        <f>J70-J71</f>
        <v>-35558.760539531708</v>
      </c>
    </row>
    <row r="73" spans="1:12" x14ac:dyDescent="0.2">
      <c r="A73" s="118">
        <f>A72+1</f>
        <v>45</v>
      </c>
      <c r="B73" s="129"/>
      <c r="C73" s="110"/>
      <c r="D73" s="143" t="s">
        <v>105</v>
      </c>
      <c r="E73" s="126">
        <f>E68+E70+E72</f>
        <v>970214915.7263968</v>
      </c>
      <c r="F73" s="110"/>
      <c r="G73" s="110" t="str">
        <f>"L "&amp;A68&amp;" + L "&amp;A70&amp;" + L "&amp;A72&amp;""</f>
        <v>L 40 + L 42 + L 44</v>
      </c>
      <c r="H73" s="110"/>
      <c r="I73" s="110"/>
      <c r="J73" s="110"/>
    </row>
    <row r="74" spans="1:12" x14ac:dyDescent="0.2">
      <c r="A74" s="110"/>
      <c r="B74" s="152" t="s">
        <v>106</v>
      </c>
      <c r="C74" s="110"/>
      <c r="D74" s="148"/>
      <c r="E74" s="120"/>
      <c r="F74" s="110"/>
      <c r="G74" s="110"/>
      <c r="H74" s="51"/>
      <c r="I74" s="110"/>
      <c r="J74" s="110"/>
      <c r="K74" s="167"/>
    </row>
    <row r="75" spans="1:12" x14ac:dyDescent="0.2">
      <c r="A75" s="118"/>
      <c r="B75" s="121" t="s">
        <v>107</v>
      </c>
      <c r="C75" s="141"/>
      <c r="D75" s="148"/>
      <c r="E75" s="120"/>
      <c r="F75" s="110"/>
      <c r="G75" s="110"/>
      <c r="H75" s="110"/>
      <c r="I75" s="110"/>
      <c r="J75" s="110"/>
      <c r="K75" s="147"/>
    </row>
    <row r="76" spans="1:12" x14ac:dyDescent="0.2">
      <c r="A76" s="118"/>
      <c r="B76" s="121" t="s">
        <v>108</v>
      </c>
      <c r="C76" s="141"/>
      <c r="D76" s="148"/>
      <c r="E76" s="120"/>
      <c r="F76" s="110"/>
      <c r="G76" s="110"/>
      <c r="H76" s="110"/>
      <c r="I76" s="110"/>
      <c r="J76" s="110"/>
      <c r="K76" s="490"/>
      <c r="L76" s="491"/>
    </row>
    <row r="77" spans="1:12" x14ac:dyDescent="0.2">
      <c r="A77" s="118"/>
      <c r="B77" s="119" t="s">
        <v>109</v>
      </c>
      <c r="C77" s="121"/>
      <c r="D77" s="148"/>
      <c r="E77" s="120"/>
      <c r="F77" s="110"/>
      <c r="G77" s="110"/>
      <c r="H77" s="110"/>
      <c r="I77" s="110"/>
      <c r="J77" s="110"/>
      <c r="K77" s="147"/>
    </row>
    <row r="78" spans="1:12" x14ac:dyDescent="0.2">
      <c r="A78" s="118"/>
      <c r="B78" s="119" t="s">
        <v>110</v>
      </c>
      <c r="C78" s="110"/>
      <c r="D78" s="148"/>
      <c r="E78" s="120"/>
      <c r="F78" s="110"/>
      <c r="G78" s="110"/>
      <c r="H78" s="110"/>
      <c r="I78" s="110"/>
      <c r="J78" s="110"/>
    </row>
    <row r="79" spans="1:12" x14ac:dyDescent="0.2">
      <c r="A79" s="118"/>
      <c r="B79" s="110"/>
      <c r="C79" s="110"/>
      <c r="D79" s="110"/>
      <c r="E79" s="110"/>
      <c r="F79" s="110"/>
      <c r="G79" s="110"/>
      <c r="H79" s="110"/>
      <c r="I79" s="110"/>
      <c r="J79" s="110"/>
    </row>
    <row r="80" spans="1:12" x14ac:dyDescent="0.2">
      <c r="A80" s="118"/>
      <c r="B80" s="121" t="s">
        <v>111</v>
      </c>
      <c r="C80" s="110"/>
      <c r="D80" s="110"/>
      <c r="E80" s="110"/>
      <c r="F80" s="110"/>
      <c r="G80" s="110"/>
      <c r="H80" s="110"/>
      <c r="I80" s="110"/>
      <c r="J80" s="110"/>
    </row>
    <row r="81" spans="1:12" x14ac:dyDescent="0.2">
      <c r="A81" s="118"/>
      <c r="B81" s="121"/>
      <c r="C81" s="121" t="s">
        <v>112</v>
      </c>
      <c r="D81" s="110"/>
      <c r="E81" s="110"/>
      <c r="F81" s="110"/>
      <c r="G81" s="110"/>
      <c r="H81" s="110"/>
      <c r="I81" s="110"/>
      <c r="J81" s="110"/>
    </row>
    <row r="82" spans="1:12" x14ac:dyDescent="0.2">
      <c r="A82" s="118"/>
      <c r="B82" s="121"/>
      <c r="C82" s="110"/>
      <c r="D82" s="110"/>
      <c r="E82" s="110"/>
      <c r="F82" s="110"/>
      <c r="G82" s="110"/>
      <c r="H82" s="110"/>
      <c r="I82" s="110"/>
      <c r="J82" s="118" t="s">
        <v>113</v>
      </c>
    </row>
    <row r="83" spans="1:12" x14ac:dyDescent="0.2">
      <c r="A83" s="118"/>
      <c r="B83" s="110"/>
      <c r="C83" s="110"/>
      <c r="D83" s="110"/>
      <c r="E83" s="153" t="s">
        <v>114</v>
      </c>
      <c r="F83" s="154" t="s">
        <v>98</v>
      </c>
      <c r="G83" s="153" t="s">
        <v>115</v>
      </c>
      <c r="H83" s="153" t="s">
        <v>116</v>
      </c>
      <c r="I83" s="110"/>
      <c r="J83" s="153" t="s">
        <v>117</v>
      </c>
    </row>
    <row r="84" spans="1:12" x14ac:dyDescent="0.2">
      <c r="B84" s="155" t="s">
        <v>118</v>
      </c>
      <c r="C84" s="121" t="s">
        <v>119</v>
      </c>
      <c r="D84" s="110"/>
      <c r="E84" s="156">
        <f>'[15]1-BaseTRR'!K85</f>
        <v>9.8000000000000004E-2</v>
      </c>
      <c r="F84" s="110" t="str">
        <f>"1-Base TRR L "&amp;'[15]1-BaseTRR'!A85&amp;""</f>
        <v>1-Base TRR L 49</v>
      </c>
      <c r="G84" s="157" t="s">
        <v>419</v>
      </c>
      <c r="H84" s="158" t="s">
        <v>420</v>
      </c>
      <c r="I84" s="121"/>
      <c r="J84" s="159">
        <v>365</v>
      </c>
      <c r="K84" s="121"/>
      <c r="L84" s="121"/>
    </row>
    <row r="85" spans="1:12" x14ac:dyDescent="0.2">
      <c r="B85" s="155" t="s">
        <v>120</v>
      </c>
      <c r="C85" s="121" t="s">
        <v>121</v>
      </c>
      <c r="D85" s="110"/>
      <c r="E85" s="160">
        <v>9.8000000000000004E-2</v>
      </c>
      <c r="F85" s="161" t="s">
        <v>122</v>
      </c>
      <c r="G85" s="157"/>
      <c r="H85" s="158"/>
      <c r="I85" s="121"/>
      <c r="J85" s="159"/>
      <c r="K85" s="121"/>
      <c r="L85" s="121"/>
    </row>
    <row r="86" spans="1:12" x14ac:dyDescent="0.2">
      <c r="B86" s="155" t="s">
        <v>123</v>
      </c>
      <c r="C86" s="121"/>
      <c r="D86" s="110"/>
      <c r="E86" s="162"/>
      <c r="F86" s="161"/>
      <c r="G86" s="163"/>
      <c r="H86" s="163"/>
      <c r="I86" s="143" t="s">
        <v>124</v>
      </c>
      <c r="J86" s="121">
        <f>SUM(J84:J85)</f>
        <v>365</v>
      </c>
      <c r="K86" s="121"/>
      <c r="L86" s="121"/>
    </row>
    <row r="87" spans="1:12" x14ac:dyDescent="0.2">
      <c r="A87" s="110"/>
      <c r="B87" s="155" t="s">
        <v>125</v>
      </c>
      <c r="C87" s="121" t="s">
        <v>126</v>
      </c>
      <c r="D87" s="110"/>
      <c r="E87" s="156">
        <f>((E84*J84) + (E85* J85)) / J86</f>
        <v>9.8000000000000004E-2</v>
      </c>
      <c r="F87" s="121" t="s">
        <v>127</v>
      </c>
      <c r="G87" s="110"/>
      <c r="H87" s="121"/>
      <c r="I87" s="121"/>
      <c r="J87" s="121"/>
      <c r="K87" s="121"/>
      <c r="L87" s="121"/>
    </row>
    <row r="88" spans="1:12" x14ac:dyDescent="0.2">
      <c r="A88" s="118"/>
      <c r="B88" s="121"/>
      <c r="C88" s="110"/>
      <c r="D88" s="110"/>
      <c r="E88" s="110"/>
      <c r="F88" s="110"/>
      <c r="G88" s="110"/>
      <c r="H88" s="121"/>
      <c r="I88" s="121"/>
      <c r="J88" s="121"/>
      <c r="K88" s="121"/>
      <c r="L88" s="121"/>
    </row>
    <row r="89" spans="1:12" x14ac:dyDescent="0.2">
      <c r="A89" s="118"/>
      <c r="B89" s="121" t="s">
        <v>128</v>
      </c>
      <c r="C89" s="110"/>
      <c r="D89" s="110"/>
      <c r="E89" s="110"/>
      <c r="F89" s="110"/>
      <c r="G89" s="110"/>
      <c r="H89" s="121"/>
      <c r="I89" s="121"/>
      <c r="J89" s="121"/>
      <c r="K89" s="121"/>
      <c r="L89" s="121"/>
    </row>
    <row r="90" spans="1:12" x14ac:dyDescent="0.2">
      <c r="A90" s="118"/>
      <c r="B90" s="121"/>
      <c r="C90" s="110"/>
      <c r="D90" s="110"/>
      <c r="E90" s="154" t="s">
        <v>98</v>
      </c>
      <c r="F90" s="110"/>
      <c r="G90" s="110"/>
      <c r="H90" s="121"/>
      <c r="I90" s="121"/>
      <c r="J90" s="121"/>
      <c r="K90" s="121"/>
      <c r="L90" s="121"/>
    </row>
    <row r="91" spans="1:12" x14ac:dyDescent="0.2">
      <c r="A91" s="110"/>
      <c r="B91" s="155" t="s">
        <v>129</v>
      </c>
      <c r="C91" s="121" t="s">
        <v>130</v>
      </c>
      <c r="D91" s="110"/>
      <c r="E91" s="164" t="s">
        <v>131</v>
      </c>
      <c r="F91" s="164"/>
      <c r="G91" s="164"/>
      <c r="H91" s="159"/>
      <c r="I91" s="159"/>
      <c r="J91" s="159"/>
      <c r="K91" s="121"/>
      <c r="L91" s="121"/>
    </row>
    <row r="92" spans="1:12" x14ac:dyDescent="0.2">
      <c r="B92" s="155" t="s">
        <v>132</v>
      </c>
      <c r="C92" s="121" t="s">
        <v>133</v>
      </c>
      <c r="D92" s="110"/>
      <c r="E92" s="164" t="s">
        <v>131</v>
      </c>
      <c r="F92" s="164"/>
      <c r="G92" s="164"/>
      <c r="H92" s="159"/>
      <c r="I92" s="159"/>
      <c r="J92" s="159"/>
      <c r="K92" s="121"/>
      <c r="L92" s="121"/>
    </row>
    <row r="93" spans="1:12" x14ac:dyDescent="0.2">
      <c r="B93" s="110"/>
      <c r="C93" s="121"/>
      <c r="D93" s="110"/>
      <c r="E93" s="163"/>
      <c r="F93" s="110"/>
      <c r="G93" s="110"/>
      <c r="H93" s="110"/>
      <c r="I93" s="121"/>
      <c r="J93" s="121"/>
      <c r="K93" s="121"/>
      <c r="L93" s="121"/>
    </row>
    <row r="94" spans="1:12" x14ac:dyDescent="0.2">
      <c r="B94" s="110"/>
      <c r="C94" s="110"/>
      <c r="D94" s="110"/>
      <c r="E94" s="153" t="s">
        <v>114</v>
      </c>
      <c r="F94" s="154" t="s">
        <v>98</v>
      </c>
      <c r="G94" s="110"/>
      <c r="H94" s="121"/>
      <c r="I94" s="121"/>
      <c r="J94" s="110"/>
    </row>
    <row r="95" spans="1:12" x14ac:dyDescent="0.2">
      <c r="B95" s="155" t="s">
        <v>134</v>
      </c>
      <c r="C95" s="121" t="s">
        <v>135</v>
      </c>
      <c r="D95" s="121"/>
      <c r="E95" s="134">
        <f>'[15]1-BaseTRR'!K88</f>
        <v>2.0564820791106758E-2</v>
      </c>
      <c r="F95" s="110" t="str">
        <f>"1-Base TRR L "&amp;'[15]1-BaseTRR'!A88&amp;""</f>
        <v>1-Base TRR L 50</v>
      </c>
      <c r="G95" s="110"/>
      <c r="H95" s="121"/>
      <c r="I95" s="121"/>
      <c r="J95" s="110"/>
    </row>
    <row r="96" spans="1:12" x14ac:dyDescent="0.2">
      <c r="B96" s="155" t="s">
        <v>136</v>
      </c>
      <c r="C96" s="121" t="s">
        <v>137</v>
      </c>
      <c r="D96" s="110"/>
      <c r="E96" s="134">
        <f>'[15]1-BaseTRR'!K89</f>
        <v>4.7484367756137295E-3</v>
      </c>
      <c r="F96" s="110" t="str">
        <f>"1-Base TRR L "&amp;'[15]1-BaseTRR'!A89&amp;""</f>
        <v>1-Base TRR L 51</v>
      </c>
      <c r="G96" s="110"/>
      <c r="H96" s="121"/>
      <c r="I96" s="121"/>
      <c r="J96" s="110"/>
    </row>
    <row r="97" spans="1:10" x14ac:dyDescent="0.2">
      <c r="B97" s="155" t="s">
        <v>138</v>
      </c>
      <c r="C97" s="121" t="s">
        <v>139</v>
      </c>
      <c r="D97" s="110"/>
      <c r="E97" s="225">
        <f>('[15]1-BaseTRR'!K80) * E87</f>
        <v>4.6857310338151666E-2</v>
      </c>
      <c r="F97" s="110" t="str">
        <f>"1-Base TRR L "&amp;'[15]1-BaseTRR'!A80&amp;" * Line d"</f>
        <v>1-Base TRR L 46 * Line d</v>
      </c>
      <c r="G97" s="121"/>
      <c r="H97" s="121"/>
      <c r="I97" s="110"/>
      <c r="J97" s="110"/>
    </row>
    <row r="98" spans="1:10" x14ac:dyDescent="0.2">
      <c r="A98" s="110"/>
      <c r="B98" s="118" t="s">
        <v>140</v>
      </c>
      <c r="C98" s="123" t="s">
        <v>70</v>
      </c>
      <c r="D98" s="110"/>
      <c r="E98" s="132">
        <f>SUM(E95:E97)</f>
        <v>7.2170567904872154E-2</v>
      </c>
      <c r="F98" s="120" t="str">
        <f>"Sum of Lines "&amp;B92&amp;" to "&amp;B96&amp;""</f>
        <v>Sum of Lines f to h</v>
      </c>
      <c r="G98" s="165"/>
      <c r="H98" s="110"/>
      <c r="I98" s="110"/>
      <c r="J98" s="166"/>
    </row>
    <row r="99" spans="1:10" x14ac:dyDescent="0.2">
      <c r="A99" s="118"/>
      <c r="B99" s="110"/>
      <c r="C99" s="52"/>
      <c r="D99" s="53"/>
      <c r="E99" s="120"/>
      <c r="F99" s="120"/>
      <c r="G99" s="165"/>
      <c r="H99" s="120"/>
      <c r="I99" s="110"/>
      <c r="J99" s="166"/>
    </row>
    <row r="100" spans="1:10" x14ac:dyDescent="0.2">
      <c r="A100" s="118"/>
      <c r="B100" s="121" t="s">
        <v>141</v>
      </c>
      <c r="C100" s="110"/>
      <c r="D100" s="110"/>
      <c r="E100" s="110"/>
      <c r="F100" s="110"/>
      <c r="G100" s="110"/>
      <c r="H100" s="110"/>
      <c r="I100" s="110"/>
      <c r="J100" s="110"/>
    </row>
    <row r="101" spans="1:10" x14ac:dyDescent="0.2">
      <c r="A101" s="118"/>
      <c r="B101" s="110"/>
      <c r="C101" s="110"/>
      <c r="D101" s="110"/>
      <c r="E101" s="110"/>
      <c r="F101" s="110"/>
      <c r="G101" s="110"/>
      <c r="H101" s="110"/>
      <c r="I101" s="110"/>
      <c r="J101" s="110"/>
    </row>
    <row r="102" spans="1:10" x14ac:dyDescent="0.2">
      <c r="A102" s="118"/>
      <c r="B102" s="110"/>
      <c r="C102" s="110"/>
      <c r="D102" s="110"/>
      <c r="E102" s="153" t="s">
        <v>114</v>
      </c>
      <c r="F102" s="154" t="s">
        <v>98</v>
      </c>
      <c r="G102" s="110"/>
      <c r="H102" s="110"/>
      <c r="I102" s="110"/>
      <c r="J102" s="110"/>
    </row>
    <row r="103" spans="1:10" x14ac:dyDescent="0.2">
      <c r="A103" s="110"/>
      <c r="B103" s="155" t="s">
        <v>142</v>
      </c>
      <c r="C103" s="110"/>
      <c r="D103" s="110"/>
      <c r="E103" s="134">
        <f>E96+E97</f>
        <v>5.1605747113765393E-2</v>
      </c>
      <c r="F103" s="120" t="str">
        <f>"Sum of Lines "&amp;B95&amp;" to "&amp;B96&amp;""</f>
        <v>Sum of Lines g to h</v>
      </c>
      <c r="G103" s="110"/>
      <c r="H103" s="110"/>
      <c r="I103" s="110"/>
      <c r="J103" s="110"/>
    </row>
    <row r="104" spans="1:10" x14ac:dyDescent="0.2">
      <c r="A104" s="118"/>
      <c r="B104" s="110"/>
      <c r="C104" s="110"/>
      <c r="D104" s="110"/>
      <c r="E104" s="134"/>
      <c r="F104" s="120"/>
      <c r="G104" s="110"/>
      <c r="H104" s="110"/>
      <c r="I104" s="110"/>
      <c r="J104" s="110"/>
    </row>
    <row r="105" spans="1:10" x14ac:dyDescent="0.2">
      <c r="A105" s="118"/>
      <c r="B105" s="119" t="s">
        <v>143</v>
      </c>
      <c r="C105" s="110"/>
      <c r="D105" s="110"/>
      <c r="E105" s="165"/>
      <c r="F105" s="165"/>
      <c r="G105" s="165"/>
      <c r="H105" s="120"/>
      <c r="I105" s="110"/>
      <c r="J105" s="110"/>
    </row>
    <row r="106" spans="1:10" x14ac:dyDescent="0.2">
      <c r="A106" s="118"/>
      <c r="B106" s="161" t="s">
        <v>144</v>
      </c>
      <c r="C106" s="110"/>
      <c r="D106" s="110"/>
      <c r="E106" s="110"/>
      <c r="F106" s="110"/>
      <c r="G106" s="110"/>
      <c r="H106" s="110"/>
      <c r="I106" s="110"/>
      <c r="J106" s="110"/>
    </row>
    <row r="107" spans="1:10" x14ac:dyDescent="0.2">
      <c r="A107" s="113"/>
      <c r="B107" s="161" t="s">
        <v>145</v>
      </c>
      <c r="C107" s="110"/>
      <c r="D107" s="118"/>
      <c r="E107" s="118"/>
      <c r="F107" s="118"/>
      <c r="G107" s="118"/>
      <c r="H107" s="118"/>
      <c r="I107" s="110"/>
      <c r="J107" s="110"/>
    </row>
    <row r="108" spans="1:10" x14ac:dyDescent="0.2">
      <c r="A108" s="113"/>
      <c r="B108" s="119" t="s">
        <v>146</v>
      </c>
      <c r="C108" s="110"/>
      <c r="D108" s="118"/>
      <c r="E108" s="118"/>
      <c r="F108" s="118"/>
      <c r="G108" s="118"/>
      <c r="H108" s="118"/>
      <c r="I108" s="110"/>
      <c r="J108" s="110"/>
    </row>
    <row r="109" spans="1:10" x14ac:dyDescent="0.2">
      <c r="A109" s="113"/>
      <c r="B109" s="110" t="s">
        <v>147</v>
      </c>
      <c r="C109" s="54"/>
      <c r="D109" s="54"/>
      <c r="E109" s="153"/>
      <c r="F109" s="153"/>
      <c r="G109" s="153"/>
      <c r="H109" s="153"/>
      <c r="I109" s="110"/>
      <c r="J109" s="110"/>
    </row>
    <row r="110" spans="1:10" x14ac:dyDescent="0.2">
      <c r="A110" s="113"/>
    </row>
    <row r="111" spans="1:10" x14ac:dyDescent="0.2">
      <c r="A111" s="113"/>
    </row>
    <row r="112" spans="1:10" x14ac:dyDescent="0.2">
      <c r="A112" s="113"/>
    </row>
    <row r="113" spans="1:10" x14ac:dyDescent="0.2">
      <c r="A113" s="113"/>
      <c r="C113" s="52"/>
      <c r="E113" s="120"/>
      <c r="F113" s="120"/>
      <c r="H113" s="167"/>
      <c r="J113" s="168"/>
    </row>
    <row r="114" spans="1:10" x14ac:dyDescent="0.2">
      <c r="A114" s="113"/>
      <c r="C114" s="52"/>
      <c r="E114" s="120"/>
      <c r="F114" s="120"/>
      <c r="H114" s="167"/>
      <c r="J114" s="168"/>
    </row>
    <row r="115" spans="1:10" x14ac:dyDescent="0.2">
      <c r="A115" s="114"/>
      <c r="C115" s="52"/>
      <c r="E115" s="120"/>
      <c r="F115" s="120"/>
      <c r="H115" s="167"/>
      <c r="J115" s="168"/>
    </row>
    <row r="116" spans="1:10" x14ac:dyDescent="0.2">
      <c r="A116" s="113"/>
      <c r="D116" s="55"/>
      <c r="E116" s="120"/>
      <c r="F116" s="120"/>
      <c r="G116" s="169"/>
      <c r="H116" s="167"/>
      <c r="J116" s="168"/>
    </row>
    <row r="117" spans="1:10" x14ac:dyDescent="0.2">
      <c r="A117" s="113"/>
      <c r="C117" s="52"/>
      <c r="D117" s="170"/>
      <c r="E117" s="171"/>
      <c r="F117" s="167"/>
      <c r="G117" s="169"/>
      <c r="H117" s="167"/>
      <c r="J117" s="168"/>
    </row>
    <row r="118" spans="1:10" x14ac:dyDescent="0.2">
      <c r="A118" s="113"/>
      <c r="C118" s="52"/>
      <c r="D118" s="170"/>
      <c r="E118" s="167"/>
      <c r="F118" s="167"/>
      <c r="G118" s="169"/>
      <c r="H118" s="167"/>
      <c r="J118" s="168"/>
    </row>
    <row r="119" spans="1:10" x14ac:dyDescent="0.2">
      <c r="A119" s="113"/>
    </row>
    <row r="120" spans="1:10" x14ac:dyDescent="0.2">
      <c r="A120" s="113"/>
      <c r="B120" s="109"/>
    </row>
    <row r="121" spans="1:10" x14ac:dyDescent="0.2">
      <c r="A121" s="113"/>
    </row>
    <row r="122" spans="1:10" x14ac:dyDescent="0.2">
      <c r="A122" s="113"/>
    </row>
    <row r="123" spans="1:10" x14ac:dyDescent="0.2">
      <c r="A123" s="113"/>
      <c r="F123" s="113"/>
    </row>
    <row r="124" spans="1:10" x14ac:dyDescent="0.2">
      <c r="A124" s="113"/>
      <c r="F124" s="113"/>
    </row>
    <row r="125" spans="1:10" x14ac:dyDescent="0.2">
      <c r="A125" s="113"/>
      <c r="D125" s="113"/>
      <c r="E125" s="113"/>
      <c r="F125" s="113"/>
      <c r="H125" s="113"/>
    </row>
    <row r="126" spans="1:10" x14ac:dyDescent="0.2">
      <c r="A126" s="113"/>
      <c r="D126" s="113"/>
      <c r="E126" s="113"/>
      <c r="F126" s="113"/>
      <c r="G126" s="113"/>
      <c r="H126" s="172"/>
    </row>
    <row r="127" spans="1:10" x14ac:dyDescent="0.2">
      <c r="A127" s="114"/>
      <c r="C127" s="56"/>
      <c r="D127" s="56"/>
      <c r="E127" s="117"/>
      <c r="F127" s="173"/>
      <c r="G127" s="117"/>
      <c r="H127" s="172"/>
    </row>
    <row r="128" spans="1:10" x14ac:dyDescent="0.2">
      <c r="A128" s="113"/>
      <c r="C128" s="57"/>
      <c r="D128" s="53"/>
      <c r="E128" s="120"/>
      <c r="F128" s="120"/>
      <c r="G128" s="156"/>
      <c r="H128" s="167"/>
    </row>
    <row r="129" spans="1:8" x14ac:dyDescent="0.2">
      <c r="A129" s="113"/>
      <c r="C129" s="52"/>
      <c r="D129" s="53"/>
      <c r="E129" s="120"/>
      <c r="F129" s="120"/>
      <c r="G129" s="156"/>
      <c r="H129" s="167"/>
    </row>
    <row r="130" spans="1:8" x14ac:dyDescent="0.2">
      <c r="A130" s="113"/>
      <c r="C130" s="52"/>
      <c r="D130" s="53"/>
      <c r="E130" s="120"/>
      <c r="F130" s="120"/>
      <c r="G130" s="156"/>
      <c r="H130" s="167"/>
    </row>
    <row r="131" spans="1:8" x14ac:dyDescent="0.2">
      <c r="A131" s="113"/>
      <c r="C131" s="57"/>
      <c r="D131" s="53"/>
      <c r="E131" s="120"/>
      <c r="F131" s="120"/>
      <c r="G131" s="156"/>
      <c r="H131" s="167"/>
    </row>
    <row r="132" spans="1:8" x14ac:dyDescent="0.2">
      <c r="A132" s="113"/>
      <c r="C132" s="52"/>
      <c r="D132" s="53"/>
      <c r="E132" s="120"/>
      <c r="F132" s="120"/>
      <c r="G132" s="156"/>
      <c r="H132" s="167"/>
    </row>
    <row r="133" spans="1:8" x14ac:dyDescent="0.2">
      <c r="A133" s="113"/>
      <c r="C133" s="52"/>
      <c r="D133" s="53"/>
      <c r="E133" s="120"/>
      <c r="F133" s="120"/>
      <c r="G133" s="156"/>
      <c r="H133" s="167"/>
    </row>
    <row r="134" spans="1:8" x14ac:dyDescent="0.2">
      <c r="A134" s="113"/>
      <c r="C134" s="57"/>
      <c r="D134" s="53"/>
      <c r="E134" s="120"/>
      <c r="F134" s="120"/>
      <c r="G134" s="156"/>
      <c r="H134" s="167"/>
    </row>
    <row r="135" spans="1:8" x14ac:dyDescent="0.2">
      <c r="A135" s="113"/>
      <c r="C135" s="52"/>
      <c r="D135" s="53"/>
      <c r="E135" s="120"/>
      <c r="F135" s="120"/>
      <c r="G135" s="156"/>
      <c r="H135" s="167"/>
    </row>
    <row r="136" spans="1:8" x14ac:dyDescent="0.2">
      <c r="A136" s="113"/>
      <c r="C136" s="52"/>
      <c r="D136" s="53"/>
      <c r="E136" s="120"/>
      <c r="F136" s="120"/>
      <c r="G136" s="156"/>
      <c r="H136" s="167"/>
    </row>
    <row r="137" spans="1:8" x14ac:dyDescent="0.2">
      <c r="A137" s="113"/>
      <c r="C137" s="57"/>
      <c r="D137" s="53"/>
      <c r="E137" s="120"/>
      <c r="F137" s="120"/>
      <c r="G137" s="156"/>
      <c r="H137" s="167"/>
    </row>
    <row r="138" spans="1:8" x14ac:dyDescent="0.2">
      <c r="A138" s="113"/>
      <c r="C138" s="57"/>
      <c r="D138" s="53"/>
      <c r="E138" s="120"/>
      <c r="F138" s="120"/>
      <c r="G138" s="156"/>
      <c r="H138" s="167"/>
    </row>
    <row r="139" spans="1:8" x14ac:dyDescent="0.2">
      <c r="A139" s="113"/>
      <c r="C139" s="52"/>
      <c r="D139" s="53"/>
      <c r="E139" s="120"/>
      <c r="F139" s="120"/>
      <c r="G139" s="156"/>
      <c r="H139" s="171"/>
    </row>
    <row r="140" spans="1:8" x14ac:dyDescent="0.2">
      <c r="A140" s="113"/>
      <c r="E140" s="110"/>
      <c r="F140" s="110"/>
      <c r="G140" s="110"/>
      <c r="H140" s="167"/>
    </row>
    <row r="141" spans="1:8" x14ac:dyDescent="0.2">
      <c r="A141" s="113"/>
      <c r="C141" s="52"/>
      <c r="D141" s="53"/>
      <c r="E141" s="110"/>
      <c r="F141" s="174"/>
      <c r="G141" s="156"/>
      <c r="H141" s="147"/>
    </row>
    <row r="142" spans="1:8" x14ac:dyDescent="0.2">
      <c r="A142" s="113"/>
      <c r="B142" s="109"/>
      <c r="C142" s="52"/>
      <c r="D142" s="53"/>
      <c r="E142" s="110"/>
      <c r="F142" s="174"/>
      <c r="G142" s="156"/>
      <c r="H142" s="147"/>
    </row>
    <row r="143" spans="1:8" x14ac:dyDescent="0.2">
      <c r="A143" s="114"/>
      <c r="B143" s="109"/>
      <c r="C143" s="52"/>
      <c r="D143" s="53"/>
      <c r="E143" s="110"/>
      <c r="F143" s="174"/>
      <c r="G143" s="156"/>
      <c r="H143" s="147"/>
    </row>
    <row r="144" spans="1:8" x14ac:dyDescent="0.2">
      <c r="A144" s="113"/>
      <c r="C144" s="52"/>
      <c r="D144" s="58"/>
      <c r="E144" s="120"/>
      <c r="F144" s="175"/>
      <c r="G144" s="156"/>
      <c r="H144" s="147"/>
    </row>
    <row r="145" spans="1:10" x14ac:dyDescent="0.2">
      <c r="A145" s="113"/>
      <c r="C145" s="52"/>
      <c r="D145" s="176"/>
      <c r="E145" s="120"/>
      <c r="F145" s="175"/>
      <c r="G145" s="156"/>
      <c r="H145" s="147"/>
    </row>
    <row r="146" spans="1:10" x14ac:dyDescent="0.2">
      <c r="A146" s="113"/>
      <c r="C146" s="52"/>
      <c r="D146" s="176"/>
      <c r="E146" s="171"/>
      <c r="F146" s="177"/>
      <c r="G146" s="156"/>
      <c r="H146" s="147"/>
    </row>
    <row r="147" spans="1:10" x14ac:dyDescent="0.2">
      <c r="A147" s="113"/>
      <c r="C147" s="52"/>
      <c r="D147" s="58"/>
      <c r="E147" s="167"/>
      <c r="F147" s="147"/>
      <c r="G147" s="156"/>
      <c r="H147" s="147"/>
    </row>
    <row r="148" spans="1:10" x14ac:dyDescent="0.2">
      <c r="A148" s="113"/>
      <c r="C148" s="52"/>
      <c r="D148" s="53"/>
      <c r="F148" s="147"/>
      <c r="G148" s="156"/>
      <c r="H148" s="147"/>
    </row>
    <row r="149" spans="1:10" x14ac:dyDescent="0.2">
      <c r="A149" s="113"/>
    </row>
    <row r="150" spans="1:10" x14ac:dyDescent="0.2">
      <c r="A150" s="113"/>
    </row>
    <row r="151" spans="1:10" x14ac:dyDescent="0.2">
      <c r="A151" s="113"/>
    </row>
    <row r="152" spans="1:10" x14ac:dyDescent="0.2">
      <c r="A152" s="113"/>
      <c r="B152" s="109"/>
    </row>
    <row r="153" spans="1:10" x14ac:dyDescent="0.2">
      <c r="A153" s="113"/>
      <c r="B153" s="169"/>
    </row>
    <row r="154" spans="1:10" x14ac:dyDescent="0.2">
      <c r="A154" s="113"/>
      <c r="B154" s="169"/>
    </row>
    <row r="155" spans="1:10" x14ac:dyDescent="0.2">
      <c r="A155" s="113"/>
      <c r="B155" s="169"/>
    </row>
    <row r="156" spans="1:10" x14ac:dyDescent="0.2">
      <c r="A156" s="113"/>
    </row>
    <row r="157" spans="1:10" x14ac:dyDescent="0.2">
      <c r="A157" s="113"/>
      <c r="B157" s="109"/>
    </row>
    <row r="158" spans="1:10" x14ac:dyDescent="0.2">
      <c r="A158" s="113"/>
    </row>
    <row r="159" spans="1:10" x14ac:dyDescent="0.2">
      <c r="A159" s="114"/>
      <c r="C159" s="56"/>
      <c r="D159" s="117"/>
      <c r="G159" s="110"/>
      <c r="H159" s="110"/>
      <c r="I159" s="110"/>
      <c r="J159" s="110"/>
    </row>
    <row r="160" spans="1:10" x14ac:dyDescent="0.2">
      <c r="A160" s="113"/>
      <c r="C160" s="57"/>
      <c r="D160" s="178"/>
      <c r="F160" s="179"/>
      <c r="G160" s="110"/>
      <c r="H160" s="110"/>
      <c r="I160" s="110"/>
      <c r="J160" s="110"/>
    </row>
    <row r="161" spans="1:10" x14ac:dyDescent="0.2">
      <c r="A161" s="113"/>
      <c r="C161" s="52"/>
      <c r="D161" s="178"/>
      <c r="F161" s="179"/>
      <c r="G161" s="110"/>
      <c r="H161" s="110"/>
      <c r="I161" s="110"/>
      <c r="J161" s="110"/>
    </row>
    <row r="162" spans="1:10" x14ac:dyDescent="0.2">
      <c r="A162" s="113"/>
      <c r="C162" s="52"/>
      <c r="D162" s="178"/>
      <c r="F162" s="179"/>
      <c r="G162" s="110"/>
      <c r="H162" s="110"/>
      <c r="I162" s="110"/>
      <c r="J162" s="110"/>
    </row>
    <row r="163" spans="1:10" x14ac:dyDescent="0.2">
      <c r="A163" s="113"/>
      <c r="C163" s="57"/>
      <c r="D163" s="178"/>
      <c r="F163" s="179"/>
      <c r="G163" s="110"/>
      <c r="H163" s="110"/>
      <c r="I163" s="110"/>
      <c r="J163" s="110"/>
    </row>
    <row r="164" spans="1:10" x14ac:dyDescent="0.2">
      <c r="A164" s="113"/>
      <c r="C164" s="52"/>
      <c r="D164" s="178"/>
      <c r="F164" s="179"/>
      <c r="G164" s="110"/>
      <c r="H164" s="110"/>
      <c r="I164" s="110"/>
      <c r="J164" s="110"/>
    </row>
    <row r="165" spans="1:10" x14ac:dyDescent="0.2">
      <c r="A165" s="113"/>
      <c r="C165" s="52"/>
      <c r="D165" s="178"/>
      <c r="F165" s="179"/>
      <c r="G165" s="110"/>
      <c r="H165" s="110"/>
      <c r="I165" s="110"/>
      <c r="J165" s="110"/>
    </row>
    <row r="166" spans="1:10" x14ac:dyDescent="0.2">
      <c r="A166" s="113"/>
      <c r="C166" s="57"/>
      <c r="D166" s="178"/>
      <c r="F166" s="179"/>
      <c r="G166" s="110"/>
      <c r="H166" s="110"/>
      <c r="I166" s="110"/>
      <c r="J166" s="110"/>
    </row>
    <row r="167" spans="1:10" x14ac:dyDescent="0.2">
      <c r="A167" s="113"/>
      <c r="C167" s="52"/>
      <c r="D167" s="178"/>
      <c r="F167" s="179"/>
      <c r="G167" s="110"/>
      <c r="H167" s="110"/>
      <c r="I167" s="110"/>
      <c r="J167" s="110"/>
    </row>
    <row r="168" spans="1:10" x14ac:dyDescent="0.2">
      <c r="A168" s="113"/>
      <c r="C168" s="52"/>
      <c r="D168" s="178"/>
      <c r="F168" s="179"/>
      <c r="G168" s="110"/>
      <c r="H168" s="110"/>
      <c r="I168" s="110"/>
      <c r="J168" s="110"/>
    </row>
    <row r="169" spans="1:10" x14ac:dyDescent="0.2">
      <c r="A169" s="113"/>
      <c r="C169" s="57"/>
      <c r="D169" s="178"/>
      <c r="F169" s="179"/>
      <c r="G169" s="110"/>
      <c r="H169" s="110"/>
      <c r="I169" s="110"/>
      <c r="J169" s="110"/>
    </row>
    <row r="170" spans="1:10" x14ac:dyDescent="0.2">
      <c r="A170" s="113"/>
      <c r="C170" s="57"/>
      <c r="D170" s="178"/>
      <c r="F170" s="179"/>
    </row>
    <row r="171" spans="1:10" x14ac:dyDescent="0.2">
      <c r="A171" s="113"/>
      <c r="C171" s="52"/>
      <c r="D171" s="180"/>
      <c r="F171" s="181"/>
    </row>
    <row r="172" spans="1:10" x14ac:dyDescent="0.2">
      <c r="A172" s="113"/>
      <c r="C172" s="55"/>
      <c r="D172" s="178"/>
    </row>
  </sheetData>
  <pageMargins left="0.75" right="0.75" top="1" bottom="1" header="0.5" footer="0.5"/>
  <pageSetup scale="80" orientation="landscape" cellComments="asDisplayed" r:id="rId1"/>
  <headerFooter alignWithMargins="0">
    <oddHeader>&amp;CSchedule 4
True Up TRR
(Revised 2015 True Up TRR)&amp;RExhibit SCE-29
TO2019A
WP-Schedule 3-One Time Adj Prior Period
Page &amp;P of &amp;N</oddHeader>
    <oddFooter>&amp;R&amp;A</oddFooter>
  </headerFooter>
  <rowBreaks count="4" manualBreakCount="4">
    <brk id="46" max="9"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T254"/>
  <sheetViews>
    <sheetView topLeftCell="A238" zoomScale="120" zoomScaleNormal="120" zoomScalePageLayoutView="80" workbookViewId="0">
      <selection activeCell="A3" sqref="A3"/>
    </sheetView>
  </sheetViews>
  <sheetFormatPr defaultRowHeight="12.75" x14ac:dyDescent="0.2"/>
  <cols>
    <col min="1" max="1" width="6.28515625" style="332" customWidth="1"/>
    <col min="2" max="2" width="8.5703125" style="229" customWidth="1"/>
    <col min="3" max="3" width="9.85546875" style="332" customWidth="1"/>
    <col min="4" max="4" width="51.5703125" style="229" customWidth="1"/>
    <col min="5" max="5" width="16.28515625" style="328" customWidth="1"/>
    <col min="6" max="6" width="16.140625" style="328" customWidth="1"/>
    <col min="7" max="7" width="18.42578125" style="328" bestFit="1" customWidth="1"/>
    <col min="8" max="8" width="15.85546875" style="329" bestFit="1" customWidth="1"/>
    <col min="9" max="9" width="16.85546875" style="329" bestFit="1" customWidth="1"/>
    <col min="10" max="10" width="15.7109375" style="328" customWidth="1"/>
    <col min="11" max="11" width="6.5703125" style="330" customWidth="1"/>
    <col min="12" max="12" width="16.42578125" style="331" customWidth="1"/>
    <col min="13" max="13" width="17.140625" style="287" bestFit="1" customWidth="1"/>
    <col min="14" max="14" width="18.42578125" style="328" bestFit="1" customWidth="1"/>
    <col min="15" max="15" width="8.5703125" style="287" customWidth="1"/>
    <col min="16" max="16384" width="9.140625" style="63"/>
  </cols>
  <sheetData>
    <row r="1" spans="1:15" x14ac:dyDescent="0.2">
      <c r="A1" s="232"/>
      <c r="B1" s="233" t="s">
        <v>271</v>
      </c>
      <c r="C1" s="234" t="s">
        <v>275</v>
      </c>
      <c r="D1" s="233" t="s">
        <v>280</v>
      </c>
      <c r="E1" s="234" t="s">
        <v>425</v>
      </c>
      <c r="F1" s="233" t="s">
        <v>281</v>
      </c>
      <c r="G1" s="234" t="s">
        <v>433</v>
      </c>
      <c r="H1" s="233" t="s">
        <v>428</v>
      </c>
      <c r="I1" s="234" t="s">
        <v>429</v>
      </c>
      <c r="J1" s="233" t="s">
        <v>441</v>
      </c>
      <c r="K1" s="234" t="s">
        <v>442</v>
      </c>
      <c r="L1" s="233" t="s">
        <v>443</v>
      </c>
      <c r="M1" s="234" t="s">
        <v>444</v>
      </c>
      <c r="N1" s="233" t="s">
        <v>445</v>
      </c>
      <c r="O1" s="234" t="s">
        <v>446</v>
      </c>
    </row>
    <row r="2" spans="1:15" x14ac:dyDescent="0.2">
      <c r="A2" s="235"/>
      <c r="B2" s="236"/>
      <c r="C2" s="236"/>
      <c r="D2" s="236"/>
      <c r="E2" s="237"/>
      <c r="F2" s="237"/>
      <c r="G2" s="541" t="s">
        <v>447</v>
      </c>
      <c r="H2" s="542"/>
      <c r="I2" s="543"/>
      <c r="J2" s="541" t="s">
        <v>448</v>
      </c>
      <c r="K2" s="542"/>
      <c r="L2" s="542"/>
      <c r="M2" s="543"/>
      <c r="N2" s="238" t="s">
        <v>449</v>
      </c>
      <c r="O2" s="235"/>
    </row>
    <row r="3" spans="1:15" ht="25.5" x14ac:dyDescent="0.2">
      <c r="A3" s="239" t="s">
        <v>277</v>
      </c>
      <c r="B3" s="240" t="s">
        <v>450</v>
      </c>
      <c r="C3" s="241" t="s">
        <v>451</v>
      </c>
      <c r="D3" s="240" t="s">
        <v>452</v>
      </c>
      <c r="E3" s="242" t="s">
        <v>453</v>
      </c>
      <c r="F3" s="243" t="s">
        <v>454</v>
      </c>
      <c r="G3" s="243" t="s">
        <v>285</v>
      </c>
      <c r="H3" s="244" t="s">
        <v>455</v>
      </c>
      <c r="I3" s="244" t="s">
        <v>456</v>
      </c>
      <c r="J3" s="242" t="s">
        <v>285</v>
      </c>
      <c r="K3" s="245" t="s">
        <v>457</v>
      </c>
      <c r="L3" s="246" t="s">
        <v>458</v>
      </c>
      <c r="M3" s="247" t="s">
        <v>421</v>
      </c>
      <c r="N3" s="242" t="s">
        <v>285</v>
      </c>
      <c r="O3" s="247" t="s">
        <v>42</v>
      </c>
    </row>
    <row r="4" spans="1:15" x14ac:dyDescent="0.2">
      <c r="A4" s="248" t="s">
        <v>459</v>
      </c>
      <c r="B4" s="249">
        <v>450</v>
      </c>
      <c r="C4" s="249" t="s">
        <v>460</v>
      </c>
      <c r="D4" s="250" t="s">
        <v>461</v>
      </c>
      <c r="E4" s="251">
        <v>6591989.8799999999</v>
      </c>
      <c r="F4" s="252" t="str">
        <f>$G$2</f>
        <v>Traditional OOR</v>
      </c>
      <c r="G4" s="253">
        <f>IF(F4=$G$2,E4,0)</f>
        <v>6591989.8799999999</v>
      </c>
      <c r="H4" s="254">
        <v>0</v>
      </c>
      <c r="I4" s="254">
        <f>G4-H4</f>
        <v>6591989.8799999999</v>
      </c>
      <c r="J4" s="253">
        <f>IF(F4=$J$2,E4,0)</f>
        <v>0</v>
      </c>
      <c r="K4" s="253"/>
      <c r="L4" s="251"/>
      <c r="M4" s="255">
        <f>J4-L4</f>
        <v>0</v>
      </c>
      <c r="N4" s="253">
        <f>IF(F4=$N$2,E4,0)</f>
        <v>0</v>
      </c>
      <c r="O4" s="256">
        <v>1</v>
      </c>
    </row>
    <row r="5" spans="1:15" x14ac:dyDescent="0.2">
      <c r="A5" s="257" t="s">
        <v>462</v>
      </c>
      <c r="B5" s="249">
        <v>450</v>
      </c>
      <c r="C5" s="258" t="s">
        <v>463</v>
      </c>
      <c r="D5" s="250" t="s">
        <v>464</v>
      </c>
      <c r="E5" s="251">
        <v>11085585.529999999</v>
      </c>
      <c r="F5" s="252" t="str">
        <f>$G$2</f>
        <v>Traditional OOR</v>
      </c>
      <c r="G5" s="253">
        <f>IF(F5=$G$2,E5,0)</f>
        <v>11085585.529999999</v>
      </c>
      <c r="H5" s="254">
        <v>0</v>
      </c>
      <c r="I5" s="254">
        <f>G5-H5</f>
        <v>11085585.529999999</v>
      </c>
      <c r="J5" s="253">
        <f>IF(F5=$J$2,E5,0)</f>
        <v>0</v>
      </c>
      <c r="K5" s="253"/>
      <c r="L5" s="251"/>
      <c r="M5" s="255">
        <f>J5-L5</f>
        <v>0</v>
      </c>
      <c r="N5" s="253">
        <f>IF(F5=$N$2,E5,0)</f>
        <v>0</v>
      </c>
      <c r="O5" s="259">
        <v>1</v>
      </c>
    </row>
    <row r="6" spans="1:15" x14ac:dyDescent="0.2">
      <c r="A6" s="257" t="s">
        <v>465</v>
      </c>
      <c r="B6" s="249">
        <v>450</v>
      </c>
      <c r="C6" s="258" t="s">
        <v>466</v>
      </c>
      <c r="D6" s="250" t="s">
        <v>467</v>
      </c>
      <c r="E6" s="260">
        <v>0</v>
      </c>
      <c r="F6" s="252" t="str">
        <f>$G$2</f>
        <v>Traditional OOR</v>
      </c>
      <c r="G6" s="253">
        <f>IF(F6=$G$2,E6,0)</f>
        <v>0</v>
      </c>
      <c r="H6" s="254">
        <v>0</v>
      </c>
      <c r="I6" s="254">
        <f>G6-H6</f>
        <v>0</v>
      </c>
      <c r="J6" s="253">
        <f>IF(F6=$J$2,E6,0)</f>
        <v>0</v>
      </c>
      <c r="K6" s="253"/>
      <c r="L6" s="251"/>
      <c r="M6" s="255">
        <f>J6-L6</f>
        <v>0</v>
      </c>
      <c r="N6" s="253">
        <f>IF(F6=$N$2,E6,0)</f>
        <v>0</v>
      </c>
      <c r="O6" s="259">
        <v>1</v>
      </c>
    </row>
    <row r="7" spans="1:15" x14ac:dyDescent="0.2">
      <c r="A7" s="261"/>
      <c r="B7" s="262"/>
      <c r="C7" s="263"/>
      <c r="D7" s="264"/>
      <c r="E7" s="260"/>
      <c r="F7" s="265"/>
      <c r="G7" s="251"/>
      <c r="H7" s="266"/>
      <c r="I7" s="266"/>
      <c r="J7" s="251"/>
      <c r="K7" s="251"/>
      <c r="L7" s="251"/>
      <c r="M7" s="266"/>
      <c r="N7" s="251"/>
      <c r="O7" s="267"/>
    </row>
    <row r="8" spans="1:15" x14ac:dyDescent="0.2">
      <c r="A8" s="261"/>
      <c r="B8" s="262"/>
      <c r="C8" s="263"/>
      <c r="D8" s="264"/>
      <c r="E8" s="260"/>
      <c r="F8" s="265"/>
      <c r="G8" s="251"/>
      <c r="H8" s="266"/>
      <c r="I8" s="266"/>
      <c r="J8" s="251"/>
      <c r="K8" s="251"/>
      <c r="L8" s="251"/>
      <c r="M8" s="266"/>
      <c r="N8" s="251"/>
      <c r="O8" s="267"/>
    </row>
    <row r="9" spans="1:15" x14ac:dyDescent="0.2">
      <c r="A9" s="257">
        <v>2</v>
      </c>
      <c r="B9" s="534" t="s">
        <v>468</v>
      </c>
      <c r="C9" s="526"/>
      <c r="D9" s="527"/>
      <c r="E9" s="268">
        <f>SUM(E4:E8)</f>
        <v>17677575.41</v>
      </c>
      <c r="F9" s="269"/>
      <c r="G9" s="268">
        <f>SUM(G4:G8)</f>
        <v>17677575.41</v>
      </c>
      <c r="H9" s="270">
        <f>SUM(H4:H8)</f>
        <v>0</v>
      </c>
      <c r="I9" s="271">
        <f>SUM(I4:I8)</f>
        <v>17677575.41</v>
      </c>
      <c r="J9" s="268">
        <f>SUM(J4:J8)</f>
        <v>0</v>
      </c>
      <c r="K9" s="272"/>
      <c r="L9" s="268">
        <f>SUM(L4:L8)</f>
        <v>0</v>
      </c>
      <c r="M9" s="268">
        <f>SUM(M4:M8)</f>
        <v>0</v>
      </c>
      <c r="N9" s="268">
        <f>SUM(N4:N8)</f>
        <v>0</v>
      </c>
      <c r="O9" s="259"/>
    </row>
    <row r="10" spans="1:15" ht="12.75" customHeight="1" x14ac:dyDescent="0.2">
      <c r="A10" s="257">
        <v>3</v>
      </c>
      <c r="B10" s="535" t="s">
        <v>469</v>
      </c>
      <c r="C10" s="536"/>
      <c r="D10" s="537"/>
      <c r="E10" s="273">
        <v>17677575</v>
      </c>
      <c r="F10" s="274"/>
      <c r="G10" s="275"/>
      <c r="H10" s="274"/>
      <c r="I10" s="274"/>
      <c r="J10" s="275"/>
      <c r="K10" s="274"/>
      <c r="L10" s="275"/>
      <c r="M10" s="275"/>
      <c r="N10" s="275"/>
      <c r="O10" s="276"/>
    </row>
    <row r="11" spans="1:15" x14ac:dyDescent="0.2">
      <c r="A11" s="277"/>
      <c r="B11" s="278"/>
      <c r="C11" s="279"/>
      <c r="D11" s="280"/>
      <c r="E11" s="275"/>
      <c r="F11" s="275"/>
      <c r="G11" s="275"/>
      <c r="H11" s="274"/>
      <c r="I11" s="274"/>
      <c r="J11" s="275"/>
      <c r="K11" s="274"/>
      <c r="L11" s="275"/>
      <c r="M11" s="275"/>
      <c r="N11" s="275"/>
      <c r="O11" s="276"/>
    </row>
    <row r="12" spans="1:15" x14ac:dyDescent="0.2">
      <c r="A12" s="257" t="s">
        <v>470</v>
      </c>
      <c r="B12" s="249">
        <v>451</v>
      </c>
      <c r="C12" s="258" t="s">
        <v>471</v>
      </c>
      <c r="D12" s="250" t="s">
        <v>472</v>
      </c>
      <c r="E12" s="251">
        <v>103089.37</v>
      </c>
      <c r="F12" s="252" t="str">
        <f t="shared" ref="F12:F17" si="0">$G$2</f>
        <v>Traditional OOR</v>
      </c>
      <c r="G12" s="253">
        <f t="shared" ref="G12:G28" si="1">IF(F12=$G$2,E12,0)</f>
        <v>103089.37</v>
      </c>
      <c r="H12" s="254">
        <v>0</v>
      </c>
      <c r="I12" s="254">
        <f t="shared" ref="I12:I28" si="2">G12-H12</f>
        <v>103089.37</v>
      </c>
      <c r="J12" s="253">
        <f t="shared" ref="J12:J28" si="3">IF(F12=$J$2,E12,0)</f>
        <v>0</v>
      </c>
      <c r="K12" s="253"/>
      <c r="L12" s="266"/>
      <c r="M12" s="255">
        <f t="shared" ref="M12:M18" si="4">J12-L12</f>
        <v>0</v>
      </c>
      <c r="N12" s="253">
        <f t="shared" ref="N12:N28" si="5">IF(F12=$N$2,E12,0)</f>
        <v>0</v>
      </c>
      <c r="O12" s="259">
        <v>1</v>
      </c>
    </row>
    <row r="13" spans="1:15" x14ac:dyDescent="0.2">
      <c r="A13" s="257" t="s">
        <v>473</v>
      </c>
      <c r="B13" s="249">
        <v>451</v>
      </c>
      <c r="C13" s="258" t="s">
        <v>474</v>
      </c>
      <c r="D13" s="250" t="s">
        <v>475</v>
      </c>
      <c r="E13" s="251">
        <v>534668.04</v>
      </c>
      <c r="F13" s="252" t="str">
        <f t="shared" si="0"/>
        <v>Traditional OOR</v>
      </c>
      <c r="G13" s="253">
        <f t="shared" si="1"/>
        <v>534668.04</v>
      </c>
      <c r="H13" s="254">
        <v>0</v>
      </c>
      <c r="I13" s="254">
        <f t="shared" si="2"/>
        <v>534668.04</v>
      </c>
      <c r="J13" s="253">
        <f t="shared" si="3"/>
        <v>0</v>
      </c>
      <c r="K13" s="253"/>
      <c r="L13" s="266"/>
      <c r="M13" s="255">
        <f t="shared" si="4"/>
        <v>0</v>
      </c>
      <c r="N13" s="253">
        <f t="shared" si="5"/>
        <v>0</v>
      </c>
      <c r="O13" s="259">
        <v>1</v>
      </c>
    </row>
    <row r="14" spans="1:15" x14ac:dyDescent="0.2">
      <c r="A14" s="257" t="s">
        <v>476</v>
      </c>
      <c r="B14" s="249">
        <v>451</v>
      </c>
      <c r="C14" s="258" t="s">
        <v>477</v>
      </c>
      <c r="D14" s="250" t="s">
        <v>478</v>
      </c>
      <c r="E14" s="251">
        <v>0</v>
      </c>
      <c r="F14" s="252" t="str">
        <f t="shared" si="0"/>
        <v>Traditional OOR</v>
      </c>
      <c r="G14" s="253">
        <f t="shared" si="1"/>
        <v>0</v>
      </c>
      <c r="H14" s="254">
        <v>0</v>
      </c>
      <c r="I14" s="254">
        <f t="shared" si="2"/>
        <v>0</v>
      </c>
      <c r="J14" s="253">
        <f t="shared" si="3"/>
        <v>0</v>
      </c>
      <c r="K14" s="253"/>
      <c r="L14" s="266"/>
      <c r="M14" s="255">
        <f t="shared" si="4"/>
        <v>0</v>
      </c>
      <c r="N14" s="253">
        <f t="shared" si="5"/>
        <v>0</v>
      </c>
      <c r="O14" s="259">
        <v>1</v>
      </c>
    </row>
    <row r="15" spans="1:15" x14ac:dyDescent="0.2">
      <c r="A15" s="257" t="s">
        <v>479</v>
      </c>
      <c r="B15" s="249">
        <v>451</v>
      </c>
      <c r="C15" s="258" t="s">
        <v>480</v>
      </c>
      <c r="D15" s="250" t="s">
        <v>481</v>
      </c>
      <c r="E15" s="251">
        <v>1510177.63</v>
      </c>
      <c r="F15" s="252" t="str">
        <f t="shared" si="0"/>
        <v>Traditional OOR</v>
      </c>
      <c r="G15" s="253">
        <f t="shared" si="1"/>
        <v>1510177.63</v>
      </c>
      <c r="H15" s="254">
        <v>0</v>
      </c>
      <c r="I15" s="254">
        <f t="shared" si="2"/>
        <v>1510177.63</v>
      </c>
      <c r="J15" s="253">
        <f t="shared" si="3"/>
        <v>0</v>
      </c>
      <c r="K15" s="253"/>
      <c r="L15" s="266"/>
      <c r="M15" s="255">
        <f t="shared" si="4"/>
        <v>0</v>
      </c>
      <c r="N15" s="253">
        <f t="shared" si="5"/>
        <v>0</v>
      </c>
      <c r="O15" s="259">
        <v>1</v>
      </c>
    </row>
    <row r="16" spans="1:15" x14ac:dyDescent="0.2">
      <c r="A16" s="257" t="s">
        <v>482</v>
      </c>
      <c r="B16" s="249">
        <v>451</v>
      </c>
      <c r="C16" s="258" t="s">
        <v>483</v>
      </c>
      <c r="D16" s="250" t="s">
        <v>484</v>
      </c>
      <c r="E16" s="251">
        <v>20452.18</v>
      </c>
      <c r="F16" s="252" t="str">
        <f t="shared" si="0"/>
        <v>Traditional OOR</v>
      </c>
      <c r="G16" s="253">
        <f t="shared" si="1"/>
        <v>20452.18</v>
      </c>
      <c r="H16" s="254">
        <v>0</v>
      </c>
      <c r="I16" s="254">
        <f t="shared" si="2"/>
        <v>20452.18</v>
      </c>
      <c r="J16" s="253">
        <f t="shared" si="3"/>
        <v>0</v>
      </c>
      <c r="K16" s="253"/>
      <c r="L16" s="266"/>
      <c r="M16" s="255">
        <f t="shared" si="4"/>
        <v>0</v>
      </c>
      <c r="N16" s="253">
        <f t="shared" si="5"/>
        <v>0</v>
      </c>
      <c r="O16" s="259">
        <v>1</v>
      </c>
    </row>
    <row r="17" spans="1:15" x14ac:dyDescent="0.2">
      <c r="A17" s="257" t="s">
        <v>485</v>
      </c>
      <c r="B17" s="249">
        <v>451</v>
      </c>
      <c r="C17" s="258" t="s">
        <v>486</v>
      </c>
      <c r="D17" s="250" t="s">
        <v>487</v>
      </c>
      <c r="E17" s="251">
        <v>736.17</v>
      </c>
      <c r="F17" s="252" t="str">
        <f t="shared" si="0"/>
        <v>Traditional OOR</v>
      </c>
      <c r="G17" s="253">
        <f t="shared" si="1"/>
        <v>736.17</v>
      </c>
      <c r="H17" s="254">
        <v>0</v>
      </c>
      <c r="I17" s="254">
        <f t="shared" si="2"/>
        <v>736.17</v>
      </c>
      <c r="J17" s="253">
        <f t="shared" si="3"/>
        <v>0</v>
      </c>
      <c r="K17" s="253"/>
      <c r="L17" s="266"/>
      <c r="M17" s="255">
        <f t="shared" si="4"/>
        <v>0</v>
      </c>
      <c r="N17" s="253">
        <f t="shared" si="5"/>
        <v>0</v>
      </c>
      <c r="O17" s="259">
        <v>1</v>
      </c>
    </row>
    <row r="18" spans="1:15" x14ac:dyDescent="0.2">
      <c r="A18" s="257" t="s">
        <v>488</v>
      </c>
      <c r="B18" s="249">
        <v>451</v>
      </c>
      <c r="C18" s="258" t="s">
        <v>489</v>
      </c>
      <c r="D18" s="250" t="s">
        <v>490</v>
      </c>
      <c r="E18" s="251">
        <v>107.82</v>
      </c>
      <c r="F18" s="252" t="str">
        <f>$G$2</f>
        <v>Traditional OOR</v>
      </c>
      <c r="G18" s="253">
        <f t="shared" si="1"/>
        <v>107.82</v>
      </c>
      <c r="H18" s="254">
        <v>0</v>
      </c>
      <c r="I18" s="254">
        <f t="shared" si="2"/>
        <v>107.82</v>
      </c>
      <c r="J18" s="253">
        <f t="shared" si="3"/>
        <v>0</v>
      </c>
      <c r="K18" s="253"/>
      <c r="L18" s="266"/>
      <c r="M18" s="255">
        <f t="shared" si="4"/>
        <v>0</v>
      </c>
      <c r="N18" s="253">
        <f t="shared" si="5"/>
        <v>0</v>
      </c>
      <c r="O18" s="259">
        <v>1</v>
      </c>
    </row>
    <row r="19" spans="1:15" x14ac:dyDescent="0.2">
      <c r="A19" s="257" t="s">
        <v>491</v>
      </c>
      <c r="B19" s="249">
        <v>451</v>
      </c>
      <c r="C19" s="258" t="s">
        <v>492</v>
      </c>
      <c r="D19" s="250" t="s">
        <v>493</v>
      </c>
      <c r="E19" s="251">
        <v>49.57</v>
      </c>
      <c r="F19" s="252" t="str">
        <f>$J$2</f>
        <v>GRSM</v>
      </c>
      <c r="G19" s="253">
        <f t="shared" si="1"/>
        <v>0</v>
      </c>
      <c r="H19" s="254">
        <v>0</v>
      </c>
      <c r="I19" s="254">
        <f t="shared" si="2"/>
        <v>0</v>
      </c>
      <c r="J19" s="253">
        <f t="shared" si="3"/>
        <v>49.57</v>
      </c>
      <c r="K19" s="281" t="s">
        <v>494</v>
      </c>
      <c r="L19" s="266">
        <v>-25.43</v>
      </c>
      <c r="M19" s="255">
        <f>J19-L19</f>
        <v>75</v>
      </c>
      <c r="N19" s="253">
        <f t="shared" si="5"/>
        <v>0</v>
      </c>
      <c r="O19" s="259">
        <v>2</v>
      </c>
    </row>
    <row r="20" spans="1:15" x14ac:dyDescent="0.2">
      <c r="A20" s="257" t="s">
        <v>495</v>
      </c>
      <c r="B20" s="249">
        <v>451</v>
      </c>
      <c r="C20" s="258" t="s">
        <v>496</v>
      </c>
      <c r="D20" s="250" t="s">
        <v>497</v>
      </c>
      <c r="E20" s="251">
        <v>229441.43</v>
      </c>
      <c r="F20" s="252" t="str">
        <f>$N$2</f>
        <v>Other Ratemaking</v>
      </c>
      <c r="G20" s="253">
        <f t="shared" si="1"/>
        <v>0</v>
      </c>
      <c r="H20" s="254">
        <v>0</v>
      </c>
      <c r="I20" s="254">
        <f t="shared" si="2"/>
        <v>0</v>
      </c>
      <c r="J20" s="253">
        <f t="shared" si="3"/>
        <v>0</v>
      </c>
      <c r="K20" s="253"/>
      <c r="L20" s="266"/>
      <c r="M20" s="255">
        <f>J20-L20</f>
        <v>0</v>
      </c>
      <c r="N20" s="253">
        <f t="shared" si="5"/>
        <v>229441.43</v>
      </c>
      <c r="O20" s="259">
        <v>6</v>
      </c>
    </row>
    <row r="21" spans="1:15" x14ac:dyDescent="0.2">
      <c r="A21" s="248" t="s">
        <v>498</v>
      </c>
      <c r="B21" s="249">
        <v>451</v>
      </c>
      <c r="C21" s="249">
        <v>4182120</v>
      </c>
      <c r="D21" s="282" t="s">
        <v>499</v>
      </c>
      <c r="E21" s="251">
        <v>3003.16</v>
      </c>
      <c r="F21" s="252" t="str">
        <f>$G$2</f>
        <v>Traditional OOR</v>
      </c>
      <c r="G21" s="253">
        <f t="shared" si="1"/>
        <v>3003.16</v>
      </c>
      <c r="H21" s="254">
        <v>0</v>
      </c>
      <c r="I21" s="254">
        <f t="shared" si="2"/>
        <v>3003.16</v>
      </c>
      <c r="J21" s="253">
        <f t="shared" si="3"/>
        <v>0</v>
      </c>
      <c r="K21" s="253"/>
      <c r="L21" s="266"/>
      <c r="M21" s="254">
        <f t="shared" ref="M21:M28" si="6">J21-L21</f>
        <v>0</v>
      </c>
      <c r="N21" s="253">
        <f t="shared" si="5"/>
        <v>0</v>
      </c>
      <c r="O21" s="256">
        <v>1</v>
      </c>
    </row>
    <row r="22" spans="1:15" x14ac:dyDescent="0.2">
      <c r="A22" s="248" t="s">
        <v>500</v>
      </c>
      <c r="B22" s="249">
        <v>451</v>
      </c>
      <c r="C22" s="249">
        <v>4192152</v>
      </c>
      <c r="D22" s="282" t="s">
        <v>501</v>
      </c>
      <c r="E22" s="251">
        <v>3040</v>
      </c>
      <c r="F22" s="252" t="str">
        <f>$N$2</f>
        <v>Other Ratemaking</v>
      </c>
      <c r="G22" s="253">
        <f t="shared" si="1"/>
        <v>0</v>
      </c>
      <c r="H22" s="254">
        <v>0</v>
      </c>
      <c r="I22" s="254">
        <f t="shared" si="2"/>
        <v>0</v>
      </c>
      <c r="J22" s="253">
        <f t="shared" si="3"/>
        <v>0</v>
      </c>
      <c r="K22" s="253"/>
      <c r="L22" s="266"/>
      <c r="M22" s="254">
        <f t="shared" si="6"/>
        <v>0</v>
      </c>
      <c r="N22" s="253">
        <f t="shared" si="5"/>
        <v>3040</v>
      </c>
      <c r="O22" s="256">
        <v>1</v>
      </c>
    </row>
    <row r="23" spans="1:15" x14ac:dyDescent="0.2">
      <c r="A23" s="248" t="s">
        <v>502</v>
      </c>
      <c r="B23" s="249">
        <v>451</v>
      </c>
      <c r="C23" s="249">
        <v>4192155</v>
      </c>
      <c r="D23" s="282" t="s">
        <v>503</v>
      </c>
      <c r="E23" s="251">
        <v>242820</v>
      </c>
      <c r="F23" s="252" t="str">
        <f>$N$2</f>
        <v>Other Ratemaking</v>
      </c>
      <c r="G23" s="253">
        <f t="shared" si="1"/>
        <v>0</v>
      </c>
      <c r="H23" s="254">
        <v>0</v>
      </c>
      <c r="I23" s="254">
        <f t="shared" si="2"/>
        <v>0</v>
      </c>
      <c r="J23" s="253">
        <f t="shared" si="3"/>
        <v>0</v>
      </c>
      <c r="K23" s="253"/>
      <c r="L23" s="266"/>
      <c r="M23" s="254">
        <f t="shared" si="6"/>
        <v>0</v>
      </c>
      <c r="N23" s="253">
        <f t="shared" si="5"/>
        <v>242820</v>
      </c>
      <c r="O23" s="256">
        <v>1</v>
      </c>
    </row>
    <row r="24" spans="1:15" x14ac:dyDescent="0.2">
      <c r="A24" s="248" t="s">
        <v>504</v>
      </c>
      <c r="B24" s="249">
        <v>451</v>
      </c>
      <c r="C24" s="249">
        <v>4192158</v>
      </c>
      <c r="D24" s="282" t="s">
        <v>505</v>
      </c>
      <c r="E24" s="251">
        <v>85500</v>
      </c>
      <c r="F24" s="252" t="str">
        <f>$N$2</f>
        <v>Other Ratemaking</v>
      </c>
      <c r="G24" s="253">
        <f t="shared" si="1"/>
        <v>0</v>
      </c>
      <c r="H24" s="254">
        <v>0</v>
      </c>
      <c r="I24" s="254">
        <f t="shared" si="2"/>
        <v>0</v>
      </c>
      <c r="J24" s="253">
        <f t="shared" si="3"/>
        <v>0</v>
      </c>
      <c r="K24" s="253"/>
      <c r="L24" s="266"/>
      <c r="M24" s="254">
        <f t="shared" si="6"/>
        <v>0</v>
      </c>
      <c r="N24" s="253">
        <f t="shared" si="5"/>
        <v>85500</v>
      </c>
      <c r="O24" s="256">
        <v>1</v>
      </c>
    </row>
    <row r="25" spans="1:15" x14ac:dyDescent="0.2">
      <c r="A25" s="248" t="s">
        <v>506</v>
      </c>
      <c r="B25" s="249">
        <v>451</v>
      </c>
      <c r="C25" s="249">
        <v>4192160</v>
      </c>
      <c r="D25" s="282" t="s">
        <v>507</v>
      </c>
      <c r="E25" s="251">
        <v>1647415</v>
      </c>
      <c r="F25" s="252" t="str">
        <f>$N$2</f>
        <v>Other Ratemaking</v>
      </c>
      <c r="G25" s="253">
        <f t="shared" si="1"/>
        <v>0</v>
      </c>
      <c r="H25" s="254">
        <v>0</v>
      </c>
      <c r="I25" s="254">
        <f t="shared" si="2"/>
        <v>0</v>
      </c>
      <c r="J25" s="253">
        <f t="shared" si="3"/>
        <v>0</v>
      </c>
      <c r="K25" s="253"/>
      <c r="L25" s="266"/>
      <c r="M25" s="254">
        <f t="shared" si="6"/>
        <v>0</v>
      </c>
      <c r="N25" s="253">
        <f t="shared" si="5"/>
        <v>1647415</v>
      </c>
      <c r="O25" s="256">
        <v>1</v>
      </c>
    </row>
    <row r="26" spans="1:15" x14ac:dyDescent="0.2">
      <c r="A26" s="248" t="s">
        <v>508</v>
      </c>
      <c r="B26" s="249">
        <v>451</v>
      </c>
      <c r="C26" s="249">
        <v>4192135</v>
      </c>
      <c r="D26" s="283" t="s">
        <v>509</v>
      </c>
      <c r="E26" s="251">
        <v>6784262.3600000003</v>
      </c>
      <c r="F26" s="252" t="str">
        <f>$G$2</f>
        <v>Traditional OOR</v>
      </c>
      <c r="G26" s="253">
        <f t="shared" si="1"/>
        <v>6784262.3600000003</v>
      </c>
      <c r="H26" s="254">
        <v>0</v>
      </c>
      <c r="I26" s="254">
        <f t="shared" si="2"/>
        <v>6784262.3600000003</v>
      </c>
      <c r="J26" s="253">
        <f t="shared" si="3"/>
        <v>0</v>
      </c>
      <c r="K26" s="253"/>
      <c r="L26" s="266"/>
      <c r="M26" s="254">
        <f t="shared" si="6"/>
        <v>0</v>
      </c>
      <c r="N26" s="253">
        <f t="shared" si="5"/>
        <v>0</v>
      </c>
      <c r="O26" s="256">
        <v>1</v>
      </c>
    </row>
    <row r="27" spans="1:15" x14ac:dyDescent="0.2">
      <c r="A27" s="248" t="s">
        <v>510</v>
      </c>
      <c r="B27" s="249">
        <v>451</v>
      </c>
      <c r="C27" s="249">
        <v>4192145</v>
      </c>
      <c r="D27" s="283" t="s">
        <v>511</v>
      </c>
      <c r="E27" s="251">
        <v>3312222.61</v>
      </c>
      <c r="F27" s="252" t="str">
        <f>$G$2</f>
        <v>Traditional OOR</v>
      </c>
      <c r="G27" s="253">
        <f t="shared" si="1"/>
        <v>3312222.61</v>
      </c>
      <c r="H27" s="254">
        <v>0</v>
      </c>
      <c r="I27" s="254">
        <f t="shared" si="2"/>
        <v>3312222.61</v>
      </c>
      <c r="J27" s="253">
        <f t="shared" si="3"/>
        <v>0</v>
      </c>
      <c r="K27" s="253"/>
      <c r="L27" s="266"/>
      <c r="M27" s="254">
        <f t="shared" si="6"/>
        <v>0</v>
      </c>
      <c r="N27" s="253">
        <f t="shared" si="5"/>
        <v>0</v>
      </c>
      <c r="O27" s="256">
        <v>1</v>
      </c>
    </row>
    <row r="28" spans="1:15" x14ac:dyDescent="0.2">
      <c r="A28" s="248" t="s">
        <v>512</v>
      </c>
      <c r="B28" s="249">
        <v>451</v>
      </c>
      <c r="C28" s="249">
        <v>4192150</v>
      </c>
      <c r="D28" s="283" t="s">
        <v>513</v>
      </c>
      <c r="E28" s="251">
        <v>14042</v>
      </c>
      <c r="F28" s="252" t="str">
        <f>$G$2</f>
        <v>Traditional OOR</v>
      </c>
      <c r="G28" s="253">
        <f t="shared" si="1"/>
        <v>14042</v>
      </c>
      <c r="H28" s="254">
        <v>0</v>
      </c>
      <c r="I28" s="254">
        <f t="shared" si="2"/>
        <v>14042</v>
      </c>
      <c r="J28" s="253">
        <f t="shared" si="3"/>
        <v>0</v>
      </c>
      <c r="K28" s="253"/>
      <c r="L28" s="266"/>
      <c r="M28" s="254">
        <f t="shared" si="6"/>
        <v>0</v>
      </c>
      <c r="N28" s="253">
        <f t="shared" si="5"/>
        <v>0</v>
      </c>
      <c r="O28" s="256">
        <v>1</v>
      </c>
    </row>
    <row r="29" spans="1:15" x14ac:dyDescent="0.2">
      <c r="A29" s="261"/>
      <c r="B29" s="262"/>
      <c r="C29" s="262"/>
      <c r="D29" s="284"/>
      <c r="E29" s="251"/>
      <c r="F29" s="285"/>
      <c r="G29" s="251"/>
      <c r="H29" s="266"/>
      <c r="I29" s="266"/>
      <c r="J29" s="251"/>
      <c r="K29" s="251"/>
      <c r="L29" s="266"/>
      <c r="M29" s="266"/>
      <c r="N29" s="251"/>
      <c r="O29" s="267"/>
    </row>
    <row r="30" spans="1:15" x14ac:dyDescent="0.2">
      <c r="A30" s="261"/>
      <c r="B30" s="262"/>
      <c r="C30" s="263"/>
      <c r="D30" s="284"/>
      <c r="E30" s="251"/>
      <c r="F30" s="285"/>
      <c r="G30" s="251"/>
      <c r="H30" s="266"/>
      <c r="I30" s="266"/>
      <c r="J30" s="251"/>
      <c r="K30" s="251"/>
      <c r="L30" s="266"/>
      <c r="M30" s="266"/>
      <c r="N30" s="251"/>
      <c r="O30" s="267"/>
    </row>
    <row r="31" spans="1:15" x14ac:dyDescent="0.2">
      <c r="A31" s="257">
        <v>5</v>
      </c>
      <c r="B31" s="534" t="s">
        <v>514</v>
      </c>
      <c r="C31" s="526"/>
      <c r="D31" s="527"/>
      <c r="E31" s="268">
        <f>SUM(E12:E30)</f>
        <v>14491027.34</v>
      </c>
      <c r="F31" s="269"/>
      <c r="G31" s="268">
        <f>SUM(G12:G30)</f>
        <v>12282761.34</v>
      </c>
      <c r="H31" s="270">
        <f>SUM(H12:H30)</f>
        <v>0</v>
      </c>
      <c r="I31" s="271">
        <f>SUM(I12:I30)</f>
        <v>12282761.34</v>
      </c>
      <c r="J31" s="268">
        <f>SUM(J12:J30)</f>
        <v>49.57</v>
      </c>
      <c r="K31" s="272"/>
      <c r="L31" s="268">
        <f>SUM(L12:L30)</f>
        <v>-25.43</v>
      </c>
      <c r="M31" s="268">
        <f>SUM(M12:M30)</f>
        <v>75</v>
      </c>
      <c r="N31" s="268">
        <f>SUM(N12:N30)</f>
        <v>2208216.4299999997</v>
      </c>
      <c r="O31" s="259"/>
    </row>
    <row r="32" spans="1:15" ht="25.5" customHeight="1" x14ac:dyDescent="0.2">
      <c r="A32" s="257">
        <v>6</v>
      </c>
      <c r="B32" s="535" t="s">
        <v>515</v>
      </c>
      <c r="C32" s="536"/>
      <c r="D32" s="537"/>
      <c r="E32" s="273">
        <v>14491027</v>
      </c>
      <c r="F32" s="274"/>
      <c r="G32" s="275"/>
      <c r="H32" s="286"/>
      <c r="I32" s="286"/>
      <c r="J32" s="275"/>
      <c r="K32" s="274"/>
      <c r="L32" s="275"/>
      <c r="M32" s="275"/>
      <c r="N32" s="275"/>
    </row>
    <row r="33" spans="1:15" x14ac:dyDescent="0.2">
      <c r="A33" s="288"/>
      <c r="B33" s="278"/>
      <c r="C33" s="279"/>
      <c r="D33" s="280"/>
      <c r="E33" s="275"/>
      <c r="F33" s="275"/>
      <c r="G33" s="275"/>
      <c r="H33" s="286"/>
      <c r="I33" s="286"/>
      <c r="J33" s="275"/>
      <c r="K33" s="274"/>
      <c r="L33" s="275"/>
      <c r="M33" s="275"/>
      <c r="N33" s="275"/>
    </row>
    <row r="34" spans="1:15" x14ac:dyDescent="0.2">
      <c r="A34" s="257" t="s">
        <v>516</v>
      </c>
      <c r="B34" s="249">
        <v>453</v>
      </c>
      <c r="C34" s="258" t="s">
        <v>517</v>
      </c>
      <c r="D34" s="250" t="s">
        <v>518</v>
      </c>
      <c r="E34" s="251">
        <v>0</v>
      </c>
      <c r="F34" s="252" t="str">
        <f>$G$2</f>
        <v>Traditional OOR</v>
      </c>
      <c r="G34" s="253">
        <f>IF(F34=$G$2,E34,0)</f>
        <v>0</v>
      </c>
      <c r="H34" s="254">
        <v>0</v>
      </c>
      <c r="I34" s="254">
        <f>G34-H34</f>
        <v>0</v>
      </c>
      <c r="J34" s="253">
        <f>IF(F34=$J$2,E34,0)</f>
        <v>0</v>
      </c>
      <c r="K34" s="253"/>
      <c r="L34" s="266"/>
      <c r="M34" s="255">
        <f>J34-L34</f>
        <v>0</v>
      </c>
      <c r="N34" s="253">
        <f>IF(F34=$N$2,E34,0)</f>
        <v>0</v>
      </c>
      <c r="O34" s="259">
        <v>3</v>
      </c>
    </row>
    <row r="35" spans="1:15" x14ac:dyDescent="0.2">
      <c r="A35" s="257" t="s">
        <v>519</v>
      </c>
      <c r="B35" s="249">
        <v>453</v>
      </c>
      <c r="C35" s="258" t="s">
        <v>520</v>
      </c>
      <c r="D35" s="250" t="s">
        <v>521</v>
      </c>
      <c r="E35" s="251">
        <v>0</v>
      </c>
      <c r="F35" s="252" t="str">
        <f>$G$2</f>
        <v>Traditional OOR</v>
      </c>
      <c r="G35" s="253">
        <f>IF(F35=$G$2,E35,0)</f>
        <v>0</v>
      </c>
      <c r="H35" s="254">
        <v>0</v>
      </c>
      <c r="I35" s="254">
        <f>G35-H35</f>
        <v>0</v>
      </c>
      <c r="J35" s="253">
        <f>IF(F35=$J$2,E35,0)</f>
        <v>0</v>
      </c>
      <c r="K35" s="253"/>
      <c r="L35" s="266"/>
      <c r="M35" s="255">
        <f>J35-L35</f>
        <v>0</v>
      </c>
      <c r="N35" s="253">
        <f>IF(F35=$N$2,E35,0)</f>
        <v>0</v>
      </c>
      <c r="O35" s="259">
        <v>3</v>
      </c>
    </row>
    <row r="36" spans="1:15" x14ac:dyDescent="0.2">
      <c r="A36" s="257" t="s">
        <v>522</v>
      </c>
      <c r="B36" s="249">
        <v>453</v>
      </c>
      <c r="C36" s="257" t="s">
        <v>523</v>
      </c>
      <c r="D36" s="250" t="s">
        <v>524</v>
      </c>
      <c r="E36" s="251">
        <v>0</v>
      </c>
      <c r="F36" s="252" t="str">
        <f>$G$2</f>
        <v>Traditional OOR</v>
      </c>
      <c r="G36" s="253">
        <f>IF(F36=$G$2,E36,0)</f>
        <v>0</v>
      </c>
      <c r="H36" s="254">
        <v>0</v>
      </c>
      <c r="I36" s="254">
        <f>G36-H36</f>
        <v>0</v>
      </c>
      <c r="J36" s="253">
        <f>IF(F36=$J$2,E36,0)</f>
        <v>0</v>
      </c>
      <c r="K36" s="253"/>
      <c r="L36" s="266"/>
      <c r="M36" s="255">
        <f>J36-L36</f>
        <v>0</v>
      </c>
      <c r="N36" s="253">
        <f>IF(F36=$N$2,E36,0)</f>
        <v>0</v>
      </c>
      <c r="O36" s="259">
        <v>3</v>
      </c>
    </row>
    <row r="37" spans="1:15" x14ac:dyDescent="0.2">
      <c r="A37" s="261"/>
      <c r="B37" s="262"/>
      <c r="C37" s="263"/>
      <c r="D37" s="264"/>
      <c r="E37" s="251"/>
      <c r="F37" s="285"/>
      <c r="G37" s="251"/>
      <c r="H37" s="266"/>
      <c r="I37" s="266"/>
      <c r="J37" s="251"/>
      <c r="K37" s="251"/>
      <c r="L37" s="266"/>
      <c r="M37" s="266"/>
      <c r="N37" s="251"/>
      <c r="O37" s="267"/>
    </row>
    <row r="38" spans="1:15" x14ac:dyDescent="0.2">
      <c r="A38" s="261"/>
      <c r="B38" s="262"/>
      <c r="C38" s="263"/>
      <c r="D38" s="264"/>
      <c r="E38" s="251"/>
      <c r="F38" s="285"/>
      <c r="G38" s="251"/>
      <c r="H38" s="266"/>
      <c r="I38" s="266"/>
      <c r="J38" s="251"/>
      <c r="K38" s="251"/>
      <c r="L38" s="266"/>
      <c r="M38" s="266"/>
      <c r="N38" s="251"/>
      <c r="O38" s="267"/>
    </row>
    <row r="39" spans="1:15" x14ac:dyDescent="0.2">
      <c r="A39" s="257">
        <v>8</v>
      </c>
      <c r="B39" s="534" t="s">
        <v>525</v>
      </c>
      <c r="C39" s="526"/>
      <c r="D39" s="527"/>
      <c r="E39" s="271">
        <f>SUM(E34:E38)</f>
        <v>0</v>
      </c>
      <c r="F39" s="269"/>
      <c r="G39" s="271">
        <f>SUM(G34:G38)</f>
        <v>0</v>
      </c>
      <c r="H39" s="270">
        <f>SUM(H34:H38)</f>
        <v>0</v>
      </c>
      <c r="I39" s="271">
        <f>SUM(I34:I38)</f>
        <v>0</v>
      </c>
      <c r="J39" s="271">
        <f>SUM(J34:J38)</f>
        <v>0</v>
      </c>
      <c r="K39" s="272"/>
      <c r="L39" s="271">
        <f>SUM(L34:L38)</f>
        <v>0</v>
      </c>
      <c r="M39" s="271">
        <f>SUM(M34:M38)</f>
        <v>0</v>
      </c>
      <c r="N39" s="271">
        <f>SUM(N34:N38)</f>
        <v>0</v>
      </c>
      <c r="O39" s="234"/>
    </row>
    <row r="40" spans="1:15" ht="25.5" customHeight="1" x14ac:dyDescent="0.2">
      <c r="A40" s="257">
        <v>9</v>
      </c>
      <c r="B40" s="544" t="s">
        <v>526</v>
      </c>
      <c r="C40" s="531"/>
      <c r="D40" s="531"/>
      <c r="E40" s="290">
        <v>0</v>
      </c>
      <c r="F40" s="274"/>
      <c r="G40" s="275"/>
      <c r="H40" s="286"/>
      <c r="I40" s="291"/>
      <c r="J40" s="275"/>
      <c r="K40" s="274"/>
      <c r="L40" s="275"/>
      <c r="M40" s="275"/>
      <c r="N40" s="275"/>
      <c r="O40" s="276"/>
    </row>
    <row r="41" spans="1:15" x14ac:dyDescent="0.2">
      <c r="A41" s="277"/>
      <c r="B41" s="278"/>
      <c r="C41" s="279"/>
      <c r="D41" s="280"/>
      <c r="E41" s="292"/>
      <c r="F41" s="275"/>
      <c r="G41" s="275"/>
      <c r="H41" s="286"/>
      <c r="I41" s="291"/>
      <c r="J41" s="275"/>
      <c r="K41" s="274"/>
      <c r="L41" s="275"/>
      <c r="M41" s="275"/>
      <c r="N41" s="275"/>
      <c r="O41" s="276"/>
    </row>
    <row r="42" spans="1:15" x14ac:dyDescent="0.2">
      <c r="A42" s="257" t="s">
        <v>527</v>
      </c>
      <c r="B42" s="249">
        <v>454</v>
      </c>
      <c r="C42" s="250" t="s">
        <v>528</v>
      </c>
      <c r="D42" s="250" t="s">
        <v>529</v>
      </c>
      <c r="E42" s="251">
        <v>438695</v>
      </c>
      <c r="F42" s="252" t="str">
        <f t="shared" ref="F42:F47" si="7">$G$2</f>
        <v>Traditional OOR</v>
      </c>
      <c r="G42" s="253">
        <f>IF(F42=$G$2,E42,0)</f>
        <v>438695</v>
      </c>
      <c r="H42" s="254">
        <v>0</v>
      </c>
      <c r="I42" s="254">
        <f t="shared" ref="I42:I52" si="8">G42-H42</f>
        <v>438695</v>
      </c>
      <c r="J42" s="253">
        <f t="shared" ref="J42:J67" si="9">IF(F42=$J$2,E42,0)</f>
        <v>0</v>
      </c>
      <c r="K42" s="253"/>
      <c r="L42" s="266"/>
      <c r="M42" s="254">
        <f t="shared" ref="M42:M47" si="10">J42-L42</f>
        <v>0</v>
      </c>
      <c r="N42" s="253">
        <f t="shared" ref="N42:N67" si="11">IF(F42=$N$2,E42,0)</f>
        <v>0</v>
      </c>
      <c r="O42" s="256">
        <v>4</v>
      </c>
    </row>
    <row r="43" spans="1:15" x14ac:dyDescent="0.2">
      <c r="A43" s="257" t="s">
        <v>530</v>
      </c>
      <c r="B43" s="249">
        <v>454</v>
      </c>
      <c r="C43" s="258" t="s">
        <v>531</v>
      </c>
      <c r="D43" s="250" t="s">
        <v>532</v>
      </c>
      <c r="E43" s="251">
        <v>3225685.9</v>
      </c>
      <c r="F43" s="252" t="str">
        <f t="shared" si="7"/>
        <v>Traditional OOR</v>
      </c>
      <c r="G43" s="253">
        <f t="shared" ref="G43:G67" si="12">IF(F43=$G$2,E43,0)</f>
        <v>3225685.9</v>
      </c>
      <c r="H43" s="254">
        <v>0</v>
      </c>
      <c r="I43" s="254">
        <f t="shared" si="8"/>
        <v>3225685.9</v>
      </c>
      <c r="J43" s="253">
        <f t="shared" si="9"/>
        <v>0</v>
      </c>
      <c r="K43" s="253"/>
      <c r="L43" s="266"/>
      <c r="M43" s="255">
        <f t="shared" si="10"/>
        <v>0</v>
      </c>
      <c r="N43" s="253">
        <f t="shared" si="11"/>
        <v>0</v>
      </c>
      <c r="O43" s="259">
        <v>4</v>
      </c>
    </row>
    <row r="44" spans="1:15" x14ac:dyDescent="0.2">
      <c r="A44" s="257" t="s">
        <v>533</v>
      </c>
      <c r="B44" s="249">
        <v>454</v>
      </c>
      <c r="C44" s="258" t="s">
        <v>534</v>
      </c>
      <c r="D44" s="250" t="s">
        <v>535</v>
      </c>
      <c r="E44" s="251">
        <v>361040</v>
      </c>
      <c r="F44" s="252" t="str">
        <f t="shared" si="7"/>
        <v>Traditional OOR</v>
      </c>
      <c r="G44" s="253">
        <f t="shared" si="12"/>
        <v>361040</v>
      </c>
      <c r="H44" s="254">
        <v>0</v>
      </c>
      <c r="I44" s="254">
        <f t="shared" si="8"/>
        <v>361040</v>
      </c>
      <c r="J44" s="253">
        <f t="shared" si="9"/>
        <v>0</v>
      </c>
      <c r="K44" s="253"/>
      <c r="L44" s="266"/>
      <c r="M44" s="255">
        <f t="shared" si="10"/>
        <v>0</v>
      </c>
      <c r="N44" s="253">
        <f t="shared" si="11"/>
        <v>0</v>
      </c>
      <c r="O44" s="259">
        <v>4</v>
      </c>
    </row>
    <row r="45" spans="1:15" x14ac:dyDescent="0.2">
      <c r="A45" s="257" t="s">
        <v>536</v>
      </c>
      <c r="B45" s="249">
        <v>454</v>
      </c>
      <c r="C45" s="258" t="s">
        <v>537</v>
      </c>
      <c r="D45" s="250" t="s">
        <v>538</v>
      </c>
      <c r="E45" s="251">
        <v>0</v>
      </c>
      <c r="F45" s="252" t="str">
        <f t="shared" si="7"/>
        <v>Traditional OOR</v>
      </c>
      <c r="G45" s="253">
        <f t="shared" si="12"/>
        <v>0</v>
      </c>
      <c r="H45" s="254">
        <v>0</v>
      </c>
      <c r="I45" s="254">
        <f t="shared" si="8"/>
        <v>0</v>
      </c>
      <c r="J45" s="253">
        <f t="shared" si="9"/>
        <v>0</v>
      </c>
      <c r="K45" s="253"/>
      <c r="L45" s="266"/>
      <c r="M45" s="255">
        <f t="shared" si="10"/>
        <v>0</v>
      </c>
      <c r="N45" s="253">
        <f t="shared" si="11"/>
        <v>0</v>
      </c>
      <c r="O45" s="259">
        <v>4</v>
      </c>
    </row>
    <row r="46" spans="1:15" x14ac:dyDescent="0.2">
      <c r="A46" s="257" t="s">
        <v>539</v>
      </c>
      <c r="B46" s="249">
        <v>454</v>
      </c>
      <c r="C46" s="258" t="s">
        <v>540</v>
      </c>
      <c r="D46" s="250" t="s">
        <v>541</v>
      </c>
      <c r="E46" s="251">
        <v>0</v>
      </c>
      <c r="F46" s="252" t="str">
        <f t="shared" si="7"/>
        <v>Traditional OOR</v>
      </c>
      <c r="G46" s="253">
        <f t="shared" si="12"/>
        <v>0</v>
      </c>
      <c r="H46" s="254">
        <v>0</v>
      </c>
      <c r="I46" s="254">
        <f t="shared" si="8"/>
        <v>0</v>
      </c>
      <c r="J46" s="253">
        <f t="shared" si="9"/>
        <v>0</v>
      </c>
      <c r="K46" s="253"/>
      <c r="L46" s="266"/>
      <c r="M46" s="255">
        <f t="shared" si="10"/>
        <v>0</v>
      </c>
      <c r="N46" s="253">
        <f t="shared" si="11"/>
        <v>0</v>
      </c>
      <c r="O46" s="259">
        <v>4</v>
      </c>
    </row>
    <row r="47" spans="1:15" x14ac:dyDescent="0.2">
      <c r="A47" s="257" t="s">
        <v>542</v>
      </c>
      <c r="B47" s="249">
        <v>454</v>
      </c>
      <c r="C47" s="293">
        <v>4184120</v>
      </c>
      <c r="D47" s="250" t="s">
        <v>543</v>
      </c>
      <c r="E47" s="251">
        <v>644500</v>
      </c>
      <c r="F47" s="252" t="str">
        <f t="shared" si="7"/>
        <v>Traditional OOR</v>
      </c>
      <c r="G47" s="253">
        <f>IF(F47=$G$2,E47,0)</f>
        <v>644500</v>
      </c>
      <c r="H47" s="254">
        <v>0</v>
      </c>
      <c r="I47" s="254">
        <f>G47-H47</f>
        <v>644500</v>
      </c>
      <c r="J47" s="253">
        <f t="shared" si="9"/>
        <v>0</v>
      </c>
      <c r="K47" s="253"/>
      <c r="L47" s="266"/>
      <c r="M47" s="255">
        <f t="shared" si="10"/>
        <v>0</v>
      </c>
      <c r="N47" s="253">
        <f t="shared" si="11"/>
        <v>0</v>
      </c>
      <c r="O47" s="259">
        <v>4</v>
      </c>
    </row>
    <row r="48" spans="1:15" x14ac:dyDescent="0.2">
      <c r="A48" s="257" t="s">
        <v>544</v>
      </c>
      <c r="B48" s="249">
        <v>454</v>
      </c>
      <c r="C48" s="258" t="s">
        <v>545</v>
      </c>
      <c r="D48" s="250" t="s">
        <v>546</v>
      </c>
      <c r="E48" s="251">
        <v>139669.91</v>
      </c>
      <c r="F48" s="252" t="str">
        <f>$J$2</f>
        <v>GRSM</v>
      </c>
      <c r="G48" s="253">
        <f t="shared" si="12"/>
        <v>0</v>
      </c>
      <c r="H48" s="254">
        <v>0</v>
      </c>
      <c r="I48" s="254">
        <f t="shared" si="8"/>
        <v>0</v>
      </c>
      <c r="J48" s="253">
        <f t="shared" si="9"/>
        <v>139669.91</v>
      </c>
      <c r="K48" s="281" t="s">
        <v>494</v>
      </c>
      <c r="L48" s="294">
        <v>33253.360000000001</v>
      </c>
      <c r="M48" s="255">
        <f>J48-L48</f>
        <v>106416.55</v>
      </c>
      <c r="N48" s="253">
        <f t="shared" si="11"/>
        <v>0</v>
      </c>
      <c r="O48" s="259">
        <v>2</v>
      </c>
    </row>
    <row r="49" spans="1:15" x14ac:dyDescent="0.2">
      <c r="A49" s="257" t="s">
        <v>547</v>
      </c>
      <c r="B49" s="249">
        <v>454</v>
      </c>
      <c r="C49" s="258" t="s">
        <v>548</v>
      </c>
      <c r="D49" s="250" t="s">
        <v>549</v>
      </c>
      <c r="E49" s="251">
        <v>47912</v>
      </c>
      <c r="F49" s="252" t="str">
        <f>$J$2</f>
        <v>GRSM</v>
      </c>
      <c r="G49" s="253">
        <f t="shared" si="12"/>
        <v>0</v>
      </c>
      <c r="H49" s="254">
        <v>0</v>
      </c>
      <c r="I49" s="254">
        <f t="shared" si="8"/>
        <v>0</v>
      </c>
      <c r="J49" s="253">
        <f t="shared" si="9"/>
        <v>47912</v>
      </c>
      <c r="K49" s="281" t="s">
        <v>494</v>
      </c>
      <c r="L49" s="294">
        <v>2798.13</v>
      </c>
      <c r="M49" s="255">
        <f t="shared" ref="M49:M67" si="13">J49-L49</f>
        <v>45113.87</v>
      </c>
      <c r="N49" s="253">
        <f t="shared" si="11"/>
        <v>0</v>
      </c>
      <c r="O49" s="259">
        <v>2</v>
      </c>
    </row>
    <row r="50" spans="1:15" x14ac:dyDescent="0.2">
      <c r="A50" s="257" t="s">
        <v>550</v>
      </c>
      <c r="B50" s="249">
        <v>454</v>
      </c>
      <c r="C50" s="258" t="s">
        <v>551</v>
      </c>
      <c r="D50" s="250" t="s">
        <v>552</v>
      </c>
      <c r="E50" s="251">
        <v>329</v>
      </c>
      <c r="F50" s="252" t="str">
        <f>$J$2</f>
        <v>GRSM</v>
      </c>
      <c r="G50" s="253">
        <f t="shared" si="12"/>
        <v>0</v>
      </c>
      <c r="H50" s="254">
        <v>0</v>
      </c>
      <c r="I50" s="254">
        <f t="shared" si="8"/>
        <v>0</v>
      </c>
      <c r="J50" s="253">
        <f t="shared" si="9"/>
        <v>329</v>
      </c>
      <c r="K50" s="281" t="s">
        <v>494</v>
      </c>
      <c r="L50" s="294">
        <v>0</v>
      </c>
      <c r="M50" s="255">
        <f t="shared" si="13"/>
        <v>329</v>
      </c>
      <c r="N50" s="253">
        <f t="shared" si="11"/>
        <v>0</v>
      </c>
      <c r="O50" s="259">
        <v>2</v>
      </c>
    </row>
    <row r="51" spans="1:15" x14ac:dyDescent="0.2">
      <c r="A51" s="257" t="s">
        <v>553</v>
      </c>
      <c r="B51" s="249">
        <v>454</v>
      </c>
      <c r="C51" s="293" t="s">
        <v>554</v>
      </c>
      <c r="D51" s="250" t="s">
        <v>555</v>
      </c>
      <c r="E51" s="251">
        <v>23039.69</v>
      </c>
      <c r="F51" s="252" t="str">
        <f>$J$2</f>
        <v>GRSM</v>
      </c>
      <c r="G51" s="253">
        <f t="shared" si="12"/>
        <v>0</v>
      </c>
      <c r="H51" s="254">
        <v>0</v>
      </c>
      <c r="I51" s="254">
        <f t="shared" si="8"/>
        <v>0</v>
      </c>
      <c r="J51" s="253">
        <f t="shared" si="9"/>
        <v>23039.69</v>
      </c>
      <c r="K51" s="281" t="s">
        <v>494</v>
      </c>
      <c r="L51" s="294">
        <v>6724.06</v>
      </c>
      <c r="M51" s="255">
        <f t="shared" si="13"/>
        <v>16315.629999999997</v>
      </c>
      <c r="N51" s="253">
        <f t="shared" si="11"/>
        <v>0</v>
      </c>
      <c r="O51" s="256">
        <v>2</v>
      </c>
    </row>
    <row r="52" spans="1:15" x14ac:dyDescent="0.2">
      <c r="A52" s="257" t="s">
        <v>556</v>
      </c>
      <c r="B52" s="249">
        <v>454</v>
      </c>
      <c r="C52" s="250" t="s">
        <v>557</v>
      </c>
      <c r="D52" s="250" t="s">
        <v>558</v>
      </c>
      <c r="E52" s="251">
        <v>-98991.84</v>
      </c>
      <c r="F52" s="252" t="str">
        <f>$G$2</f>
        <v>Traditional OOR</v>
      </c>
      <c r="G52" s="253">
        <f t="shared" si="12"/>
        <v>-98991.84</v>
      </c>
      <c r="H52" s="254">
        <v>0</v>
      </c>
      <c r="I52" s="254">
        <f t="shared" si="8"/>
        <v>-98991.84</v>
      </c>
      <c r="J52" s="253">
        <f t="shared" si="9"/>
        <v>0</v>
      </c>
      <c r="K52" s="253"/>
      <c r="L52" s="295"/>
      <c r="M52" s="255">
        <f t="shared" si="13"/>
        <v>0</v>
      </c>
      <c r="N52" s="253">
        <f t="shared" si="11"/>
        <v>0</v>
      </c>
      <c r="O52" s="256">
        <v>4</v>
      </c>
    </row>
    <row r="53" spans="1:15" x14ac:dyDescent="0.2">
      <c r="A53" s="257" t="s">
        <v>559</v>
      </c>
      <c r="B53" s="249">
        <v>454</v>
      </c>
      <c r="C53" s="258" t="s">
        <v>560</v>
      </c>
      <c r="D53" s="250" t="s">
        <v>561</v>
      </c>
      <c r="E53" s="251">
        <v>1446707.25</v>
      </c>
      <c r="F53" s="252" t="str">
        <f>$N$2</f>
        <v>Other Ratemaking</v>
      </c>
      <c r="G53" s="253">
        <f>I53+H53</f>
        <v>85630.602127499995</v>
      </c>
      <c r="H53" s="254">
        <f>E53*$D$246</f>
        <v>85630.602127499995</v>
      </c>
      <c r="I53" s="254">
        <v>0</v>
      </c>
      <c r="J53" s="253">
        <f t="shared" si="9"/>
        <v>0</v>
      </c>
      <c r="K53" s="253"/>
      <c r="L53" s="266"/>
      <c r="M53" s="255">
        <f t="shared" si="13"/>
        <v>0</v>
      </c>
      <c r="N53" s="253">
        <f>IF(F53=$N$2,E53-H53,0)</f>
        <v>1361076.6478725001</v>
      </c>
      <c r="O53" s="259" t="s">
        <v>562</v>
      </c>
    </row>
    <row r="54" spans="1:15" x14ac:dyDescent="0.2">
      <c r="A54" s="257" t="s">
        <v>563</v>
      </c>
      <c r="B54" s="249">
        <v>454</v>
      </c>
      <c r="C54" s="258" t="s">
        <v>564</v>
      </c>
      <c r="D54" s="250" t="s">
        <v>565</v>
      </c>
      <c r="E54" s="251">
        <v>0</v>
      </c>
      <c r="F54" s="252" t="str">
        <f>$G$2</f>
        <v>Traditional OOR</v>
      </c>
      <c r="G54" s="253">
        <f t="shared" si="12"/>
        <v>0</v>
      </c>
      <c r="H54" s="254">
        <f>E54*$D$246</f>
        <v>0</v>
      </c>
      <c r="I54" s="254">
        <f>G54-H54</f>
        <v>0</v>
      </c>
      <c r="J54" s="253">
        <f t="shared" si="9"/>
        <v>0</v>
      </c>
      <c r="K54" s="253"/>
      <c r="L54" s="266"/>
      <c r="M54" s="255">
        <f t="shared" si="13"/>
        <v>0</v>
      </c>
      <c r="N54" s="253">
        <f t="shared" si="11"/>
        <v>0</v>
      </c>
      <c r="O54" s="259">
        <v>7</v>
      </c>
    </row>
    <row r="55" spans="1:15" x14ac:dyDescent="0.2">
      <c r="A55" s="257" t="s">
        <v>566</v>
      </c>
      <c r="B55" s="249">
        <v>454</v>
      </c>
      <c r="C55" s="250" t="s">
        <v>567</v>
      </c>
      <c r="D55" s="250" t="s">
        <v>568</v>
      </c>
      <c r="E55" s="251">
        <v>1477775.64</v>
      </c>
      <c r="F55" s="252" t="str">
        <f>$N$2</f>
        <v>Other Ratemaking</v>
      </c>
      <c r="G55" s="253">
        <f>I55+H55</f>
        <v>87469.540131599992</v>
      </c>
      <c r="H55" s="254">
        <f>E55*$D$246</f>
        <v>87469.540131599992</v>
      </c>
      <c r="I55" s="254">
        <v>0</v>
      </c>
      <c r="J55" s="253">
        <f t="shared" si="9"/>
        <v>0</v>
      </c>
      <c r="K55" s="253"/>
      <c r="L55" s="266"/>
      <c r="M55" s="254">
        <f t="shared" si="13"/>
        <v>0</v>
      </c>
      <c r="N55" s="253">
        <f>IF(F55=$N$2,E55-H55,0)</f>
        <v>1390306.0998684</v>
      </c>
      <c r="O55" s="256" t="s">
        <v>562</v>
      </c>
    </row>
    <row r="56" spans="1:15" x14ac:dyDescent="0.2">
      <c r="A56" s="257" t="s">
        <v>569</v>
      </c>
      <c r="B56" s="249">
        <v>454</v>
      </c>
      <c r="C56" s="258" t="s">
        <v>570</v>
      </c>
      <c r="D56" s="250" t="s">
        <v>571</v>
      </c>
      <c r="E56" s="251">
        <v>0</v>
      </c>
      <c r="F56" s="252" t="str">
        <f t="shared" ref="F56:F61" si="14">$G$2</f>
        <v>Traditional OOR</v>
      </c>
      <c r="G56" s="253">
        <f t="shared" si="12"/>
        <v>0</v>
      </c>
      <c r="H56" s="254">
        <f>E56*$D$240</f>
        <v>0</v>
      </c>
      <c r="I56" s="254">
        <f t="shared" ref="I56:I67" si="15">G56-H56</f>
        <v>0</v>
      </c>
      <c r="J56" s="253">
        <f t="shared" si="9"/>
        <v>0</v>
      </c>
      <c r="K56" s="253"/>
      <c r="L56" s="266"/>
      <c r="M56" s="255">
        <f t="shared" si="13"/>
        <v>0</v>
      </c>
      <c r="N56" s="253">
        <f t="shared" si="11"/>
        <v>0</v>
      </c>
      <c r="O56" s="259">
        <v>7</v>
      </c>
    </row>
    <row r="57" spans="1:15" x14ac:dyDescent="0.2">
      <c r="A57" s="257" t="s">
        <v>572</v>
      </c>
      <c r="B57" s="249">
        <v>454</v>
      </c>
      <c r="C57" s="258" t="s">
        <v>573</v>
      </c>
      <c r="D57" s="250" t="s">
        <v>574</v>
      </c>
      <c r="E57" s="251">
        <v>0</v>
      </c>
      <c r="F57" s="252" t="str">
        <f t="shared" si="14"/>
        <v>Traditional OOR</v>
      </c>
      <c r="G57" s="253">
        <f t="shared" si="12"/>
        <v>0</v>
      </c>
      <c r="H57" s="254">
        <v>0</v>
      </c>
      <c r="I57" s="254">
        <f t="shared" si="15"/>
        <v>0</v>
      </c>
      <c r="J57" s="253">
        <f t="shared" si="9"/>
        <v>0</v>
      </c>
      <c r="K57" s="253"/>
      <c r="L57" s="266"/>
      <c r="M57" s="255">
        <f t="shared" si="13"/>
        <v>0</v>
      </c>
      <c r="N57" s="253">
        <f t="shared" si="11"/>
        <v>0</v>
      </c>
      <c r="O57" s="259">
        <v>1</v>
      </c>
    </row>
    <row r="58" spans="1:15" x14ac:dyDescent="0.2">
      <c r="A58" s="257" t="s">
        <v>575</v>
      </c>
      <c r="B58" s="249">
        <v>454</v>
      </c>
      <c r="C58" s="258" t="s">
        <v>576</v>
      </c>
      <c r="D58" s="250" t="s">
        <v>577</v>
      </c>
      <c r="E58" s="251">
        <v>10800313.99</v>
      </c>
      <c r="F58" s="252" t="str">
        <f t="shared" si="14"/>
        <v>Traditional OOR</v>
      </c>
      <c r="G58" s="253">
        <f t="shared" si="12"/>
        <v>10800313.99</v>
      </c>
      <c r="H58" s="254">
        <v>0</v>
      </c>
      <c r="I58" s="254">
        <f t="shared" si="15"/>
        <v>10800313.99</v>
      </c>
      <c r="J58" s="253">
        <f t="shared" si="9"/>
        <v>0</v>
      </c>
      <c r="K58" s="253"/>
      <c r="L58" s="266"/>
      <c r="M58" s="255">
        <f t="shared" si="13"/>
        <v>0</v>
      </c>
      <c r="N58" s="253">
        <f t="shared" si="11"/>
        <v>0</v>
      </c>
      <c r="O58" s="259">
        <v>4</v>
      </c>
    </row>
    <row r="59" spans="1:15" x14ac:dyDescent="0.2">
      <c r="A59" s="257" t="s">
        <v>578</v>
      </c>
      <c r="B59" s="249">
        <v>454</v>
      </c>
      <c r="C59" s="258" t="s">
        <v>579</v>
      </c>
      <c r="D59" s="250" t="s">
        <v>580</v>
      </c>
      <c r="E59" s="251">
        <v>451095.35</v>
      </c>
      <c r="F59" s="252" t="str">
        <f t="shared" si="14"/>
        <v>Traditional OOR</v>
      </c>
      <c r="G59" s="253">
        <f t="shared" si="12"/>
        <v>451095.35</v>
      </c>
      <c r="H59" s="254">
        <v>0</v>
      </c>
      <c r="I59" s="254">
        <f>G59-H59</f>
        <v>451095.35</v>
      </c>
      <c r="J59" s="253">
        <f t="shared" si="9"/>
        <v>0</v>
      </c>
      <c r="K59" s="253"/>
      <c r="L59" s="266"/>
      <c r="M59" s="255">
        <f t="shared" si="13"/>
        <v>0</v>
      </c>
      <c r="N59" s="253">
        <f t="shared" si="11"/>
        <v>0</v>
      </c>
      <c r="O59" s="259">
        <v>4</v>
      </c>
    </row>
    <row r="60" spans="1:15" ht="13.5" thickBot="1" x14ac:dyDescent="0.25">
      <c r="A60" s="257" t="s">
        <v>581</v>
      </c>
      <c r="B60" s="249">
        <v>454</v>
      </c>
      <c r="C60" s="258" t="s">
        <v>582</v>
      </c>
      <c r="D60" s="250" t="s">
        <v>583</v>
      </c>
      <c r="E60" s="251">
        <v>23006876.07</v>
      </c>
      <c r="F60" s="252" t="str">
        <f t="shared" si="14"/>
        <v>Traditional OOR</v>
      </c>
      <c r="G60" s="253">
        <f t="shared" si="12"/>
        <v>23006876.07</v>
      </c>
      <c r="H60" s="296">
        <v>0</v>
      </c>
      <c r="I60" s="254">
        <f t="shared" si="15"/>
        <v>23006876.07</v>
      </c>
      <c r="J60" s="253">
        <f t="shared" si="9"/>
        <v>0</v>
      </c>
      <c r="K60" s="253"/>
      <c r="L60" s="266"/>
      <c r="M60" s="255">
        <f t="shared" si="13"/>
        <v>0</v>
      </c>
      <c r="N60" s="253">
        <f t="shared" si="11"/>
        <v>0</v>
      </c>
      <c r="O60" s="259">
        <v>4</v>
      </c>
    </row>
    <row r="61" spans="1:15" ht="13.5" thickBot="1" x14ac:dyDescent="0.25">
      <c r="A61" s="257" t="s">
        <v>584</v>
      </c>
      <c r="B61" s="249">
        <v>454</v>
      </c>
      <c r="C61" s="258" t="s">
        <v>585</v>
      </c>
      <c r="D61" s="250" t="s">
        <v>586</v>
      </c>
      <c r="E61" s="251">
        <v>14543025.210000001</v>
      </c>
      <c r="F61" s="252" t="str">
        <f t="shared" si="14"/>
        <v>Traditional OOR</v>
      </c>
      <c r="G61" s="297">
        <f t="shared" si="12"/>
        <v>14543025.210000001</v>
      </c>
      <c r="H61" s="298">
        <v>4087270.68</v>
      </c>
      <c r="I61" s="299">
        <f>G61-H61</f>
        <v>10455754.530000001</v>
      </c>
      <c r="J61" s="253">
        <f t="shared" si="9"/>
        <v>0</v>
      </c>
      <c r="K61" s="253"/>
      <c r="L61" s="266"/>
      <c r="M61" s="255">
        <f t="shared" si="13"/>
        <v>0</v>
      </c>
      <c r="N61" s="253">
        <f t="shared" si="11"/>
        <v>0</v>
      </c>
      <c r="O61" s="259">
        <v>8</v>
      </c>
    </row>
    <row r="62" spans="1:15" x14ac:dyDescent="0.2">
      <c r="A62" s="257" t="s">
        <v>587</v>
      </c>
      <c r="B62" s="249">
        <v>454</v>
      </c>
      <c r="C62" s="250" t="s">
        <v>588</v>
      </c>
      <c r="D62" s="250" t="s">
        <v>589</v>
      </c>
      <c r="E62" s="251">
        <v>19957531.879999999</v>
      </c>
      <c r="F62" s="252" t="str">
        <f>$J$2</f>
        <v>GRSM</v>
      </c>
      <c r="G62" s="253">
        <f t="shared" si="12"/>
        <v>0</v>
      </c>
      <c r="H62" s="300">
        <v>0</v>
      </c>
      <c r="I62" s="254">
        <f t="shared" si="15"/>
        <v>0</v>
      </c>
      <c r="J62" s="253">
        <f t="shared" si="9"/>
        <v>19957531.879999999</v>
      </c>
      <c r="K62" s="281" t="s">
        <v>494</v>
      </c>
      <c r="L62" s="266">
        <v>4234467.01</v>
      </c>
      <c r="M62" s="255">
        <f t="shared" si="13"/>
        <v>15723064.869999999</v>
      </c>
      <c r="N62" s="253">
        <f t="shared" si="11"/>
        <v>0</v>
      </c>
      <c r="O62" s="256">
        <v>2</v>
      </c>
    </row>
    <row r="63" spans="1:15" x14ac:dyDescent="0.2">
      <c r="A63" s="257" t="s">
        <v>590</v>
      </c>
      <c r="B63" s="249">
        <v>454</v>
      </c>
      <c r="C63" s="258" t="s">
        <v>591</v>
      </c>
      <c r="D63" s="250" t="s">
        <v>592</v>
      </c>
      <c r="E63" s="251">
        <v>0</v>
      </c>
      <c r="F63" s="252" t="str">
        <f>$G$2</f>
        <v>Traditional OOR</v>
      </c>
      <c r="G63" s="253">
        <f t="shared" si="12"/>
        <v>0</v>
      </c>
      <c r="H63" s="254">
        <v>0</v>
      </c>
      <c r="I63" s="254">
        <f t="shared" si="15"/>
        <v>0</v>
      </c>
      <c r="J63" s="253">
        <f t="shared" si="9"/>
        <v>0</v>
      </c>
      <c r="K63" s="253"/>
      <c r="L63" s="266"/>
      <c r="M63" s="255">
        <f t="shared" si="13"/>
        <v>0</v>
      </c>
      <c r="N63" s="253">
        <f t="shared" si="11"/>
        <v>0</v>
      </c>
      <c r="O63" s="256">
        <v>4</v>
      </c>
    </row>
    <row r="64" spans="1:15" x14ac:dyDescent="0.2">
      <c r="A64" s="257" t="s">
        <v>593</v>
      </c>
      <c r="B64" s="249">
        <v>454</v>
      </c>
      <c r="C64" s="248" t="s">
        <v>523</v>
      </c>
      <c r="D64" s="250" t="s">
        <v>524</v>
      </c>
      <c r="E64" s="251">
        <v>0</v>
      </c>
      <c r="F64" s="252" t="str">
        <f>$G$2</f>
        <v>Traditional OOR</v>
      </c>
      <c r="G64" s="253">
        <f t="shared" si="12"/>
        <v>0</v>
      </c>
      <c r="H64" s="254">
        <v>0</v>
      </c>
      <c r="I64" s="254">
        <f t="shared" si="15"/>
        <v>0</v>
      </c>
      <c r="J64" s="253">
        <f t="shared" si="9"/>
        <v>0</v>
      </c>
      <c r="K64" s="253"/>
      <c r="L64" s="266"/>
      <c r="M64" s="255">
        <f t="shared" si="13"/>
        <v>0</v>
      </c>
      <c r="N64" s="253">
        <f t="shared" si="11"/>
        <v>0</v>
      </c>
      <c r="O64" s="256">
        <v>1</v>
      </c>
    </row>
    <row r="65" spans="1:15" x14ac:dyDescent="0.2">
      <c r="A65" s="248" t="s">
        <v>594</v>
      </c>
      <c r="B65" s="249">
        <v>454</v>
      </c>
      <c r="C65" s="249">
        <v>4206515</v>
      </c>
      <c r="D65" s="282" t="s">
        <v>595</v>
      </c>
      <c r="E65" s="251">
        <v>913396.89</v>
      </c>
      <c r="F65" s="252" t="str">
        <f>$J$2</f>
        <v>GRSM</v>
      </c>
      <c r="G65" s="253">
        <f t="shared" si="12"/>
        <v>0</v>
      </c>
      <c r="H65" s="254">
        <v>0</v>
      </c>
      <c r="I65" s="254">
        <f t="shared" si="15"/>
        <v>0</v>
      </c>
      <c r="J65" s="253">
        <f t="shared" si="9"/>
        <v>913396.89</v>
      </c>
      <c r="K65" s="253" t="s">
        <v>494</v>
      </c>
      <c r="L65" s="266">
        <v>391761.87</v>
      </c>
      <c r="M65" s="254">
        <f t="shared" si="13"/>
        <v>521635.02</v>
      </c>
      <c r="N65" s="253">
        <f t="shared" si="11"/>
        <v>0</v>
      </c>
      <c r="O65" s="256">
        <v>2</v>
      </c>
    </row>
    <row r="66" spans="1:15" x14ac:dyDescent="0.2">
      <c r="A66" s="248" t="s">
        <v>596</v>
      </c>
      <c r="B66" s="249">
        <v>454</v>
      </c>
      <c r="C66" s="249">
        <v>4184122</v>
      </c>
      <c r="D66" s="282" t="s">
        <v>597</v>
      </c>
      <c r="E66" s="251">
        <v>-180</v>
      </c>
      <c r="F66" s="252" t="str">
        <f>$G$2</f>
        <v>Traditional OOR</v>
      </c>
      <c r="G66" s="253">
        <f t="shared" si="12"/>
        <v>-180</v>
      </c>
      <c r="H66" s="254">
        <v>0</v>
      </c>
      <c r="I66" s="254">
        <f t="shared" si="15"/>
        <v>-180</v>
      </c>
      <c r="J66" s="253">
        <f t="shared" si="9"/>
        <v>0</v>
      </c>
      <c r="K66" s="253"/>
      <c r="L66" s="266"/>
      <c r="M66" s="254">
        <f t="shared" si="13"/>
        <v>0</v>
      </c>
      <c r="N66" s="253">
        <f t="shared" si="11"/>
        <v>0</v>
      </c>
      <c r="O66" s="256">
        <v>4</v>
      </c>
    </row>
    <row r="67" spans="1:15" x14ac:dyDescent="0.2">
      <c r="A67" s="248" t="s">
        <v>598</v>
      </c>
      <c r="B67" s="249">
        <v>454</v>
      </c>
      <c r="C67" s="249">
        <v>4184124</v>
      </c>
      <c r="D67" s="282" t="s">
        <v>599</v>
      </c>
      <c r="E67" s="251">
        <v>96480</v>
      </c>
      <c r="F67" s="252" t="str">
        <f>$G$2</f>
        <v>Traditional OOR</v>
      </c>
      <c r="G67" s="253">
        <f t="shared" si="12"/>
        <v>96480</v>
      </c>
      <c r="H67" s="254">
        <v>0</v>
      </c>
      <c r="I67" s="254">
        <f t="shared" si="15"/>
        <v>96480</v>
      </c>
      <c r="J67" s="253">
        <f t="shared" si="9"/>
        <v>0</v>
      </c>
      <c r="K67" s="253"/>
      <c r="L67" s="266"/>
      <c r="M67" s="254">
        <f t="shared" si="13"/>
        <v>0</v>
      </c>
      <c r="N67" s="253">
        <f t="shared" si="11"/>
        <v>0</v>
      </c>
      <c r="O67" s="256">
        <v>4</v>
      </c>
    </row>
    <row r="68" spans="1:15" x14ac:dyDescent="0.2">
      <c r="A68" s="248"/>
      <c r="B68" s="249"/>
      <c r="C68" s="250"/>
      <c r="D68" s="282"/>
      <c r="E68" s="251"/>
      <c r="F68" s="285"/>
      <c r="G68" s="251"/>
      <c r="H68" s="266"/>
      <c r="I68" s="266"/>
      <c r="J68" s="251"/>
      <c r="K68" s="251"/>
      <c r="L68" s="266"/>
      <c r="M68" s="266"/>
      <c r="N68" s="251"/>
      <c r="O68" s="267"/>
    </row>
    <row r="69" spans="1:15" x14ac:dyDescent="0.2">
      <c r="A69" s="261"/>
      <c r="B69" s="262"/>
      <c r="C69" s="263"/>
      <c r="D69" s="264"/>
      <c r="E69" s="251"/>
      <c r="F69" s="285"/>
      <c r="G69" s="251"/>
      <c r="H69" s="266"/>
      <c r="I69" s="266"/>
      <c r="J69" s="251"/>
      <c r="K69" s="251"/>
      <c r="L69" s="266"/>
      <c r="M69" s="266"/>
      <c r="N69" s="251"/>
      <c r="O69" s="267"/>
    </row>
    <row r="70" spans="1:15" x14ac:dyDescent="0.2">
      <c r="A70" s="257">
        <v>11</v>
      </c>
      <c r="B70" s="534" t="s">
        <v>600</v>
      </c>
      <c r="C70" s="526"/>
      <c r="D70" s="527"/>
      <c r="E70" s="268">
        <f>SUM(E42:E69)</f>
        <v>77474901.939999998</v>
      </c>
      <c r="F70" s="269"/>
      <c r="G70" s="268">
        <f>SUM(G42:G69)</f>
        <v>53641639.822259098</v>
      </c>
      <c r="H70" s="301">
        <f>SUM(H42:H69)</f>
        <v>4260370.8222591002</v>
      </c>
      <c r="I70" s="301">
        <f>SUM(I42:I69)</f>
        <v>49381269</v>
      </c>
      <c r="J70" s="268">
        <f>SUM(J42:J69)</f>
        <v>21081879.370000001</v>
      </c>
      <c r="K70" s="272"/>
      <c r="L70" s="268">
        <f>SUM(L42:L69)</f>
        <v>4669004.43</v>
      </c>
      <c r="M70" s="268">
        <f>SUM(M42:M69)</f>
        <v>16412874.939999999</v>
      </c>
      <c r="N70" s="268">
        <f>SUM(N42:N69)</f>
        <v>2751382.7477409001</v>
      </c>
      <c r="O70" s="233"/>
    </row>
    <row r="71" spans="1:15" ht="24.75" customHeight="1" x14ac:dyDescent="0.2">
      <c r="A71" s="257">
        <v>12</v>
      </c>
      <c r="B71" s="535" t="s">
        <v>601</v>
      </c>
      <c r="C71" s="536"/>
      <c r="D71" s="537"/>
      <c r="E71" s="273">
        <v>77474902</v>
      </c>
      <c r="F71" s="274"/>
      <c r="G71" s="302"/>
      <c r="H71" s="274"/>
      <c r="I71" s="274"/>
      <c r="J71" s="275"/>
      <c r="K71" s="274"/>
      <c r="L71" s="275"/>
      <c r="M71" s="275"/>
      <c r="N71" s="275"/>
      <c r="O71" s="276"/>
    </row>
    <row r="72" spans="1:15" x14ac:dyDescent="0.2">
      <c r="A72" s="277"/>
      <c r="B72" s="278"/>
      <c r="C72" s="279"/>
      <c r="D72" s="280"/>
      <c r="E72" s="292"/>
      <c r="F72" s="275"/>
      <c r="G72" s="275"/>
      <c r="H72" s="274"/>
      <c r="I72" s="274"/>
      <c r="J72" s="275"/>
      <c r="K72" s="274"/>
      <c r="L72" s="275"/>
      <c r="M72" s="275"/>
      <c r="N72" s="275"/>
      <c r="O72" s="276"/>
    </row>
    <row r="73" spans="1:15" x14ac:dyDescent="0.2">
      <c r="A73" s="257" t="s">
        <v>602</v>
      </c>
      <c r="B73" s="249">
        <v>456</v>
      </c>
      <c r="C73" s="258" t="s">
        <v>603</v>
      </c>
      <c r="D73" s="250" t="s">
        <v>604</v>
      </c>
      <c r="E73" s="251">
        <v>3908190.83</v>
      </c>
      <c r="F73" s="252" t="str">
        <f t="shared" ref="F73:F81" si="16">$G$2</f>
        <v>Traditional OOR</v>
      </c>
      <c r="G73" s="253">
        <f t="shared" ref="G73:G133" si="17">IF(F73=$G$2,E73,0)</f>
        <v>3908190.83</v>
      </c>
      <c r="H73" s="254">
        <v>0</v>
      </c>
      <c r="I73" s="254">
        <f t="shared" ref="I73:I133" si="18">G73-H73</f>
        <v>3908190.83</v>
      </c>
      <c r="J73" s="253">
        <f t="shared" ref="J73:J128" si="19">IF(F73=$J$2,E73,0)</f>
        <v>0</v>
      </c>
      <c r="K73" s="253"/>
      <c r="L73" s="266"/>
      <c r="M73" s="255">
        <f>J73-L73</f>
        <v>0</v>
      </c>
      <c r="N73" s="253">
        <f t="shared" ref="N73:N128" si="20">IF(F73=$N$2,E73,0)</f>
        <v>0</v>
      </c>
      <c r="O73" s="259">
        <v>1</v>
      </c>
    </row>
    <row r="74" spans="1:15" x14ac:dyDescent="0.2">
      <c r="A74" s="257" t="s">
        <v>605</v>
      </c>
      <c r="B74" s="249">
        <v>456</v>
      </c>
      <c r="C74" s="258" t="s">
        <v>606</v>
      </c>
      <c r="D74" s="250" t="s">
        <v>607</v>
      </c>
      <c r="E74" s="251">
        <v>5367369.26</v>
      </c>
      <c r="F74" s="252" t="str">
        <f t="shared" si="16"/>
        <v>Traditional OOR</v>
      </c>
      <c r="G74" s="253">
        <f t="shared" si="17"/>
        <v>5367369.26</v>
      </c>
      <c r="H74" s="254">
        <v>0</v>
      </c>
      <c r="I74" s="254">
        <f t="shared" si="18"/>
        <v>5367369.26</v>
      </c>
      <c r="J74" s="253">
        <f t="shared" si="19"/>
        <v>0</v>
      </c>
      <c r="K74" s="253"/>
      <c r="L74" s="266"/>
      <c r="M74" s="255">
        <f t="shared" ref="M74:M124" si="21">J74-L74</f>
        <v>0</v>
      </c>
      <c r="N74" s="253">
        <f t="shared" si="20"/>
        <v>0</v>
      </c>
      <c r="O74" s="259">
        <v>4</v>
      </c>
    </row>
    <row r="75" spans="1:15" x14ac:dyDescent="0.2">
      <c r="A75" s="257" t="s">
        <v>608</v>
      </c>
      <c r="B75" s="249">
        <v>456</v>
      </c>
      <c r="C75" s="258" t="s">
        <v>609</v>
      </c>
      <c r="D75" s="250" t="s">
        <v>610</v>
      </c>
      <c r="E75" s="251">
        <v>380614.45</v>
      </c>
      <c r="F75" s="252" t="str">
        <f t="shared" si="16"/>
        <v>Traditional OOR</v>
      </c>
      <c r="G75" s="253">
        <f t="shared" si="17"/>
        <v>380614.45</v>
      </c>
      <c r="H75" s="254">
        <v>0</v>
      </c>
      <c r="I75" s="254">
        <f t="shared" si="18"/>
        <v>380614.45</v>
      </c>
      <c r="J75" s="253">
        <f t="shared" si="19"/>
        <v>0</v>
      </c>
      <c r="K75" s="253"/>
      <c r="L75" s="266"/>
      <c r="M75" s="255">
        <f t="shared" si="21"/>
        <v>0</v>
      </c>
      <c r="N75" s="253">
        <f t="shared" si="20"/>
        <v>0</v>
      </c>
      <c r="O75" s="259">
        <v>4</v>
      </c>
    </row>
    <row r="76" spans="1:15" x14ac:dyDescent="0.2">
      <c r="A76" s="257" t="s">
        <v>611</v>
      </c>
      <c r="B76" s="249">
        <v>456</v>
      </c>
      <c r="C76" s="258" t="s">
        <v>612</v>
      </c>
      <c r="D76" s="250" t="s">
        <v>613</v>
      </c>
      <c r="E76" s="251">
        <v>0</v>
      </c>
      <c r="F76" s="252" t="str">
        <f t="shared" si="16"/>
        <v>Traditional OOR</v>
      </c>
      <c r="G76" s="253">
        <f t="shared" si="17"/>
        <v>0</v>
      </c>
      <c r="H76" s="254">
        <v>0</v>
      </c>
      <c r="I76" s="254">
        <f t="shared" si="18"/>
        <v>0</v>
      </c>
      <c r="J76" s="253">
        <f t="shared" si="19"/>
        <v>0</v>
      </c>
      <c r="K76" s="253"/>
      <c r="L76" s="266"/>
      <c r="M76" s="255">
        <f t="shared" si="21"/>
        <v>0</v>
      </c>
      <c r="N76" s="253">
        <f t="shared" si="20"/>
        <v>0</v>
      </c>
      <c r="O76" s="259">
        <v>3</v>
      </c>
    </row>
    <row r="77" spans="1:15" x14ac:dyDescent="0.2">
      <c r="A77" s="248" t="s">
        <v>614</v>
      </c>
      <c r="B77" s="249">
        <v>456</v>
      </c>
      <c r="C77" s="250" t="s">
        <v>615</v>
      </c>
      <c r="D77" s="250" t="s">
        <v>616</v>
      </c>
      <c r="E77" s="251">
        <v>320</v>
      </c>
      <c r="F77" s="252" t="str">
        <f t="shared" si="16"/>
        <v>Traditional OOR</v>
      </c>
      <c r="G77" s="253">
        <f t="shared" si="17"/>
        <v>320</v>
      </c>
      <c r="H77" s="254">
        <v>0</v>
      </c>
      <c r="I77" s="254">
        <f t="shared" si="18"/>
        <v>320</v>
      </c>
      <c r="J77" s="253">
        <f t="shared" si="19"/>
        <v>0</v>
      </c>
      <c r="K77" s="253"/>
      <c r="L77" s="266"/>
      <c r="M77" s="255">
        <f t="shared" si="21"/>
        <v>0</v>
      </c>
      <c r="N77" s="253">
        <f t="shared" si="20"/>
        <v>0</v>
      </c>
      <c r="O77" s="259">
        <v>1</v>
      </c>
    </row>
    <row r="78" spans="1:15" x14ac:dyDescent="0.2">
      <c r="A78" s="248" t="s">
        <v>617</v>
      </c>
      <c r="B78" s="249">
        <v>456</v>
      </c>
      <c r="C78" s="250" t="s">
        <v>618</v>
      </c>
      <c r="D78" s="250" t="s">
        <v>619</v>
      </c>
      <c r="E78" s="251">
        <v>599291.03</v>
      </c>
      <c r="F78" s="252" t="str">
        <f t="shared" si="16"/>
        <v>Traditional OOR</v>
      </c>
      <c r="G78" s="253">
        <f t="shared" si="17"/>
        <v>599291.03</v>
      </c>
      <c r="H78" s="254">
        <v>0</v>
      </c>
      <c r="I78" s="254">
        <f t="shared" si="18"/>
        <v>599291.03</v>
      </c>
      <c r="J78" s="253">
        <f t="shared" si="19"/>
        <v>0</v>
      </c>
      <c r="K78" s="253"/>
      <c r="L78" s="266"/>
      <c r="M78" s="255">
        <f t="shared" si="21"/>
        <v>0</v>
      </c>
      <c r="N78" s="253">
        <f t="shared" si="20"/>
        <v>0</v>
      </c>
      <c r="O78" s="259">
        <v>1</v>
      </c>
    </row>
    <row r="79" spans="1:15" x14ac:dyDescent="0.2">
      <c r="A79" s="248" t="s">
        <v>620</v>
      </c>
      <c r="B79" s="249">
        <v>456</v>
      </c>
      <c r="C79" s="250" t="s">
        <v>621</v>
      </c>
      <c r="D79" s="250" t="s">
        <v>622</v>
      </c>
      <c r="E79" s="251">
        <v>0</v>
      </c>
      <c r="F79" s="252" t="str">
        <f t="shared" si="16"/>
        <v>Traditional OOR</v>
      </c>
      <c r="G79" s="253">
        <f t="shared" si="17"/>
        <v>0</v>
      </c>
      <c r="H79" s="254">
        <v>0</v>
      </c>
      <c r="I79" s="254">
        <f t="shared" si="18"/>
        <v>0</v>
      </c>
      <c r="J79" s="253">
        <f t="shared" si="19"/>
        <v>0</v>
      </c>
      <c r="K79" s="253"/>
      <c r="L79" s="266"/>
      <c r="M79" s="255">
        <f t="shared" si="21"/>
        <v>0</v>
      </c>
      <c r="N79" s="253">
        <f t="shared" si="20"/>
        <v>0</v>
      </c>
      <c r="O79" s="259">
        <v>3</v>
      </c>
    </row>
    <row r="80" spans="1:15" x14ac:dyDescent="0.2">
      <c r="A80" s="248" t="s">
        <v>623</v>
      </c>
      <c r="B80" s="249">
        <v>456</v>
      </c>
      <c r="C80" s="249">
        <v>4186142</v>
      </c>
      <c r="D80" s="250" t="s">
        <v>624</v>
      </c>
      <c r="E80" s="251">
        <v>3427.67</v>
      </c>
      <c r="F80" s="252" t="str">
        <f t="shared" si="16"/>
        <v>Traditional OOR</v>
      </c>
      <c r="G80" s="253">
        <f>IF(F80=$G$2,E80,0)</f>
        <v>3427.67</v>
      </c>
      <c r="H80" s="254">
        <v>0</v>
      </c>
      <c r="I80" s="254">
        <f>G80-H80</f>
        <v>3427.67</v>
      </c>
      <c r="J80" s="253">
        <f t="shared" si="19"/>
        <v>0</v>
      </c>
      <c r="K80" s="253"/>
      <c r="L80" s="266"/>
      <c r="M80" s="255">
        <f t="shared" si="21"/>
        <v>0</v>
      </c>
      <c r="N80" s="253">
        <f t="shared" si="20"/>
        <v>0</v>
      </c>
      <c r="O80" s="259">
        <v>4</v>
      </c>
    </row>
    <row r="81" spans="1:15" x14ac:dyDescent="0.2">
      <c r="A81" s="248" t="s">
        <v>625</v>
      </c>
      <c r="B81" s="249">
        <v>456</v>
      </c>
      <c r="C81" s="250" t="s">
        <v>626</v>
      </c>
      <c r="D81" s="250" t="s">
        <v>627</v>
      </c>
      <c r="E81" s="251">
        <v>0</v>
      </c>
      <c r="F81" s="252" t="str">
        <f t="shared" si="16"/>
        <v>Traditional OOR</v>
      </c>
      <c r="G81" s="253">
        <f t="shared" si="17"/>
        <v>0</v>
      </c>
      <c r="H81" s="254">
        <f>E81*$D$240</f>
        <v>0</v>
      </c>
      <c r="I81" s="254">
        <f t="shared" si="18"/>
        <v>0</v>
      </c>
      <c r="J81" s="253">
        <f t="shared" si="19"/>
        <v>0</v>
      </c>
      <c r="K81" s="253"/>
      <c r="L81" s="266"/>
      <c r="M81" s="255">
        <f t="shared" si="21"/>
        <v>0</v>
      </c>
      <c r="N81" s="253">
        <f t="shared" si="20"/>
        <v>0</v>
      </c>
      <c r="O81" s="259">
        <v>7</v>
      </c>
    </row>
    <row r="82" spans="1:15" x14ac:dyDescent="0.2">
      <c r="A82" s="248" t="s">
        <v>628</v>
      </c>
      <c r="B82" s="249">
        <v>456</v>
      </c>
      <c r="C82" s="250" t="s">
        <v>629</v>
      </c>
      <c r="D82" s="250" t="s">
        <v>630</v>
      </c>
      <c r="E82" s="251">
        <v>225292.56</v>
      </c>
      <c r="F82" s="252" t="str">
        <f>$N$2</f>
        <v>Other Ratemaking</v>
      </c>
      <c r="G82" s="253">
        <f>I82+H82</f>
        <v>13335.066626399999</v>
      </c>
      <c r="H82" s="254">
        <f>E82*$D$246</f>
        <v>13335.066626399999</v>
      </c>
      <c r="I82" s="254">
        <v>0</v>
      </c>
      <c r="J82" s="253">
        <f t="shared" si="19"/>
        <v>0</v>
      </c>
      <c r="K82" s="253"/>
      <c r="L82" s="266"/>
      <c r="M82" s="254">
        <f t="shared" si="21"/>
        <v>0</v>
      </c>
      <c r="N82" s="253">
        <f>IF(F82=$N$2,E82-H82,0)</f>
        <v>211957.49337360001</v>
      </c>
      <c r="O82" s="256" t="s">
        <v>562</v>
      </c>
    </row>
    <row r="83" spans="1:15" x14ac:dyDescent="0.2">
      <c r="A83" s="248" t="s">
        <v>631</v>
      </c>
      <c r="B83" s="249">
        <v>456</v>
      </c>
      <c r="C83" s="250" t="s">
        <v>632</v>
      </c>
      <c r="D83" s="250" t="s">
        <v>633</v>
      </c>
      <c r="E83" s="251">
        <v>1687.98</v>
      </c>
      <c r="F83" s="252" t="str">
        <f t="shared" ref="F83:F88" si="22">$G$2</f>
        <v>Traditional OOR</v>
      </c>
      <c r="G83" s="253">
        <f t="shared" si="17"/>
        <v>1687.98</v>
      </c>
      <c r="H83" s="254">
        <v>0</v>
      </c>
      <c r="I83" s="254">
        <f t="shared" si="18"/>
        <v>1687.98</v>
      </c>
      <c r="J83" s="253">
        <f t="shared" si="19"/>
        <v>0</v>
      </c>
      <c r="K83" s="253"/>
      <c r="L83" s="266"/>
      <c r="M83" s="255">
        <f t="shared" si="21"/>
        <v>0</v>
      </c>
      <c r="N83" s="253">
        <f t="shared" si="20"/>
        <v>0</v>
      </c>
      <c r="O83" s="259">
        <v>4</v>
      </c>
    </row>
    <row r="84" spans="1:15" x14ac:dyDescent="0.2">
      <c r="A84" s="248" t="s">
        <v>634</v>
      </c>
      <c r="B84" s="249">
        <v>456</v>
      </c>
      <c r="C84" s="250" t="s">
        <v>635</v>
      </c>
      <c r="D84" s="250" t="s">
        <v>636</v>
      </c>
      <c r="E84" s="251">
        <v>16942.240000000002</v>
      </c>
      <c r="F84" s="252" t="str">
        <f t="shared" si="22"/>
        <v>Traditional OOR</v>
      </c>
      <c r="G84" s="253">
        <f t="shared" si="17"/>
        <v>16942.240000000002</v>
      </c>
      <c r="H84" s="254">
        <v>0</v>
      </c>
      <c r="I84" s="254">
        <f t="shared" si="18"/>
        <v>16942.240000000002</v>
      </c>
      <c r="J84" s="253">
        <f t="shared" si="19"/>
        <v>0</v>
      </c>
      <c r="K84" s="253"/>
      <c r="L84" s="266"/>
      <c r="M84" s="255">
        <f t="shared" si="21"/>
        <v>0</v>
      </c>
      <c r="N84" s="253">
        <f t="shared" si="20"/>
        <v>0</v>
      </c>
      <c r="O84" s="259">
        <v>4</v>
      </c>
    </row>
    <row r="85" spans="1:15" x14ac:dyDescent="0.2">
      <c r="A85" s="248" t="s">
        <v>637</v>
      </c>
      <c r="B85" s="249">
        <v>456</v>
      </c>
      <c r="C85" s="250" t="s">
        <v>638</v>
      </c>
      <c r="D85" s="250" t="s">
        <v>639</v>
      </c>
      <c r="E85" s="251">
        <v>5119.24</v>
      </c>
      <c r="F85" s="252" t="str">
        <f t="shared" si="22"/>
        <v>Traditional OOR</v>
      </c>
      <c r="G85" s="253">
        <f t="shared" si="17"/>
        <v>5119.24</v>
      </c>
      <c r="H85" s="254">
        <v>0</v>
      </c>
      <c r="I85" s="254">
        <f t="shared" si="18"/>
        <v>5119.24</v>
      </c>
      <c r="J85" s="253">
        <f t="shared" si="19"/>
        <v>0</v>
      </c>
      <c r="K85" s="253"/>
      <c r="L85" s="266"/>
      <c r="M85" s="255">
        <f t="shared" si="21"/>
        <v>0</v>
      </c>
      <c r="N85" s="253">
        <f t="shared" si="20"/>
        <v>0</v>
      </c>
      <c r="O85" s="259">
        <v>4</v>
      </c>
    </row>
    <row r="86" spans="1:15" x14ac:dyDescent="0.2">
      <c r="A86" s="248" t="s">
        <v>640</v>
      </c>
      <c r="B86" s="249">
        <v>456</v>
      </c>
      <c r="C86" s="250" t="s">
        <v>641</v>
      </c>
      <c r="D86" s="250" t="s">
        <v>642</v>
      </c>
      <c r="E86" s="251">
        <v>1158.5</v>
      </c>
      <c r="F86" s="252" t="str">
        <f t="shared" si="22"/>
        <v>Traditional OOR</v>
      </c>
      <c r="G86" s="253">
        <f t="shared" si="17"/>
        <v>1158.5</v>
      </c>
      <c r="H86" s="254">
        <v>0</v>
      </c>
      <c r="I86" s="254">
        <f t="shared" si="18"/>
        <v>1158.5</v>
      </c>
      <c r="J86" s="253">
        <f t="shared" si="19"/>
        <v>0</v>
      </c>
      <c r="K86" s="253"/>
      <c r="L86" s="266"/>
      <c r="M86" s="255">
        <f t="shared" si="21"/>
        <v>0</v>
      </c>
      <c r="N86" s="253">
        <f t="shared" si="20"/>
        <v>0</v>
      </c>
      <c r="O86" s="259">
        <v>4</v>
      </c>
    </row>
    <row r="87" spans="1:15" x14ac:dyDescent="0.2">
      <c r="A87" s="248" t="s">
        <v>643</v>
      </c>
      <c r="B87" s="249">
        <v>456</v>
      </c>
      <c r="C87" s="250" t="s">
        <v>644</v>
      </c>
      <c r="D87" s="250" t="s">
        <v>645</v>
      </c>
      <c r="E87" s="251">
        <v>985.74</v>
      </c>
      <c r="F87" s="252" t="str">
        <f t="shared" si="22"/>
        <v>Traditional OOR</v>
      </c>
      <c r="G87" s="253">
        <f t="shared" si="17"/>
        <v>985.74</v>
      </c>
      <c r="H87" s="254">
        <v>0</v>
      </c>
      <c r="I87" s="254">
        <f t="shared" si="18"/>
        <v>985.74</v>
      </c>
      <c r="J87" s="253">
        <f t="shared" si="19"/>
        <v>0</v>
      </c>
      <c r="K87" s="253"/>
      <c r="L87" s="266"/>
      <c r="M87" s="255">
        <f t="shared" si="21"/>
        <v>0</v>
      </c>
      <c r="N87" s="253">
        <f t="shared" si="20"/>
        <v>0</v>
      </c>
      <c r="O87" s="259">
        <v>4</v>
      </c>
    </row>
    <row r="88" spans="1:15" x14ac:dyDescent="0.2">
      <c r="A88" s="248" t="s">
        <v>646</v>
      </c>
      <c r="B88" s="249">
        <v>456</v>
      </c>
      <c r="C88" s="250" t="s">
        <v>647</v>
      </c>
      <c r="D88" s="250" t="s">
        <v>648</v>
      </c>
      <c r="E88" s="251">
        <v>208656</v>
      </c>
      <c r="F88" s="252" t="str">
        <f t="shared" si="22"/>
        <v>Traditional OOR</v>
      </c>
      <c r="G88" s="253">
        <f t="shared" si="17"/>
        <v>208656</v>
      </c>
      <c r="H88" s="254">
        <v>0</v>
      </c>
      <c r="I88" s="254">
        <f t="shared" si="18"/>
        <v>208656</v>
      </c>
      <c r="J88" s="253">
        <f t="shared" si="19"/>
        <v>0</v>
      </c>
      <c r="K88" s="253"/>
      <c r="L88" s="266"/>
      <c r="M88" s="255">
        <f t="shared" si="21"/>
        <v>0</v>
      </c>
      <c r="N88" s="253">
        <f t="shared" si="20"/>
        <v>0</v>
      </c>
      <c r="O88" s="259">
        <v>4</v>
      </c>
    </row>
    <row r="89" spans="1:15" x14ac:dyDescent="0.2">
      <c r="A89" s="248" t="s">
        <v>649</v>
      </c>
      <c r="B89" s="249">
        <v>456</v>
      </c>
      <c r="C89" s="250" t="s">
        <v>650</v>
      </c>
      <c r="D89" s="250" t="s">
        <v>651</v>
      </c>
      <c r="E89" s="251">
        <v>1689974.34</v>
      </c>
      <c r="F89" s="252" t="str">
        <f t="shared" ref="F89:F102" si="23">$J$2</f>
        <v>GRSM</v>
      </c>
      <c r="G89" s="253">
        <f t="shared" si="17"/>
        <v>0</v>
      </c>
      <c r="H89" s="254">
        <v>0</v>
      </c>
      <c r="I89" s="254">
        <f t="shared" si="18"/>
        <v>0</v>
      </c>
      <c r="J89" s="253">
        <f t="shared" si="19"/>
        <v>1689974.34</v>
      </c>
      <c r="K89" s="281" t="s">
        <v>494</v>
      </c>
      <c r="L89" s="294">
        <v>158573.17000000001</v>
      </c>
      <c r="M89" s="255">
        <f t="shared" si="21"/>
        <v>1531401.1700000002</v>
      </c>
      <c r="N89" s="253">
        <f t="shared" si="20"/>
        <v>0</v>
      </c>
      <c r="O89" s="259">
        <v>2</v>
      </c>
    </row>
    <row r="90" spans="1:15" x14ac:dyDescent="0.2">
      <c r="A90" s="248" t="s">
        <v>652</v>
      </c>
      <c r="B90" s="249">
        <v>456</v>
      </c>
      <c r="C90" s="250" t="s">
        <v>653</v>
      </c>
      <c r="D90" s="250" t="s">
        <v>654</v>
      </c>
      <c r="E90" s="251">
        <v>148679.19</v>
      </c>
      <c r="F90" s="252" t="str">
        <f t="shared" si="23"/>
        <v>GRSM</v>
      </c>
      <c r="G90" s="253">
        <f t="shared" si="17"/>
        <v>0</v>
      </c>
      <c r="H90" s="254">
        <v>0</v>
      </c>
      <c r="I90" s="254">
        <f t="shared" si="18"/>
        <v>0</v>
      </c>
      <c r="J90" s="253">
        <f t="shared" si="19"/>
        <v>148679.19</v>
      </c>
      <c r="K90" s="281" t="s">
        <v>494</v>
      </c>
      <c r="L90" s="294">
        <v>23099.94</v>
      </c>
      <c r="M90" s="255">
        <f t="shared" si="21"/>
        <v>125579.25</v>
      </c>
      <c r="N90" s="253">
        <f t="shared" si="20"/>
        <v>0</v>
      </c>
      <c r="O90" s="259">
        <v>2</v>
      </c>
    </row>
    <row r="91" spans="1:15" x14ac:dyDescent="0.2">
      <c r="A91" s="248" t="s">
        <v>655</v>
      </c>
      <c r="B91" s="249">
        <v>456</v>
      </c>
      <c r="C91" s="250" t="s">
        <v>656</v>
      </c>
      <c r="D91" s="250" t="s">
        <v>657</v>
      </c>
      <c r="E91" s="251">
        <v>42095</v>
      </c>
      <c r="F91" s="252" t="str">
        <f t="shared" si="23"/>
        <v>GRSM</v>
      </c>
      <c r="G91" s="253">
        <f t="shared" si="17"/>
        <v>0</v>
      </c>
      <c r="H91" s="254">
        <v>0</v>
      </c>
      <c r="I91" s="254">
        <f t="shared" si="18"/>
        <v>0</v>
      </c>
      <c r="J91" s="253">
        <f t="shared" si="19"/>
        <v>42095</v>
      </c>
      <c r="K91" s="281" t="s">
        <v>494</v>
      </c>
      <c r="L91" s="266">
        <v>6697.23</v>
      </c>
      <c r="M91" s="255">
        <f t="shared" si="21"/>
        <v>35397.770000000004</v>
      </c>
      <c r="N91" s="253">
        <f t="shared" si="20"/>
        <v>0</v>
      </c>
      <c r="O91" s="259">
        <v>2</v>
      </c>
    </row>
    <row r="92" spans="1:15" x14ac:dyDescent="0.2">
      <c r="A92" s="248" t="s">
        <v>658</v>
      </c>
      <c r="B92" s="249">
        <v>456</v>
      </c>
      <c r="C92" s="250" t="s">
        <v>659</v>
      </c>
      <c r="D92" s="250" t="s">
        <v>660</v>
      </c>
      <c r="E92" s="251">
        <v>0</v>
      </c>
      <c r="F92" s="252" t="str">
        <f t="shared" si="23"/>
        <v>GRSM</v>
      </c>
      <c r="G92" s="253">
        <f t="shared" si="17"/>
        <v>0</v>
      </c>
      <c r="H92" s="254">
        <v>0</v>
      </c>
      <c r="I92" s="254">
        <f t="shared" si="18"/>
        <v>0</v>
      </c>
      <c r="J92" s="253">
        <f t="shared" si="19"/>
        <v>0</v>
      </c>
      <c r="K92" s="281" t="s">
        <v>494</v>
      </c>
      <c r="L92" s="266"/>
      <c r="M92" s="255">
        <f t="shared" si="21"/>
        <v>0</v>
      </c>
      <c r="N92" s="253">
        <f t="shared" si="20"/>
        <v>0</v>
      </c>
      <c r="O92" s="256">
        <v>2</v>
      </c>
    </row>
    <row r="93" spans="1:15" x14ac:dyDescent="0.2">
      <c r="A93" s="248" t="s">
        <v>661</v>
      </c>
      <c r="B93" s="249">
        <v>456</v>
      </c>
      <c r="C93" s="250" t="s">
        <v>662</v>
      </c>
      <c r="D93" s="250" t="s">
        <v>663</v>
      </c>
      <c r="E93" s="251">
        <v>0</v>
      </c>
      <c r="F93" s="252" t="str">
        <f t="shared" si="23"/>
        <v>GRSM</v>
      </c>
      <c r="G93" s="253">
        <f t="shared" si="17"/>
        <v>0</v>
      </c>
      <c r="H93" s="254">
        <v>0</v>
      </c>
      <c r="I93" s="254">
        <f t="shared" si="18"/>
        <v>0</v>
      </c>
      <c r="J93" s="253">
        <f t="shared" si="19"/>
        <v>0</v>
      </c>
      <c r="K93" s="281" t="s">
        <v>494</v>
      </c>
      <c r="L93" s="266"/>
      <c r="M93" s="255">
        <f t="shared" si="21"/>
        <v>0</v>
      </c>
      <c r="N93" s="253">
        <f t="shared" si="20"/>
        <v>0</v>
      </c>
      <c r="O93" s="259">
        <v>2</v>
      </c>
    </row>
    <row r="94" spans="1:15" x14ac:dyDescent="0.2">
      <c r="A94" s="248" t="s">
        <v>664</v>
      </c>
      <c r="B94" s="249">
        <v>456</v>
      </c>
      <c r="C94" s="250" t="s">
        <v>665</v>
      </c>
      <c r="D94" s="250" t="s">
        <v>666</v>
      </c>
      <c r="E94" s="251">
        <v>3115</v>
      </c>
      <c r="F94" s="252" t="str">
        <f t="shared" si="23"/>
        <v>GRSM</v>
      </c>
      <c r="G94" s="253">
        <f t="shared" si="17"/>
        <v>0</v>
      </c>
      <c r="H94" s="254">
        <v>0</v>
      </c>
      <c r="I94" s="254">
        <f t="shared" si="18"/>
        <v>0</v>
      </c>
      <c r="J94" s="253">
        <f t="shared" si="19"/>
        <v>3115</v>
      </c>
      <c r="K94" s="281" t="s">
        <v>494</v>
      </c>
      <c r="L94" s="266">
        <v>1050</v>
      </c>
      <c r="M94" s="255">
        <f t="shared" si="21"/>
        <v>2065</v>
      </c>
      <c r="N94" s="253">
        <f t="shared" si="20"/>
        <v>0</v>
      </c>
      <c r="O94" s="259">
        <v>2</v>
      </c>
    </row>
    <row r="95" spans="1:15" x14ac:dyDescent="0.2">
      <c r="A95" s="248" t="s">
        <v>667</v>
      </c>
      <c r="B95" s="249">
        <v>456</v>
      </c>
      <c r="C95" s="250" t="s">
        <v>668</v>
      </c>
      <c r="D95" s="250" t="s">
        <v>669</v>
      </c>
      <c r="E95" s="251">
        <v>13940</v>
      </c>
      <c r="F95" s="252" t="str">
        <f t="shared" si="23"/>
        <v>GRSM</v>
      </c>
      <c r="G95" s="253">
        <f t="shared" si="17"/>
        <v>0</v>
      </c>
      <c r="H95" s="254">
        <v>0</v>
      </c>
      <c r="I95" s="254">
        <f t="shared" si="18"/>
        <v>0</v>
      </c>
      <c r="J95" s="253">
        <f t="shared" si="19"/>
        <v>13940</v>
      </c>
      <c r="K95" s="281" t="s">
        <v>494</v>
      </c>
      <c r="L95" s="266">
        <v>5603.61</v>
      </c>
      <c r="M95" s="255">
        <f t="shared" si="21"/>
        <v>8336.39</v>
      </c>
      <c r="N95" s="253">
        <f t="shared" si="20"/>
        <v>0</v>
      </c>
      <c r="O95" s="256">
        <v>2</v>
      </c>
    </row>
    <row r="96" spans="1:15" x14ac:dyDescent="0.2">
      <c r="A96" s="248" t="s">
        <v>670</v>
      </c>
      <c r="B96" s="249">
        <v>456</v>
      </c>
      <c r="C96" s="249">
        <v>4186536</v>
      </c>
      <c r="D96" s="282" t="s">
        <v>671</v>
      </c>
      <c r="E96" s="251">
        <v>0</v>
      </c>
      <c r="F96" s="252" t="str">
        <f t="shared" si="23"/>
        <v>GRSM</v>
      </c>
      <c r="G96" s="253">
        <f t="shared" si="17"/>
        <v>0</v>
      </c>
      <c r="H96" s="254">
        <v>0</v>
      </c>
      <c r="I96" s="254">
        <f t="shared" si="18"/>
        <v>0</v>
      </c>
      <c r="J96" s="253">
        <f t="shared" si="19"/>
        <v>0</v>
      </c>
      <c r="K96" s="281" t="s">
        <v>494</v>
      </c>
      <c r="L96" s="266"/>
      <c r="M96" s="255">
        <f t="shared" si="21"/>
        <v>0</v>
      </c>
      <c r="N96" s="253">
        <f t="shared" si="20"/>
        <v>0</v>
      </c>
      <c r="O96" s="256">
        <v>2</v>
      </c>
    </row>
    <row r="97" spans="1:15" x14ac:dyDescent="0.2">
      <c r="A97" s="248" t="s">
        <v>672</v>
      </c>
      <c r="B97" s="249">
        <v>456</v>
      </c>
      <c r="C97" s="249">
        <v>4186538</v>
      </c>
      <c r="D97" s="282" t="s">
        <v>673</v>
      </c>
      <c r="E97" s="251">
        <v>0</v>
      </c>
      <c r="F97" s="252" t="str">
        <f t="shared" si="23"/>
        <v>GRSM</v>
      </c>
      <c r="G97" s="253">
        <f t="shared" si="17"/>
        <v>0</v>
      </c>
      <c r="H97" s="254">
        <v>0</v>
      </c>
      <c r="I97" s="254">
        <f t="shared" si="18"/>
        <v>0</v>
      </c>
      <c r="J97" s="253">
        <f t="shared" si="19"/>
        <v>0</v>
      </c>
      <c r="K97" s="281" t="s">
        <v>494</v>
      </c>
      <c r="L97" s="266"/>
      <c r="M97" s="255">
        <f t="shared" si="21"/>
        <v>0</v>
      </c>
      <c r="N97" s="253">
        <f t="shared" si="20"/>
        <v>0</v>
      </c>
      <c r="O97" s="256">
        <v>2</v>
      </c>
    </row>
    <row r="98" spans="1:15" x14ac:dyDescent="0.2">
      <c r="A98" s="248" t="s">
        <v>674</v>
      </c>
      <c r="B98" s="249">
        <v>456</v>
      </c>
      <c r="C98" s="250" t="s">
        <v>675</v>
      </c>
      <c r="D98" s="250" t="s">
        <v>676</v>
      </c>
      <c r="E98" s="251">
        <v>0</v>
      </c>
      <c r="F98" s="252" t="str">
        <f t="shared" si="23"/>
        <v>GRSM</v>
      </c>
      <c r="G98" s="253">
        <f t="shared" si="17"/>
        <v>0</v>
      </c>
      <c r="H98" s="254">
        <v>0</v>
      </c>
      <c r="I98" s="254">
        <f t="shared" si="18"/>
        <v>0</v>
      </c>
      <c r="J98" s="253">
        <f t="shared" si="19"/>
        <v>0</v>
      </c>
      <c r="K98" s="281" t="s">
        <v>271</v>
      </c>
      <c r="L98" s="266"/>
      <c r="M98" s="255">
        <f t="shared" si="21"/>
        <v>0</v>
      </c>
      <c r="N98" s="253">
        <f t="shared" si="20"/>
        <v>0</v>
      </c>
      <c r="O98" s="256">
        <v>2</v>
      </c>
    </row>
    <row r="99" spans="1:15" x14ac:dyDescent="0.2">
      <c r="A99" s="248" t="s">
        <v>677</v>
      </c>
      <c r="B99" s="249">
        <v>456</v>
      </c>
      <c r="C99" s="250" t="s">
        <v>678</v>
      </c>
      <c r="D99" s="250" t="s">
        <v>679</v>
      </c>
      <c r="E99" s="251">
        <v>0</v>
      </c>
      <c r="F99" s="252" t="str">
        <f t="shared" si="23"/>
        <v>GRSM</v>
      </c>
      <c r="G99" s="253">
        <f t="shared" si="17"/>
        <v>0</v>
      </c>
      <c r="H99" s="254">
        <v>0</v>
      </c>
      <c r="I99" s="254">
        <f t="shared" si="18"/>
        <v>0</v>
      </c>
      <c r="J99" s="253">
        <f t="shared" si="19"/>
        <v>0</v>
      </c>
      <c r="K99" s="281" t="s">
        <v>271</v>
      </c>
      <c r="L99" s="266"/>
      <c r="M99" s="255">
        <f>J99-L99</f>
        <v>0</v>
      </c>
      <c r="N99" s="253">
        <f t="shared" si="20"/>
        <v>0</v>
      </c>
      <c r="O99" s="256">
        <v>2</v>
      </c>
    </row>
    <row r="100" spans="1:15" x14ac:dyDescent="0.2">
      <c r="A100" s="248" t="s">
        <v>680</v>
      </c>
      <c r="B100" s="249">
        <v>456</v>
      </c>
      <c r="C100" s="250" t="s">
        <v>681</v>
      </c>
      <c r="D100" s="250" t="s">
        <v>682</v>
      </c>
      <c r="E100" s="251">
        <v>0</v>
      </c>
      <c r="F100" s="252" t="str">
        <f t="shared" si="23"/>
        <v>GRSM</v>
      </c>
      <c r="G100" s="253">
        <f t="shared" si="17"/>
        <v>0</v>
      </c>
      <c r="H100" s="254">
        <v>0</v>
      </c>
      <c r="I100" s="254">
        <f t="shared" si="18"/>
        <v>0</v>
      </c>
      <c r="J100" s="253">
        <f t="shared" si="19"/>
        <v>0</v>
      </c>
      <c r="K100" s="281" t="s">
        <v>271</v>
      </c>
      <c r="L100" s="266"/>
      <c r="M100" s="255">
        <f t="shared" si="21"/>
        <v>0</v>
      </c>
      <c r="N100" s="253">
        <f t="shared" si="20"/>
        <v>0</v>
      </c>
      <c r="O100" s="256">
        <v>2</v>
      </c>
    </row>
    <row r="101" spans="1:15" x14ac:dyDescent="0.2">
      <c r="A101" s="248" t="s">
        <v>683</v>
      </c>
      <c r="B101" s="249">
        <v>456</v>
      </c>
      <c r="C101" s="250" t="s">
        <v>684</v>
      </c>
      <c r="D101" s="250" t="s">
        <v>685</v>
      </c>
      <c r="E101" s="251">
        <v>0</v>
      </c>
      <c r="F101" s="252" t="str">
        <f t="shared" si="23"/>
        <v>GRSM</v>
      </c>
      <c r="G101" s="253">
        <f t="shared" si="17"/>
        <v>0</v>
      </c>
      <c r="H101" s="254">
        <v>0</v>
      </c>
      <c r="I101" s="254">
        <f t="shared" si="18"/>
        <v>0</v>
      </c>
      <c r="J101" s="253">
        <f>IF(F101=$J$2,E101,0)</f>
        <v>0</v>
      </c>
      <c r="K101" s="281" t="s">
        <v>271</v>
      </c>
      <c r="L101" s="266"/>
      <c r="M101" s="255">
        <f t="shared" si="21"/>
        <v>0</v>
      </c>
      <c r="N101" s="253">
        <f t="shared" si="20"/>
        <v>0</v>
      </c>
      <c r="O101" s="259">
        <v>2</v>
      </c>
    </row>
    <row r="102" spans="1:15" x14ac:dyDescent="0.2">
      <c r="A102" s="248" t="s">
        <v>686</v>
      </c>
      <c r="B102" s="249">
        <v>456</v>
      </c>
      <c r="C102" s="250" t="s">
        <v>687</v>
      </c>
      <c r="D102" s="250" t="s">
        <v>688</v>
      </c>
      <c r="E102" s="251">
        <v>0</v>
      </c>
      <c r="F102" s="252" t="str">
        <f t="shared" si="23"/>
        <v>GRSM</v>
      </c>
      <c r="G102" s="253">
        <f t="shared" si="17"/>
        <v>0</v>
      </c>
      <c r="H102" s="254">
        <v>0</v>
      </c>
      <c r="I102" s="254">
        <f t="shared" si="18"/>
        <v>0</v>
      </c>
      <c r="J102" s="253">
        <f t="shared" si="19"/>
        <v>0</v>
      </c>
      <c r="K102" s="281" t="s">
        <v>271</v>
      </c>
      <c r="L102" s="294"/>
      <c r="M102" s="254">
        <f t="shared" si="21"/>
        <v>0</v>
      </c>
      <c r="N102" s="253">
        <f t="shared" si="20"/>
        <v>0</v>
      </c>
      <c r="O102" s="256">
        <v>2</v>
      </c>
    </row>
    <row r="103" spans="1:15" x14ac:dyDescent="0.2">
      <c r="A103" s="248" t="s">
        <v>689</v>
      </c>
      <c r="B103" s="249">
        <v>456</v>
      </c>
      <c r="C103" s="250" t="s">
        <v>690</v>
      </c>
      <c r="D103" s="250" t="s">
        <v>691</v>
      </c>
      <c r="E103" s="251">
        <v>1741.5</v>
      </c>
      <c r="F103" s="252" t="str">
        <f>$N$2</f>
        <v>Other Ratemaking</v>
      </c>
      <c r="G103" s="253">
        <f t="shared" si="17"/>
        <v>0</v>
      </c>
      <c r="H103" s="254">
        <v>0</v>
      </c>
      <c r="I103" s="254">
        <f t="shared" si="18"/>
        <v>0</v>
      </c>
      <c r="J103" s="253">
        <f t="shared" si="19"/>
        <v>0</v>
      </c>
      <c r="K103" s="253"/>
      <c r="L103" s="266"/>
      <c r="M103" s="255">
        <f t="shared" si="21"/>
        <v>0</v>
      </c>
      <c r="N103" s="253">
        <f t="shared" si="20"/>
        <v>1741.5</v>
      </c>
      <c r="O103" s="259">
        <v>6</v>
      </c>
    </row>
    <row r="104" spans="1:15" x14ac:dyDescent="0.2">
      <c r="A104" s="248" t="s">
        <v>692</v>
      </c>
      <c r="B104" s="249">
        <v>456</v>
      </c>
      <c r="C104" s="250" t="s">
        <v>693</v>
      </c>
      <c r="D104" s="250" t="s">
        <v>694</v>
      </c>
      <c r="E104" s="251">
        <v>34805984.520000003</v>
      </c>
      <c r="F104" s="252" t="str">
        <f>$G$2</f>
        <v>Traditional OOR</v>
      </c>
      <c r="G104" s="253">
        <f t="shared" si="17"/>
        <v>34805984.520000003</v>
      </c>
      <c r="H104" s="254">
        <v>0</v>
      </c>
      <c r="I104" s="254">
        <f t="shared" si="18"/>
        <v>34805984.520000003</v>
      </c>
      <c r="J104" s="253">
        <f t="shared" si="19"/>
        <v>0</v>
      </c>
      <c r="K104" s="253"/>
      <c r="L104" s="266"/>
      <c r="M104" s="255">
        <f t="shared" si="21"/>
        <v>0</v>
      </c>
      <c r="N104" s="253">
        <f t="shared" si="20"/>
        <v>0</v>
      </c>
      <c r="O104" s="259">
        <v>4</v>
      </c>
    </row>
    <row r="105" spans="1:15" x14ac:dyDescent="0.2">
      <c r="A105" s="248" t="s">
        <v>695</v>
      </c>
      <c r="B105" s="249">
        <v>456</v>
      </c>
      <c r="C105" s="250" t="s">
        <v>696</v>
      </c>
      <c r="D105" s="250" t="s">
        <v>697</v>
      </c>
      <c r="E105" s="251">
        <v>-47805279.350000001</v>
      </c>
      <c r="F105" s="252" t="str">
        <f t="shared" ref="F105:F110" si="24">$N$2</f>
        <v>Other Ratemaking</v>
      </c>
      <c r="G105" s="253">
        <f t="shared" si="17"/>
        <v>0</v>
      </c>
      <c r="H105" s="254">
        <v>0</v>
      </c>
      <c r="I105" s="254">
        <f t="shared" si="18"/>
        <v>0</v>
      </c>
      <c r="J105" s="253">
        <f t="shared" si="19"/>
        <v>0</v>
      </c>
      <c r="K105" s="253"/>
      <c r="L105" s="266"/>
      <c r="M105" s="255">
        <f t="shared" si="21"/>
        <v>0</v>
      </c>
      <c r="N105" s="253">
        <f t="shared" si="20"/>
        <v>-47805279.350000001</v>
      </c>
      <c r="O105" s="259">
        <v>6</v>
      </c>
    </row>
    <row r="106" spans="1:15" x14ac:dyDescent="0.2">
      <c r="A106" s="248" t="s">
        <v>698</v>
      </c>
      <c r="B106" s="249">
        <v>456</v>
      </c>
      <c r="C106" s="250" t="s">
        <v>699</v>
      </c>
      <c r="D106" s="250" t="s">
        <v>700</v>
      </c>
      <c r="E106" s="251">
        <v>-29298543.199999999</v>
      </c>
      <c r="F106" s="252" t="str">
        <f t="shared" si="24"/>
        <v>Other Ratemaking</v>
      </c>
      <c r="G106" s="253">
        <f t="shared" si="17"/>
        <v>0</v>
      </c>
      <c r="H106" s="254">
        <v>0</v>
      </c>
      <c r="I106" s="254">
        <f t="shared" si="18"/>
        <v>0</v>
      </c>
      <c r="J106" s="253">
        <f t="shared" si="19"/>
        <v>0</v>
      </c>
      <c r="K106" s="253"/>
      <c r="L106" s="266"/>
      <c r="M106" s="255">
        <f t="shared" si="21"/>
        <v>0</v>
      </c>
      <c r="N106" s="253">
        <f t="shared" si="20"/>
        <v>-29298543.199999999</v>
      </c>
      <c r="O106" s="259">
        <v>6</v>
      </c>
    </row>
    <row r="107" spans="1:15" x14ac:dyDescent="0.2">
      <c r="A107" s="248" t="s">
        <v>701</v>
      </c>
      <c r="B107" s="249">
        <v>456</v>
      </c>
      <c r="C107" s="250" t="s">
        <v>702</v>
      </c>
      <c r="D107" s="250" t="s">
        <v>703</v>
      </c>
      <c r="E107" s="251">
        <v>47805731.729999997</v>
      </c>
      <c r="F107" s="252" t="str">
        <f t="shared" si="24"/>
        <v>Other Ratemaking</v>
      </c>
      <c r="G107" s="253">
        <f t="shared" si="17"/>
        <v>0</v>
      </c>
      <c r="H107" s="254">
        <v>0</v>
      </c>
      <c r="I107" s="254">
        <f t="shared" si="18"/>
        <v>0</v>
      </c>
      <c r="J107" s="253">
        <f t="shared" si="19"/>
        <v>0</v>
      </c>
      <c r="K107" s="253"/>
      <c r="L107" s="266"/>
      <c r="M107" s="255">
        <f t="shared" si="21"/>
        <v>0</v>
      </c>
      <c r="N107" s="253">
        <f t="shared" si="20"/>
        <v>47805731.729999997</v>
      </c>
      <c r="O107" s="259">
        <v>6</v>
      </c>
    </row>
    <row r="108" spans="1:15" x14ac:dyDescent="0.2">
      <c r="A108" s="248" t="s">
        <v>704</v>
      </c>
      <c r="B108" s="249">
        <v>456</v>
      </c>
      <c r="C108" s="250" t="s">
        <v>705</v>
      </c>
      <c r="D108" s="250" t="s">
        <v>706</v>
      </c>
      <c r="E108" s="251">
        <v>29298543.199999999</v>
      </c>
      <c r="F108" s="252" t="str">
        <f t="shared" si="24"/>
        <v>Other Ratemaking</v>
      </c>
      <c r="G108" s="253">
        <f t="shared" si="17"/>
        <v>0</v>
      </c>
      <c r="H108" s="254">
        <v>0</v>
      </c>
      <c r="I108" s="254">
        <f t="shared" si="18"/>
        <v>0</v>
      </c>
      <c r="J108" s="253">
        <f t="shared" si="19"/>
        <v>0</v>
      </c>
      <c r="K108" s="253"/>
      <c r="L108" s="266"/>
      <c r="M108" s="255">
        <f t="shared" si="21"/>
        <v>0</v>
      </c>
      <c r="N108" s="253">
        <f t="shared" si="20"/>
        <v>29298543.199999999</v>
      </c>
      <c r="O108" s="259">
        <v>6</v>
      </c>
    </row>
    <row r="109" spans="1:15" x14ac:dyDescent="0.2">
      <c r="A109" s="248" t="s">
        <v>707</v>
      </c>
      <c r="B109" s="249">
        <v>456</v>
      </c>
      <c r="C109" s="250" t="s">
        <v>708</v>
      </c>
      <c r="D109" s="250" t="s">
        <v>709</v>
      </c>
      <c r="E109" s="251">
        <v>42542364.060000002</v>
      </c>
      <c r="F109" s="252" t="str">
        <f t="shared" si="24"/>
        <v>Other Ratemaking</v>
      </c>
      <c r="G109" s="253">
        <f t="shared" si="17"/>
        <v>0</v>
      </c>
      <c r="H109" s="254">
        <v>0</v>
      </c>
      <c r="I109" s="254">
        <f t="shared" si="18"/>
        <v>0</v>
      </c>
      <c r="J109" s="253">
        <f t="shared" si="19"/>
        <v>0</v>
      </c>
      <c r="K109" s="253"/>
      <c r="L109" s="266"/>
      <c r="M109" s="255">
        <f t="shared" si="21"/>
        <v>0</v>
      </c>
      <c r="N109" s="253">
        <f t="shared" si="20"/>
        <v>42542364.060000002</v>
      </c>
      <c r="O109" s="259">
        <v>6</v>
      </c>
    </row>
    <row r="110" spans="1:15" x14ac:dyDescent="0.2">
      <c r="A110" s="248" t="s">
        <v>710</v>
      </c>
      <c r="B110" s="249">
        <v>456</v>
      </c>
      <c r="C110" s="250" t="s">
        <v>711</v>
      </c>
      <c r="D110" s="250" t="s">
        <v>712</v>
      </c>
      <c r="E110" s="251">
        <v>-42542364.060000002</v>
      </c>
      <c r="F110" s="252" t="str">
        <f t="shared" si="24"/>
        <v>Other Ratemaking</v>
      </c>
      <c r="G110" s="253">
        <f t="shared" si="17"/>
        <v>0</v>
      </c>
      <c r="H110" s="254">
        <v>0</v>
      </c>
      <c r="I110" s="254">
        <f t="shared" si="18"/>
        <v>0</v>
      </c>
      <c r="J110" s="253">
        <f t="shared" si="19"/>
        <v>0</v>
      </c>
      <c r="K110" s="253"/>
      <c r="L110" s="266"/>
      <c r="M110" s="255">
        <f t="shared" si="21"/>
        <v>0</v>
      </c>
      <c r="N110" s="253">
        <f t="shared" si="20"/>
        <v>-42542364.060000002</v>
      </c>
      <c r="O110" s="259">
        <v>6</v>
      </c>
    </row>
    <row r="111" spans="1:15" x14ac:dyDescent="0.2">
      <c r="A111" s="248" t="s">
        <v>713</v>
      </c>
      <c r="B111" s="249">
        <v>456</v>
      </c>
      <c r="C111" s="250" t="s">
        <v>714</v>
      </c>
      <c r="D111" s="250" t="s">
        <v>715</v>
      </c>
      <c r="E111" s="251">
        <v>0</v>
      </c>
      <c r="F111" s="252" t="str">
        <f>$J$2</f>
        <v>GRSM</v>
      </c>
      <c r="G111" s="253">
        <f t="shared" si="17"/>
        <v>0</v>
      </c>
      <c r="H111" s="254">
        <v>0</v>
      </c>
      <c r="I111" s="254">
        <f t="shared" si="18"/>
        <v>0</v>
      </c>
      <c r="J111" s="253">
        <f t="shared" si="19"/>
        <v>0</v>
      </c>
      <c r="K111" s="281" t="s">
        <v>271</v>
      </c>
      <c r="L111" s="266"/>
      <c r="M111" s="255">
        <f t="shared" si="21"/>
        <v>0</v>
      </c>
      <c r="N111" s="253">
        <f t="shared" si="20"/>
        <v>0</v>
      </c>
      <c r="O111" s="259">
        <v>2</v>
      </c>
    </row>
    <row r="112" spans="1:15" x14ac:dyDescent="0.2">
      <c r="A112" s="248" t="s">
        <v>716</v>
      </c>
      <c r="B112" s="249">
        <v>456</v>
      </c>
      <c r="C112" s="250" t="s">
        <v>717</v>
      </c>
      <c r="D112" s="250" t="s">
        <v>718</v>
      </c>
      <c r="E112" s="294">
        <v>0</v>
      </c>
      <c r="F112" s="252" t="str">
        <f>$J$2</f>
        <v>GRSM</v>
      </c>
      <c r="G112" s="253">
        <f t="shared" si="17"/>
        <v>0</v>
      </c>
      <c r="H112" s="254">
        <v>0</v>
      </c>
      <c r="I112" s="254">
        <f t="shared" si="18"/>
        <v>0</v>
      </c>
      <c r="J112" s="253">
        <f t="shared" si="19"/>
        <v>0</v>
      </c>
      <c r="K112" s="281" t="s">
        <v>271</v>
      </c>
      <c r="L112" s="294"/>
      <c r="M112" s="255">
        <f t="shared" si="21"/>
        <v>0</v>
      </c>
      <c r="N112" s="253">
        <f t="shared" si="20"/>
        <v>0</v>
      </c>
      <c r="O112" s="259">
        <v>2</v>
      </c>
    </row>
    <row r="113" spans="1:15" x14ac:dyDescent="0.2">
      <c r="A113" s="248" t="s">
        <v>719</v>
      </c>
      <c r="B113" s="249">
        <v>456</v>
      </c>
      <c r="C113" s="250" t="s">
        <v>720</v>
      </c>
      <c r="D113" s="250" t="s">
        <v>721</v>
      </c>
      <c r="E113" s="251">
        <v>0</v>
      </c>
      <c r="F113" s="252" t="str">
        <f>$N$2</f>
        <v>Other Ratemaking</v>
      </c>
      <c r="G113" s="253">
        <f t="shared" si="17"/>
        <v>0</v>
      </c>
      <c r="H113" s="254">
        <v>0</v>
      </c>
      <c r="I113" s="254">
        <f t="shared" si="18"/>
        <v>0</v>
      </c>
      <c r="J113" s="253">
        <f t="shared" si="19"/>
        <v>0</v>
      </c>
      <c r="K113" s="253"/>
      <c r="L113" s="266"/>
      <c r="M113" s="255">
        <f t="shared" si="21"/>
        <v>0</v>
      </c>
      <c r="N113" s="253">
        <f t="shared" si="20"/>
        <v>0</v>
      </c>
      <c r="O113" s="259">
        <v>6</v>
      </c>
    </row>
    <row r="114" spans="1:15" x14ac:dyDescent="0.2">
      <c r="A114" s="248" t="s">
        <v>722</v>
      </c>
      <c r="B114" s="249">
        <v>456</v>
      </c>
      <c r="C114" s="250" t="s">
        <v>723</v>
      </c>
      <c r="D114" s="250" t="s">
        <v>724</v>
      </c>
      <c r="E114" s="251">
        <v>282615.28999999998</v>
      </c>
      <c r="F114" s="252" t="str">
        <f t="shared" ref="F114:F124" si="25">$G$2</f>
        <v>Traditional OOR</v>
      </c>
      <c r="G114" s="253">
        <f t="shared" si="17"/>
        <v>282615.28999999998</v>
      </c>
      <c r="H114" s="254">
        <v>0</v>
      </c>
      <c r="I114" s="254">
        <f t="shared" si="18"/>
        <v>282615.28999999998</v>
      </c>
      <c r="J114" s="253">
        <f t="shared" si="19"/>
        <v>0</v>
      </c>
      <c r="K114" s="253"/>
      <c r="L114" s="266"/>
      <c r="M114" s="255">
        <f t="shared" si="21"/>
        <v>0</v>
      </c>
      <c r="N114" s="253">
        <f t="shared" si="20"/>
        <v>0</v>
      </c>
      <c r="O114" s="259">
        <v>1</v>
      </c>
    </row>
    <row r="115" spans="1:15" x14ac:dyDescent="0.2">
      <c r="A115" s="248" t="s">
        <v>725</v>
      </c>
      <c r="B115" s="249">
        <v>456</v>
      </c>
      <c r="C115" s="250" t="s">
        <v>726</v>
      </c>
      <c r="D115" s="250" t="s">
        <v>727</v>
      </c>
      <c r="E115" s="251">
        <v>0</v>
      </c>
      <c r="F115" s="252" t="str">
        <f t="shared" si="25"/>
        <v>Traditional OOR</v>
      </c>
      <c r="G115" s="253">
        <f t="shared" si="17"/>
        <v>0</v>
      </c>
      <c r="H115" s="254">
        <v>0</v>
      </c>
      <c r="I115" s="254">
        <f t="shared" si="18"/>
        <v>0</v>
      </c>
      <c r="J115" s="253">
        <f t="shared" si="19"/>
        <v>0</v>
      </c>
      <c r="K115" s="253"/>
      <c r="L115" s="266"/>
      <c r="M115" s="255">
        <f t="shared" si="21"/>
        <v>0</v>
      </c>
      <c r="N115" s="253">
        <f t="shared" si="20"/>
        <v>0</v>
      </c>
      <c r="O115" s="259">
        <v>1</v>
      </c>
    </row>
    <row r="116" spans="1:15" x14ac:dyDescent="0.2">
      <c r="A116" s="248" t="s">
        <v>728</v>
      </c>
      <c r="B116" s="249">
        <v>456</v>
      </c>
      <c r="C116" s="250" t="s">
        <v>729</v>
      </c>
      <c r="D116" s="250" t="s">
        <v>730</v>
      </c>
      <c r="E116" s="251">
        <v>4022307.1</v>
      </c>
      <c r="F116" s="252" t="str">
        <f t="shared" si="25"/>
        <v>Traditional OOR</v>
      </c>
      <c r="G116" s="253">
        <f t="shared" si="17"/>
        <v>4022307.1</v>
      </c>
      <c r="H116" s="254">
        <v>0</v>
      </c>
      <c r="I116" s="254">
        <f t="shared" si="18"/>
        <v>4022307.1</v>
      </c>
      <c r="J116" s="253">
        <f t="shared" si="19"/>
        <v>0</v>
      </c>
      <c r="K116" s="253"/>
      <c r="L116" s="266"/>
      <c r="M116" s="255">
        <f t="shared" si="21"/>
        <v>0</v>
      </c>
      <c r="N116" s="253">
        <f t="shared" si="20"/>
        <v>0</v>
      </c>
      <c r="O116" s="259">
        <v>4</v>
      </c>
    </row>
    <row r="117" spans="1:15" x14ac:dyDescent="0.2">
      <c r="A117" s="248" t="s">
        <v>731</v>
      </c>
      <c r="B117" s="249">
        <v>456</v>
      </c>
      <c r="C117" s="250" t="s">
        <v>732</v>
      </c>
      <c r="D117" s="250" t="s">
        <v>733</v>
      </c>
      <c r="E117" s="251">
        <v>145396</v>
      </c>
      <c r="F117" s="252" t="str">
        <f t="shared" si="25"/>
        <v>Traditional OOR</v>
      </c>
      <c r="G117" s="253">
        <f t="shared" si="17"/>
        <v>145396</v>
      </c>
      <c r="H117" s="254">
        <v>0</v>
      </c>
      <c r="I117" s="254">
        <f t="shared" si="18"/>
        <v>145396</v>
      </c>
      <c r="J117" s="253">
        <f t="shared" si="19"/>
        <v>0</v>
      </c>
      <c r="K117" s="253"/>
      <c r="L117" s="266"/>
      <c r="M117" s="255">
        <f t="shared" si="21"/>
        <v>0</v>
      </c>
      <c r="N117" s="253">
        <f t="shared" si="20"/>
        <v>0</v>
      </c>
      <c r="O117" s="259">
        <v>4</v>
      </c>
    </row>
    <row r="118" spans="1:15" x14ac:dyDescent="0.2">
      <c r="A118" s="248" t="s">
        <v>734</v>
      </c>
      <c r="B118" s="249">
        <v>456</v>
      </c>
      <c r="C118" s="250" t="s">
        <v>735</v>
      </c>
      <c r="D118" s="250" t="s">
        <v>736</v>
      </c>
      <c r="E118" s="251">
        <v>-8</v>
      </c>
      <c r="F118" s="252" t="str">
        <f t="shared" si="25"/>
        <v>Traditional OOR</v>
      </c>
      <c r="G118" s="253">
        <f t="shared" si="17"/>
        <v>-8</v>
      </c>
      <c r="H118" s="254">
        <v>0</v>
      </c>
      <c r="I118" s="254">
        <f t="shared" si="18"/>
        <v>-8</v>
      </c>
      <c r="J118" s="253">
        <f t="shared" si="19"/>
        <v>0</v>
      </c>
      <c r="K118" s="253"/>
      <c r="L118" s="266"/>
      <c r="M118" s="255">
        <f t="shared" si="21"/>
        <v>0</v>
      </c>
      <c r="N118" s="253">
        <f t="shared" si="20"/>
        <v>0</v>
      </c>
      <c r="O118" s="259">
        <v>4</v>
      </c>
    </row>
    <row r="119" spans="1:15" x14ac:dyDescent="0.2">
      <c r="A119" s="248" t="s">
        <v>737</v>
      </c>
      <c r="B119" s="249">
        <v>456</v>
      </c>
      <c r="C119" s="250" t="s">
        <v>738</v>
      </c>
      <c r="D119" s="250" t="s">
        <v>739</v>
      </c>
      <c r="E119" s="251">
        <v>0</v>
      </c>
      <c r="F119" s="252" t="str">
        <f t="shared" si="25"/>
        <v>Traditional OOR</v>
      </c>
      <c r="G119" s="253">
        <f t="shared" si="17"/>
        <v>0</v>
      </c>
      <c r="H119" s="254">
        <v>0</v>
      </c>
      <c r="I119" s="254">
        <f t="shared" si="18"/>
        <v>0</v>
      </c>
      <c r="J119" s="253">
        <f t="shared" si="19"/>
        <v>0</v>
      </c>
      <c r="K119" s="253"/>
      <c r="L119" s="266"/>
      <c r="M119" s="255">
        <f t="shared" si="21"/>
        <v>0</v>
      </c>
      <c r="N119" s="253">
        <f t="shared" si="20"/>
        <v>0</v>
      </c>
      <c r="O119" s="259">
        <v>1</v>
      </c>
    </row>
    <row r="120" spans="1:15" ht="13.5" thickBot="1" x14ac:dyDescent="0.25">
      <c r="A120" s="248" t="s">
        <v>740</v>
      </c>
      <c r="B120" s="249">
        <v>456</v>
      </c>
      <c r="C120" s="250" t="s">
        <v>741</v>
      </c>
      <c r="D120" s="250" t="s">
        <v>742</v>
      </c>
      <c r="E120" s="251">
        <v>-68.760000000000005</v>
      </c>
      <c r="F120" s="252" t="str">
        <f t="shared" si="25"/>
        <v>Traditional OOR</v>
      </c>
      <c r="G120" s="253">
        <f t="shared" si="17"/>
        <v>-68.760000000000005</v>
      </c>
      <c r="H120" s="296">
        <v>0</v>
      </c>
      <c r="I120" s="254">
        <f t="shared" si="18"/>
        <v>-68.760000000000005</v>
      </c>
      <c r="J120" s="253">
        <f t="shared" si="19"/>
        <v>0</v>
      </c>
      <c r="K120" s="253"/>
      <c r="L120" s="266"/>
      <c r="M120" s="255">
        <f t="shared" si="21"/>
        <v>0</v>
      </c>
      <c r="N120" s="253">
        <f t="shared" si="20"/>
        <v>0</v>
      </c>
      <c r="O120" s="259">
        <v>4</v>
      </c>
    </row>
    <row r="121" spans="1:15" ht="13.5" thickBot="1" x14ac:dyDescent="0.25">
      <c r="A121" s="248" t="s">
        <v>743</v>
      </c>
      <c r="B121" s="249">
        <v>456</v>
      </c>
      <c r="C121" s="250" t="s">
        <v>744</v>
      </c>
      <c r="D121" s="250" t="s">
        <v>745</v>
      </c>
      <c r="E121" s="251">
        <v>2207512.15</v>
      </c>
      <c r="F121" s="252" t="str">
        <f t="shared" si="25"/>
        <v>Traditional OOR</v>
      </c>
      <c r="G121" s="297">
        <f t="shared" si="17"/>
        <v>2207512.15</v>
      </c>
      <c r="H121" s="298">
        <v>88029</v>
      </c>
      <c r="I121" s="299">
        <f t="shared" si="18"/>
        <v>2119483.15</v>
      </c>
      <c r="J121" s="253">
        <f t="shared" si="19"/>
        <v>0</v>
      </c>
      <c r="K121" s="253"/>
      <c r="L121" s="266"/>
      <c r="M121" s="255">
        <f t="shared" si="21"/>
        <v>0</v>
      </c>
      <c r="N121" s="253">
        <f t="shared" si="20"/>
        <v>0</v>
      </c>
      <c r="O121" s="256">
        <v>8</v>
      </c>
    </row>
    <row r="122" spans="1:15" x14ac:dyDescent="0.2">
      <c r="A122" s="248" t="s">
        <v>746</v>
      </c>
      <c r="B122" s="249">
        <v>456</v>
      </c>
      <c r="C122" s="250" t="s">
        <v>747</v>
      </c>
      <c r="D122" s="250" t="s">
        <v>748</v>
      </c>
      <c r="E122" s="251">
        <v>11751029.09</v>
      </c>
      <c r="F122" s="252" t="str">
        <f t="shared" si="25"/>
        <v>Traditional OOR</v>
      </c>
      <c r="G122" s="253">
        <f t="shared" si="17"/>
        <v>11751029.09</v>
      </c>
      <c r="H122" s="300">
        <v>0</v>
      </c>
      <c r="I122" s="254">
        <f t="shared" si="18"/>
        <v>11751029.09</v>
      </c>
      <c r="J122" s="253">
        <f t="shared" si="19"/>
        <v>0</v>
      </c>
      <c r="K122" s="253"/>
      <c r="L122" s="266"/>
      <c r="M122" s="255">
        <f t="shared" si="21"/>
        <v>0</v>
      </c>
      <c r="N122" s="253">
        <f t="shared" si="20"/>
        <v>0</v>
      </c>
      <c r="O122" s="259">
        <v>4</v>
      </c>
    </row>
    <row r="123" spans="1:15" x14ac:dyDescent="0.2">
      <c r="A123" s="248" t="s">
        <v>749</v>
      </c>
      <c r="B123" s="249">
        <v>456</v>
      </c>
      <c r="C123" s="250" t="s">
        <v>750</v>
      </c>
      <c r="D123" s="250" t="s">
        <v>751</v>
      </c>
      <c r="E123" s="251">
        <v>2579.4</v>
      </c>
      <c r="F123" s="252" t="str">
        <f t="shared" si="25"/>
        <v>Traditional OOR</v>
      </c>
      <c r="G123" s="253">
        <f t="shared" si="17"/>
        <v>2579.4</v>
      </c>
      <c r="H123" s="254">
        <v>0</v>
      </c>
      <c r="I123" s="254">
        <f t="shared" si="18"/>
        <v>2579.4</v>
      </c>
      <c r="J123" s="253">
        <f t="shared" si="19"/>
        <v>0</v>
      </c>
      <c r="K123" s="253"/>
      <c r="L123" s="266"/>
      <c r="M123" s="255">
        <f t="shared" si="21"/>
        <v>0</v>
      </c>
      <c r="N123" s="253">
        <f t="shared" si="20"/>
        <v>0</v>
      </c>
      <c r="O123" s="259">
        <v>4</v>
      </c>
    </row>
    <row r="124" spans="1:15" x14ac:dyDescent="0.2">
      <c r="A124" s="248" t="s">
        <v>752</v>
      </c>
      <c r="B124" s="249">
        <v>456</v>
      </c>
      <c r="C124" s="250" t="s">
        <v>753</v>
      </c>
      <c r="D124" s="250" t="s">
        <v>754</v>
      </c>
      <c r="E124" s="251">
        <v>30028.74</v>
      </c>
      <c r="F124" s="252" t="str">
        <f t="shared" si="25"/>
        <v>Traditional OOR</v>
      </c>
      <c r="G124" s="253">
        <f t="shared" si="17"/>
        <v>30028.74</v>
      </c>
      <c r="H124" s="254">
        <v>0</v>
      </c>
      <c r="I124" s="254">
        <f t="shared" si="18"/>
        <v>30028.74</v>
      </c>
      <c r="J124" s="253">
        <f t="shared" si="19"/>
        <v>0</v>
      </c>
      <c r="K124" s="253"/>
      <c r="L124" s="266"/>
      <c r="M124" s="255">
        <f t="shared" si="21"/>
        <v>0</v>
      </c>
      <c r="N124" s="253">
        <f t="shared" si="20"/>
        <v>0</v>
      </c>
      <c r="O124" s="259">
        <v>6</v>
      </c>
    </row>
    <row r="125" spans="1:15" x14ac:dyDescent="0.2">
      <c r="A125" s="248" t="s">
        <v>755</v>
      </c>
      <c r="B125" s="249">
        <v>456</v>
      </c>
      <c r="C125" s="250" t="s">
        <v>756</v>
      </c>
      <c r="D125" s="250" t="s">
        <v>757</v>
      </c>
      <c r="E125" s="251">
        <v>0</v>
      </c>
      <c r="F125" s="252" t="str">
        <f>$J$2</f>
        <v>GRSM</v>
      </c>
      <c r="G125" s="253">
        <f t="shared" si="17"/>
        <v>0</v>
      </c>
      <c r="H125" s="254">
        <v>0</v>
      </c>
      <c r="I125" s="254">
        <f t="shared" si="18"/>
        <v>0</v>
      </c>
      <c r="J125" s="253">
        <f t="shared" si="19"/>
        <v>0</v>
      </c>
      <c r="K125" s="281" t="s">
        <v>494</v>
      </c>
      <c r="L125" s="266"/>
      <c r="M125" s="255">
        <f>J125-L125</f>
        <v>0</v>
      </c>
      <c r="N125" s="253">
        <f t="shared" si="20"/>
        <v>0</v>
      </c>
      <c r="O125" s="259">
        <v>2</v>
      </c>
    </row>
    <row r="126" spans="1:15" x14ac:dyDescent="0.2">
      <c r="A126" s="248" t="s">
        <v>758</v>
      </c>
      <c r="B126" s="249">
        <v>456</v>
      </c>
      <c r="C126" s="248" t="s">
        <v>523</v>
      </c>
      <c r="D126" s="250" t="s">
        <v>524</v>
      </c>
      <c r="E126" s="251">
        <v>0</v>
      </c>
      <c r="F126" s="252" t="str">
        <f>$G$2</f>
        <v>Traditional OOR</v>
      </c>
      <c r="G126" s="253">
        <f t="shared" si="17"/>
        <v>0</v>
      </c>
      <c r="H126" s="254">
        <v>0</v>
      </c>
      <c r="I126" s="254">
        <f t="shared" si="18"/>
        <v>0</v>
      </c>
      <c r="J126" s="253">
        <f t="shared" si="19"/>
        <v>0</v>
      </c>
      <c r="K126" s="253"/>
      <c r="L126" s="266"/>
      <c r="M126" s="255">
        <f>J126-L126</f>
        <v>0</v>
      </c>
      <c r="N126" s="253">
        <f t="shared" si="20"/>
        <v>0</v>
      </c>
      <c r="O126" s="259">
        <v>1</v>
      </c>
    </row>
    <row r="127" spans="1:15" x14ac:dyDescent="0.2">
      <c r="A127" s="248" t="s">
        <v>759</v>
      </c>
      <c r="B127" s="249">
        <v>456</v>
      </c>
      <c r="C127" s="249">
        <v>4186911</v>
      </c>
      <c r="D127" s="282" t="s">
        <v>760</v>
      </c>
      <c r="E127" s="251">
        <v>3603425.43</v>
      </c>
      <c r="F127" s="252" t="str">
        <f>$N$2</f>
        <v>Other Ratemaking</v>
      </c>
      <c r="G127" s="253">
        <f t="shared" si="17"/>
        <v>0</v>
      </c>
      <c r="H127" s="254">
        <v>0</v>
      </c>
      <c r="I127" s="254">
        <f t="shared" si="18"/>
        <v>0</v>
      </c>
      <c r="J127" s="253">
        <f t="shared" si="19"/>
        <v>0</v>
      </c>
      <c r="K127" s="253"/>
      <c r="L127" s="266"/>
      <c r="M127" s="254">
        <f t="shared" ref="M127:M128" si="26">J127-L127</f>
        <v>0</v>
      </c>
      <c r="N127" s="253">
        <f t="shared" si="20"/>
        <v>3603425.43</v>
      </c>
      <c r="O127" s="256">
        <v>6</v>
      </c>
    </row>
    <row r="128" spans="1:15" x14ac:dyDescent="0.2">
      <c r="A128" s="248" t="s">
        <v>761</v>
      </c>
      <c r="B128" s="249">
        <v>456</v>
      </c>
      <c r="C128" s="249">
        <v>4186925</v>
      </c>
      <c r="D128" s="282" t="s">
        <v>762</v>
      </c>
      <c r="E128" s="251">
        <v>390808662.54000002</v>
      </c>
      <c r="F128" s="252" t="str">
        <f>$N$2</f>
        <v>Other Ratemaking</v>
      </c>
      <c r="G128" s="253">
        <f t="shared" si="17"/>
        <v>0</v>
      </c>
      <c r="H128" s="254">
        <v>0</v>
      </c>
      <c r="I128" s="254">
        <f t="shared" si="18"/>
        <v>0</v>
      </c>
      <c r="J128" s="253">
        <f t="shared" si="19"/>
        <v>0</v>
      </c>
      <c r="K128" s="253"/>
      <c r="L128" s="266"/>
      <c r="M128" s="254">
        <f t="shared" si="26"/>
        <v>0</v>
      </c>
      <c r="N128" s="253">
        <f t="shared" si="20"/>
        <v>390808662.54000002</v>
      </c>
      <c r="O128" s="256">
        <v>6</v>
      </c>
    </row>
    <row r="129" spans="1:15" x14ac:dyDescent="0.2">
      <c r="A129" s="261" t="s">
        <v>763</v>
      </c>
      <c r="B129" s="262">
        <v>456</v>
      </c>
      <c r="C129" s="262">
        <v>4186174</v>
      </c>
      <c r="D129" s="264" t="s">
        <v>764</v>
      </c>
      <c r="E129" s="251">
        <v>68.760000000000005</v>
      </c>
      <c r="F129" s="285" t="str">
        <f>$G$2</f>
        <v>Traditional OOR</v>
      </c>
      <c r="G129" s="251">
        <f t="shared" si="17"/>
        <v>68.760000000000005</v>
      </c>
      <c r="H129" s="266">
        <v>0</v>
      </c>
      <c r="I129" s="266">
        <f>G129-H129</f>
        <v>68.760000000000005</v>
      </c>
      <c r="J129" s="251">
        <f>IF(F129=$J$2,E129,0)</f>
        <v>0</v>
      </c>
      <c r="K129" s="251"/>
      <c r="L129" s="266"/>
      <c r="M129" s="266">
        <f>J129-L129</f>
        <v>0</v>
      </c>
      <c r="N129" s="251">
        <f>IF(F129=$N$2,E129,0)</f>
        <v>0</v>
      </c>
      <c r="O129" s="267">
        <v>1</v>
      </c>
    </row>
    <row r="130" spans="1:15" x14ac:dyDescent="0.2">
      <c r="A130" s="261" t="s">
        <v>765</v>
      </c>
      <c r="B130" s="262">
        <v>456</v>
      </c>
      <c r="C130" s="262">
        <v>4186740</v>
      </c>
      <c r="D130" s="264" t="s">
        <v>766</v>
      </c>
      <c r="E130" s="251">
        <v>142597.57999999999</v>
      </c>
      <c r="F130" s="285" t="str">
        <f>$J$2</f>
        <v>GRSM</v>
      </c>
      <c r="G130" s="251">
        <f t="shared" si="17"/>
        <v>0</v>
      </c>
      <c r="H130" s="266">
        <v>0</v>
      </c>
      <c r="I130" s="266">
        <f>G130-H130</f>
        <v>0</v>
      </c>
      <c r="J130" s="251">
        <f>IF(F130=$J$2,E130,0)</f>
        <v>142597.57999999999</v>
      </c>
      <c r="K130" s="251" t="s">
        <v>271</v>
      </c>
      <c r="L130" s="266">
        <v>33569.43</v>
      </c>
      <c r="M130" s="266">
        <f>J130-L130</f>
        <v>109028.15</v>
      </c>
      <c r="N130" s="251">
        <f>IF(F130=$N$2,E130,0)</f>
        <v>0</v>
      </c>
      <c r="O130" s="267">
        <v>1</v>
      </c>
    </row>
    <row r="131" spans="1:15" x14ac:dyDescent="0.2">
      <c r="A131" s="261" t="s">
        <v>767</v>
      </c>
      <c r="B131" s="262">
        <v>456</v>
      </c>
      <c r="C131" s="262">
        <v>4186116</v>
      </c>
      <c r="D131" s="264" t="s">
        <v>768</v>
      </c>
      <c r="E131" s="251">
        <v>22470.99</v>
      </c>
      <c r="F131" s="285" t="str">
        <f>$N$2</f>
        <v>Other Ratemaking</v>
      </c>
      <c r="G131" s="251">
        <f t="shared" si="17"/>
        <v>0</v>
      </c>
      <c r="H131" s="266">
        <v>0</v>
      </c>
      <c r="I131" s="266">
        <f t="shared" si="18"/>
        <v>0</v>
      </c>
      <c r="J131" s="251">
        <f t="shared" ref="J131:J133" si="27">IF(F131=$J$2,E131,0)</f>
        <v>0</v>
      </c>
      <c r="K131" s="251"/>
      <c r="L131" s="266">
        <v>0</v>
      </c>
      <c r="M131" s="266">
        <f t="shared" ref="M131:M133" si="28">J131-L131</f>
        <v>0</v>
      </c>
      <c r="N131" s="251">
        <f t="shared" ref="N131:N133" si="29">IF(F131=$N$2,E131,0)</f>
        <v>22470.99</v>
      </c>
      <c r="O131" s="267">
        <v>6</v>
      </c>
    </row>
    <row r="132" spans="1:15" x14ac:dyDescent="0.2">
      <c r="A132" s="261" t="s">
        <v>769</v>
      </c>
      <c r="B132" s="262">
        <v>456</v>
      </c>
      <c r="C132" s="262">
        <v>6165180</v>
      </c>
      <c r="D132" s="264" t="s">
        <v>770</v>
      </c>
      <c r="E132" s="251">
        <v>493.77</v>
      </c>
      <c r="F132" s="285" t="str">
        <f>$G$2</f>
        <v>Traditional OOR</v>
      </c>
      <c r="G132" s="251">
        <f t="shared" si="17"/>
        <v>493.77</v>
      </c>
      <c r="H132" s="266">
        <v>0</v>
      </c>
      <c r="I132" s="266">
        <f t="shared" si="18"/>
        <v>493.77</v>
      </c>
      <c r="J132" s="251">
        <f t="shared" si="27"/>
        <v>0</v>
      </c>
      <c r="K132" s="251"/>
      <c r="L132" s="266">
        <v>0</v>
      </c>
      <c r="M132" s="266">
        <f t="shared" si="28"/>
        <v>0</v>
      </c>
      <c r="N132" s="251">
        <f t="shared" si="29"/>
        <v>0</v>
      </c>
      <c r="O132" s="267">
        <v>4</v>
      </c>
    </row>
    <row r="133" spans="1:15" x14ac:dyDescent="0.2">
      <c r="A133" s="261" t="s">
        <v>771</v>
      </c>
      <c r="B133" s="262">
        <v>456</v>
      </c>
      <c r="C133" s="262">
        <v>8050121</v>
      </c>
      <c r="D133" s="264" t="s">
        <v>772</v>
      </c>
      <c r="E133" s="251">
        <v>5.08</v>
      </c>
      <c r="F133" s="285" t="str">
        <f>$G$2</f>
        <v>Traditional OOR</v>
      </c>
      <c r="G133" s="251">
        <f t="shared" si="17"/>
        <v>5.08</v>
      </c>
      <c r="H133" s="266">
        <v>0</v>
      </c>
      <c r="I133" s="266">
        <f t="shared" si="18"/>
        <v>5.08</v>
      </c>
      <c r="J133" s="251">
        <f t="shared" si="27"/>
        <v>0</v>
      </c>
      <c r="K133" s="251"/>
      <c r="L133" s="266">
        <v>0</v>
      </c>
      <c r="M133" s="266">
        <f t="shared" si="28"/>
        <v>0</v>
      </c>
      <c r="N133" s="251">
        <f t="shared" si="29"/>
        <v>0</v>
      </c>
      <c r="O133" s="267">
        <v>4</v>
      </c>
    </row>
    <row r="134" spans="1:15" x14ac:dyDescent="0.2">
      <c r="A134" s="261"/>
      <c r="B134" s="303"/>
      <c r="C134" s="304"/>
      <c r="D134" s="284"/>
      <c r="E134" s="251"/>
      <c r="F134" s="285"/>
      <c r="G134" s="251"/>
      <c r="H134" s="266"/>
      <c r="I134" s="266"/>
      <c r="J134" s="251"/>
      <c r="K134" s="251"/>
      <c r="L134" s="266"/>
      <c r="M134" s="266"/>
      <c r="N134" s="251"/>
      <c r="O134" s="267"/>
    </row>
    <row r="135" spans="1:15" x14ac:dyDescent="0.2">
      <c r="A135" s="261"/>
      <c r="B135" s="303"/>
      <c r="C135" s="304"/>
      <c r="D135" s="284"/>
      <c r="E135" s="251"/>
      <c r="F135" s="285"/>
      <c r="G135" s="251"/>
      <c r="H135" s="266"/>
      <c r="I135" s="266"/>
      <c r="J135" s="251"/>
      <c r="K135" s="251"/>
      <c r="L135" s="266"/>
      <c r="M135" s="266"/>
      <c r="N135" s="251"/>
      <c r="O135" s="267"/>
    </row>
    <row r="136" spans="1:15" x14ac:dyDescent="0.2">
      <c r="A136" s="257">
        <v>13</v>
      </c>
      <c r="B136" s="534" t="s">
        <v>773</v>
      </c>
      <c r="C136" s="526"/>
      <c r="D136" s="527"/>
      <c r="E136" s="268">
        <f>SUM(E73:E135)</f>
        <v>460444152.58999997</v>
      </c>
      <c r="F136" s="269"/>
      <c r="G136" s="271">
        <f>SUM(G73:G133)</f>
        <v>63755041.146626398</v>
      </c>
      <c r="H136" s="301">
        <f>SUM(H73:H133)</f>
        <v>101364.0666264</v>
      </c>
      <c r="I136" s="301">
        <f>SUM(I73:I133)</f>
        <v>63653677.079999998</v>
      </c>
      <c r="J136" s="268">
        <f>SUM(J73:J133)</f>
        <v>2040401.11</v>
      </c>
      <c r="K136" s="272"/>
      <c r="L136" s="268">
        <f>SUM(L73:L133)</f>
        <v>228593.38</v>
      </c>
      <c r="M136" s="268">
        <f>SUM(M73:M133)</f>
        <v>1811807.73</v>
      </c>
      <c r="N136" s="271">
        <f>SUM(N73:N133)</f>
        <v>394648710.33337361</v>
      </c>
      <c r="O136" s="233"/>
    </row>
    <row r="137" spans="1:15" ht="25.5" customHeight="1" x14ac:dyDescent="0.2">
      <c r="A137" s="257">
        <v>14</v>
      </c>
      <c r="B137" s="535" t="s">
        <v>774</v>
      </c>
      <c r="C137" s="536"/>
      <c r="D137" s="537"/>
      <c r="E137" s="273">
        <v>460444153</v>
      </c>
      <c r="F137" s="274"/>
      <c r="G137" s="302"/>
      <c r="H137" s="274"/>
      <c r="I137" s="274"/>
      <c r="J137" s="302"/>
      <c r="K137" s="274"/>
      <c r="L137" s="275"/>
      <c r="M137" s="275"/>
      <c r="N137" s="275"/>
      <c r="O137" s="276"/>
    </row>
    <row r="138" spans="1:15" x14ac:dyDescent="0.2">
      <c r="A138" s="277"/>
      <c r="B138" s="278"/>
      <c r="C138" s="279"/>
      <c r="D138" s="280"/>
      <c r="E138" s="292"/>
      <c r="F138" s="275"/>
      <c r="G138" s="275"/>
      <c r="H138" s="274"/>
      <c r="I138" s="274"/>
      <c r="J138" s="275"/>
      <c r="K138" s="274"/>
      <c r="L138" s="275"/>
      <c r="M138" s="275"/>
      <c r="N138" s="275"/>
      <c r="O138" s="276"/>
    </row>
    <row r="139" spans="1:15" x14ac:dyDescent="0.2">
      <c r="A139" s="257" t="s">
        <v>65</v>
      </c>
      <c r="B139" s="249">
        <v>456.1</v>
      </c>
      <c r="C139" s="258" t="s">
        <v>775</v>
      </c>
      <c r="D139" s="250" t="s">
        <v>776</v>
      </c>
      <c r="E139" s="294">
        <v>0</v>
      </c>
      <c r="F139" s="252" t="str">
        <f>$G$2</f>
        <v>Traditional OOR</v>
      </c>
      <c r="G139" s="253">
        <f t="shared" ref="G139:G161" si="30">IF(F139=$G$2,E139,0)</f>
        <v>0</v>
      </c>
      <c r="H139" s="254">
        <f>G139</f>
        <v>0</v>
      </c>
      <c r="I139" s="254">
        <f t="shared" ref="I139:I160" si="31">G139-H139</f>
        <v>0</v>
      </c>
      <c r="J139" s="253">
        <f t="shared" ref="J139:J161" si="32">IF(F139=$J$2,E139,0)</f>
        <v>0</v>
      </c>
      <c r="K139" s="281"/>
      <c r="L139" s="266"/>
      <c r="M139" s="255">
        <f t="shared" ref="M139:M161" si="33">J139-L139</f>
        <v>0</v>
      </c>
      <c r="N139" s="253">
        <f t="shared" ref="N139:N161" si="34">IF(F139=$N$2,E139,0)</f>
        <v>0</v>
      </c>
      <c r="O139" s="259">
        <v>5</v>
      </c>
    </row>
    <row r="140" spans="1:15" x14ac:dyDescent="0.2">
      <c r="A140" s="257" t="s">
        <v>777</v>
      </c>
      <c r="B140" s="249">
        <v>456.1</v>
      </c>
      <c r="C140" s="258" t="s">
        <v>778</v>
      </c>
      <c r="D140" s="250" t="s">
        <v>779</v>
      </c>
      <c r="E140" s="294">
        <v>298192.19</v>
      </c>
      <c r="F140" s="252" t="str">
        <f>$G$2</f>
        <v>Traditional OOR</v>
      </c>
      <c r="G140" s="253">
        <f t="shared" si="30"/>
        <v>298192.19</v>
      </c>
      <c r="H140" s="254">
        <v>0</v>
      </c>
      <c r="I140" s="254">
        <f t="shared" si="31"/>
        <v>298192.19</v>
      </c>
      <c r="J140" s="253">
        <f t="shared" si="32"/>
        <v>0</v>
      </c>
      <c r="K140" s="281"/>
      <c r="L140" s="266"/>
      <c r="M140" s="255">
        <f t="shared" si="33"/>
        <v>0</v>
      </c>
      <c r="N140" s="253">
        <f t="shared" si="34"/>
        <v>0</v>
      </c>
      <c r="O140" s="259">
        <v>4</v>
      </c>
    </row>
    <row r="141" spans="1:15" x14ac:dyDescent="0.2">
      <c r="A141" s="257" t="s">
        <v>780</v>
      </c>
      <c r="B141" s="249">
        <v>456.1</v>
      </c>
      <c r="C141" s="258" t="s">
        <v>781</v>
      </c>
      <c r="D141" s="250" t="s">
        <v>782</v>
      </c>
      <c r="E141" s="294">
        <v>992562.96</v>
      </c>
      <c r="F141" s="252" t="str">
        <f>$G$2</f>
        <v>Traditional OOR</v>
      </c>
      <c r="G141" s="253">
        <f t="shared" si="30"/>
        <v>992562.96</v>
      </c>
      <c r="H141" s="254">
        <v>0</v>
      </c>
      <c r="I141" s="254">
        <f t="shared" si="31"/>
        <v>992562.96</v>
      </c>
      <c r="J141" s="253">
        <f t="shared" si="32"/>
        <v>0</v>
      </c>
      <c r="K141" s="281"/>
      <c r="L141" s="266"/>
      <c r="M141" s="255">
        <f t="shared" si="33"/>
        <v>0</v>
      </c>
      <c r="N141" s="253">
        <f t="shared" si="34"/>
        <v>0</v>
      </c>
      <c r="O141" s="259">
        <v>4</v>
      </c>
    </row>
    <row r="142" spans="1:15" x14ac:dyDescent="0.2">
      <c r="A142" s="257" t="s">
        <v>783</v>
      </c>
      <c r="B142" s="249">
        <v>456.1</v>
      </c>
      <c r="C142" s="258" t="s">
        <v>784</v>
      </c>
      <c r="D142" s="250" t="s">
        <v>785</v>
      </c>
      <c r="E142" s="294">
        <v>140280.73000000001</v>
      </c>
      <c r="F142" s="252" t="str">
        <f>$N$2</f>
        <v>Other Ratemaking</v>
      </c>
      <c r="G142" s="253">
        <f t="shared" si="30"/>
        <v>0</v>
      </c>
      <c r="H142" s="254">
        <v>0</v>
      </c>
      <c r="I142" s="254">
        <f t="shared" si="31"/>
        <v>0</v>
      </c>
      <c r="J142" s="253">
        <f t="shared" si="32"/>
        <v>0</v>
      </c>
      <c r="K142" s="281"/>
      <c r="L142" s="266"/>
      <c r="M142" s="255">
        <f t="shared" si="33"/>
        <v>0</v>
      </c>
      <c r="N142" s="253">
        <f t="shared" si="34"/>
        <v>140280.73000000001</v>
      </c>
      <c r="O142" s="259">
        <v>6</v>
      </c>
    </row>
    <row r="143" spans="1:15" x14ac:dyDescent="0.2">
      <c r="A143" s="257" t="s">
        <v>786</v>
      </c>
      <c r="B143" s="249">
        <v>456.1</v>
      </c>
      <c r="C143" s="258" t="s">
        <v>787</v>
      </c>
      <c r="D143" s="250" t="s">
        <v>788</v>
      </c>
      <c r="E143" s="294">
        <v>29455888.190000001</v>
      </c>
      <c r="F143" s="252" t="str">
        <f>$N$2</f>
        <v>Other Ratemaking</v>
      </c>
      <c r="G143" s="253">
        <f t="shared" si="30"/>
        <v>0</v>
      </c>
      <c r="H143" s="254">
        <v>0</v>
      </c>
      <c r="I143" s="254">
        <f t="shared" si="31"/>
        <v>0</v>
      </c>
      <c r="J143" s="253">
        <f t="shared" si="32"/>
        <v>0</v>
      </c>
      <c r="K143" s="281"/>
      <c r="L143" s="266"/>
      <c r="M143" s="255">
        <f t="shared" si="33"/>
        <v>0</v>
      </c>
      <c r="N143" s="253">
        <f t="shared" si="34"/>
        <v>29455888.190000001</v>
      </c>
      <c r="O143" s="259">
        <v>6</v>
      </c>
    </row>
    <row r="144" spans="1:15" x14ac:dyDescent="0.2">
      <c r="A144" s="257" t="s">
        <v>789</v>
      </c>
      <c r="B144" s="249">
        <v>456.1</v>
      </c>
      <c r="C144" s="258" t="s">
        <v>790</v>
      </c>
      <c r="D144" s="250" t="s">
        <v>791</v>
      </c>
      <c r="E144" s="294">
        <v>0</v>
      </c>
      <c r="F144" s="252" t="str">
        <f>$N$2</f>
        <v>Other Ratemaking</v>
      </c>
      <c r="G144" s="253">
        <f t="shared" si="30"/>
        <v>0</v>
      </c>
      <c r="H144" s="254">
        <v>0</v>
      </c>
      <c r="I144" s="254">
        <f t="shared" si="31"/>
        <v>0</v>
      </c>
      <c r="J144" s="253">
        <f t="shared" si="32"/>
        <v>0</v>
      </c>
      <c r="K144" s="281"/>
      <c r="L144" s="266"/>
      <c r="M144" s="255">
        <f t="shared" si="33"/>
        <v>0</v>
      </c>
      <c r="N144" s="253">
        <f t="shared" si="34"/>
        <v>0</v>
      </c>
      <c r="O144" s="259">
        <v>6</v>
      </c>
    </row>
    <row r="145" spans="1:15" x14ac:dyDescent="0.2">
      <c r="A145" s="257" t="s">
        <v>792</v>
      </c>
      <c r="B145" s="249">
        <v>456.1</v>
      </c>
      <c r="C145" s="258" t="s">
        <v>793</v>
      </c>
      <c r="D145" s="250" t="s">
        <v>794</v>
      </c>
      <c r="E145" s="294">
        <v>41697457.789999999</v>
      </c>
      <c r="F145" s="252" t="str">
        <f>$G$2</f>
        <v>Traditional OOR</v>
      </c>
      <c r="G145" s="253">
        <f t="shared" si="30"/>
        <v>41697457.789999999</v>
      </c>
      <c r="H145" s="254">
        <f>G145</f>
        <v>41697457.789999999</v>
      </c>
      <c r="I145" s="254">
        <f t="shared" si="31"/>
        <v>0</v>
      </c>
      <c r="J145" s="253">
        <f t="shared" si="32"/>
        <v>0</v>
      </c>
      <c r="K145" s="281"/>
      <c r="L145" s="266"/>
      <c r="M145" s="255">
        <f t="shared" si="33"/>
        <v>0</v>
      </c>
      <c r="N145" s="253">
        <f t="shared" si="34"/>
        <v>0</v>
      </c>
      <c r="O145" s="259">
        <v>5</v>
      </c>
    </row>
    <row r="146" spans="1:15" x14ac:dyDescent="0.2">
      <c r="A146" s="257" t="s">
        <v>795</v>
      </c>
      <c r="B146" s="249">
        <v>456.1</v>
      </c>
      <c r="C146" s="258" t="s">
        <v>796</v>
      </c>
      <c r="D146" s="250" t="s">
        <v>797</v>
      </c>
      <c r="E146" s="294">
        <v>5283226.04</v>
      </c>
      <c r="F146" s="252" t="str">
        <f>$G$2</f>
        <v>Traditional OOR</v>
      </c>
      <c r="G146" s="253">
        <f t="shared" si="30"/>
        <v>5283226.04</v>
      </c>
      <c r="H146" s="254">
        <v>0</v>
      </c>
      <c r="I146" s="254">
        <f t="shared" si="31"/>
        <v>5283226.04</v>
      </c>
      <c r="J146" s="253">
        <f t="shared" si="32"/>
        <v>0</v>
      </c>
      <c r="K146" s="281"/>
      <c r="L146" s="266"/>
      <c r="M146" s="255">
        <f t="shared" si="33"/>
        <v>0</v>
      </c>
      <c r="N146" s="253">
        <f t="shared" si="34"/>
        <v>0</v>
      </c>
      <c r="O146" s="259">
        <v>4</v>
      </c>
    </row>
    <row r="147" spans="1:15" x14ac:dyDescent="0.2">
      <c r="A147" s="257" t="s">
        <v>798</v>
      </c>
      <c r="B147" s="249">
        <v>456.1</v>
      </c>
      <c r="C147" s="258" t="s">
        <v>799</v>
      </c>
      <c r="D147" s="250" t="s">
        <v>800</v>
      </c>
      <c r="E147" s="294">
        <v>394622.16</v>
      </c>
      <c r="F147" s="252" t="str">
        <f>$G$2</f>
        <v>Traditional OOR</v>
      </c>
      <c r="G147" s="253">
        <f t="shared" si="30"/>
        <v>394622.16</v>
      </c>
      <c r="H147" s="254">
        <v>0</v>
      </c>
      <c r="I147" s="254">
        <f t="shared" si="31"/>
        <v>394622.16</v>
      </c>
      <c r="J147" s="253">
        <f t="shared" si="32"/>
        <v>0</v>
      </c>
      <c r="K147" s="281"/>
      <c r="L147" s="266"/>
      <c r="M147" s="255">
        <f t="shared" si="33"/>
        <v>0</v>
      </c>
      <c r="N147" s="253">
        <f t="shared" si="34"/>
        <v>0</v>
      </c>
      <c r="O147" s="259">
        <v>4</v>
      </c>
    </row>
    <row r="148" spans="1:15" x14ac:dyDescent="0.2">
      <c r="A148" s="257" t="s">
        <v>801</v>
      </c>
      <c r="B148" s="249">
        <v>456.1</v>
      </c>
      <c r="C148" s="258" t="s">
        <v>802</v>
      </c>
      <c r="D148" s="250" t="s">
        <v>803</v>
      </c>
      <c r="E148" s="294">
        <v>0</v>
      </c>
      <c r="F148" s="252" t="str">
        <f>$N$2</f>
        <v>Other Ratemaking</v>
      </c>
      <c r="G148" s="253">
        <f t="shared" si="30"/>
        <v>0</v>
      </c>
      <c r="H148" s="254">
        <v>0</v>
      </c>
      <c r="I148" s="254">
        <f t="shared" si="31"/>
        <v>0</v>
      </c>
      <c r="J148" s="253">
        <f t="shared" si="32"/>
        <v>0</v>
      </c>
      <c r="K148" s="281"/>
      <c r="L148" s="266"/>
      <c r="M148" s="255">
        <f t="shared" si="33"/>
        <v>0</v>
      </c>
      <c r="N148" s="253">
        <f t="shared" si="34"/>
        <v>0</v>
      </c>
      <c r="O148" s="259">
        <v>6</v>
      </c>
    </row>
    <row r="149" spans="1:15" x14ac:dyDescent="0.2">
      <c r="A149" s="257" t="s">
        <v>804</v>
      </c>
      <c r="B149" s="249">
        <v>456.1</v>
      </c>
      <c r="C149" s="258" t="s">
        <v>805</v>
      </c>
      <c r="D149" s="250" t="s">
        <v>806</v>
      </c>
      <c r="E149" s="294">
        <v>1080948.48</v>
      </c>
      <c r="F149" s="252" t="str">
        <f t="shared" ref="F149:F159" si="35">$G$2</f>
        <v>Traditional OOR</v>
      </c>
      <c r="G149" s="253">
        <f t="shared" si="30"/>
        <v>1080948.48</v>
      </c>
      <c r="H149" s="254">
        <v>0</v>
      </c>
      <c r="I149" s="254">
        <f t="shared" si="31"/>
        <v>1080948.48</v>
      </c>
      <c r="J149" s="253">
        <f t="shared" si="32"/>
        <v>0</v>
      </c>
      <c r="K149" s="281"/>
      <c r="L149" s="266"/>
      <c r="M149" s="255">
        <f t="shared" si="33"/>
        <v>0</v>
      </c>
      <c r="N149" s="253">
        <f t="shared" si="34"/>
        <v>0</v>
      </c>
      <c r="O149" s="259">
        <v>4</v>
      </c>
    </row>
    <row r="150" spans="1:15" x14ac:dyDescent="0.2">
      <c r="A150" s="257" t="s">
        <v>807</v>
      </c>
      <c r="B150" s="249">
        <v>456.1</v>
      </c>
      <c r="C150" s="258" t="s">
        <v>808</v>
      </c>
      <c r="D150" s="250" t="s">
        <v>809</v>
      </c>
      <c r="E150" s="294">
        <v>402147.6</v>
      </c>
      <c r="F150" s="252" t="str">
        <f t="shared" si="35"/>
        <v>Traditional OOR</v>
      </c>
      <c r="G150" s="253">
        <f t="shared" si="30"/>
        <v>402147.6</v>
      </c>
      <c r="H150" s="254">
        <v>0</v>
      </c>
      <c r="I150" s="254">
        <f t="shared" si="31"/>
        <v>402147.6</v>
      </c>
      <c r="J150" s="253">
        <f t="shared" si="32"/>
        <v>0</v>
      </c>
      <c r="K150" s="281"/>
      <c r="L150" s="266"/>
      <c r="M150" s="255">
        <f t="shared" si="33"/>
        <v>0</v>
      </c>
      <c r="N150" s="253">
        <f t="shared" si="34"/>
        <v>0</v>
      </c>
      <c r="O150" s="259">
        <v>4</v>
      </c>
    </row>
    <row r="151" spans="1:15" x14ac:dyDescent="0.2">
      <c r="A151" s="257" t="s">
        <v>810</v>
      </c>
      <c r="B151" s="249">
        <v>456.1</v>
      </c>
      <c r="C151" s="258" t="s">
        <v>811</v>
      </c>
      <c r="D151" s="250" t="s">
        <v>812</v>
      </c>
      <c r="E151" s="294">
        <v>209706</v>
      </c>
      <c r="F151" s="252" t="str">
        <f t="shared" si="35"/>
        <v>Traditional OOR</v>
      </c>
      <c r="G151" s="253">
        <f t="shared" si="30"/>
        <v>209706</v>
      </c>
      <c r="H151" s="254">
        <v>0</v>
      </c>
      <c r="I151" s="254">
        <f t="shared" si="31"/>
        <v>209706</v>
      </c>
      <c r="J151" s="253">
        <f t="shared" si="32"/>
        <v>0</v>
      </c>
      <c r="K151" s="281"/>
      <c r="L151" s="266"/>
      <c r="M151" s="255">
        <f t="shared" si="33"/>
        <v>0</v>
      </c>
      <c r="N151" s="253">
        <f t="shared" si="34"/>
        <v>0</v>
      </c>
      <c r="O151" s="259">
        <v>4</v>
      </c>
    </row>
    <row r="152" spans="1:15" x14ac:dyDescent="0.2">
      <c r="A152" s="257" t="s">
        <v>813</v>
      </c>
      <c r="B152" s="249">
        <v>456.1</v>
      </c>
      <c r="C152" s="258" t="s">
        <v>814</v>
      </c>
      <c r="D152" s="250" t="s">
        <v>815</v>
      </c>
      <c r="E152" s="294">
        <v>551001.72</v>
      </c>
      <c r="F152" s="252" t="str">
        <f t="shared" si="35"/>
        <v>Traditional OOR</v>
      </c>
      <c r="G152" s="253">
        <f t="shared" si="30"/>
        <v>551001.72</v>
      </c>
      <c r="H152" s="254">
        <v>0</v>
      </c>
      <c r="I152" s="254">
        <f t="shared" si="31"/>
        <v>551001.72</v>
      </c>
      <c r="J152" s="253">
        <f t="shared" si="32"/>
        <v>0</v>
      </c>
      <c r="K152" s="281"/>
      <c r="L152" s="266"/>
      <c r="M152" s="255">
        <f t="shared" si="33"/>
        <v>0</v>
      </c>
      <c r="N152" s="253">
        <f t="shared" si="34"/>
        <v>0</v>
      </c>
      <c r="O152" s="259">
        <v>4</v>
      </c>
    </row>
    <row r="153" spans="1:15" x14ac:dyDescent="0.2">
      <c r="A153" s="257" t="s">
        <v>816</v>
      </c>
      <c r="B153" s="249">
        <v>456.1</v>
      </c>
      <c r="C153" s="258" t="s">
        <v>817</v>
      </c>
      <c r="D153" s="250" t="s">
        <v>818</v>
      </c>
      <c r="E153" s="294">
        <v>651331.07999999996</v>
      </c>
      <c r="F153" s="252" t="str">
        <f t="shared" si="35"/>
        <v>Traditional OOR</v>
      </c>
      <c r="G153" s="253">
        <f t="shared" si="30"/>
        <v>651331.07999999996</v>
      </c>
      <c r="H153" s="254">
        <v>0</v>
      </c>
      <c r="I153" s="254">
        <f t="shared" si="31"/>
        <v>651331.07999999996</v>
      </c>
      <c r="J153" s="253">
        <f t="shared" si="32"/>
        <v>0</v>
      </c>
      <c r="K153" s="281"/>
      <c r="L153" s="266"/>
      <c r="M153" s="255">
        <f t="shared" si="33"/>
        <v>0</v>
      </c>
      <c r="N153" s="253">
        <f t="shared" si="34"/>
        <v>0</v>
      </c>
      <c r="O153" s="259">
        <v>4</v>
      </c>
    </row>
    <row r="154" spans="1:15" x14ac:dyDescent="0.2">
      <c r="A154" s="257" t="s">
        <v>819</v>
      </c>
      <c r="B154" s="249">
        <v>456.1</v>
      </c>
      <c r="C154" s="258" t="s">
        <v>820</v>
      </c>
      <c r="D154" s="250" t="s">
        <v>821</v>
      </c>
      <c r="E154" s="294">
        <v>264133.44</v>
      </c>
      <c r="F154" s="252" t="str">
        <f t="shared" si="35"/>
        <v>Traditional OOR</v>
      </c>
      <c r="G154" s="253">
        <f t="shared" si="30"/>
        <v>264133.44</v>
      </c>
      <c r="H154" s="254">
        <v>0</v>
      </c>
      <c r="I154" s="254">
        <f t="shared" si="31"/>
        <v>264133.44</v>
      </c>
      <c r="J154" s="253">
        <f t="shared" si="32"/>
        <v>0</v>
      </c>
      <c r="K154" s="281"/>
      <c r="L154" s="266"/>
      <c r="M154" s="255">
        <f t="shared" si="33"/>
        <v>0</v>
      </c>
      <c r="N154" s="253">
        <f t="shared" si="34"/>
        <v>0</v>
      </c>
      <c r="O154" s="259">
        <v>4</v>
      </c>
    </row>
    <row r="155" spans="1:15" x14ac:dyDescent="0.2">
      <c r="A155" s="257" t="s">
        <v>822</v>
      </c>
      <c r="B155" s="249">
        <v>456.1</v>
      </c>
      <c r="C155" s="258" t="s">
        <v>823</v>
      </c>
      <c r="D155" s="250" t="s">
        <v>824</v>
      </c>
      <c r="E155" s="251">
        <v>0</v>
      </c>
      <c r="F155" s="252" t="str">
        <f t="shared" si="35"/>
        <v>Traditional OOR</v>
      </c>
      <c r="G155" s="253">
        <f t="shared" si="30"/>
        <v>0</v>
      </c>
      <c r="H155" s="254">
        <v>0</v>
      </c>
      <c r="I155" s="254">
        <f t="shared" si="31"/>
        <v>0</v>
      </c>
      <c r="J155" s="253">
        <f t="shared" si="32"/>
        <v>0</v>
      </c>
      <c r="K155" s="253"/>
      <c r="L155" s="266"/>
      <c r="M155" s="255">
        <f t="shared" si="33"/>
        <v>0</v>
      </c>
      <c r="N155" s="253">
        <f t="shared" si="34"/>
        <v>0</v>
      </c>
      <c r="O155" s="259">
        <v>4</v>
      </c>
    </row>
    <row r="156" spans="1:15" x14ac:dyDescent="0.2">
      <c r="A156" s="257" t="s">
        <v>825</v>
      </c>
      <c r="B156" s="249">
        <v>456.1</v>
      </c>
      <c r="C156" s="258" t="s">
        <v>826</v>
      </c>
      <c r="D156" s="250" t="s">
        <v>827</v>
      </c>
      <c r="E156" s="294">
        <v>42492.12</v>
      </c>
      <c r="F156" s="252" t="str">
        <f t="shared" si="35"/>
        <v>Traditional OOR</v>
      </c>
      <c r="G156" s="253">
        <f t="shared" si="30"/>
        <v>42492.12</v>
      </c>
      <c r="H156" s="254">
        <v>0</v>
      </c>
      <c r="I156" s="254">
        <f t="shared" si="31"/>
        <v>42492.12</v>
      </c>
      <c r="J156" s="253">
        <f t="shared" si="32"/>
        <v>0</v>
      </c>
      <c r="K156" s="281"/>
      <c r="L156" s="266"/>
      <c r="M156" s="255">
        <f t="shared" si="33"/>
        <v>0</v>
      </c>
      <c r="N156" s="253">
        <f t="shared" si="34"/>
        <v>0</v>
      </c>
      <c r="O156" s="259">
        <v>4</v>
      </c>
    </row>
    <row r="157" spans="1:15" x14ac:dyDescent="0.2">
      <c r="A157" s="257" t="s">
        <v>828</v>
      </c>
      <c r="B157" s="249">
        <v>456.1</v>
      </c>
      <c r="C157" s="258" t="s">
        <v>829</v>
      </c>
      <c r="D157" s="250" t="s">
        <v>830</v>
      </c>
      <c r="E157" s="294">
        <v>0</v>
      </c>
      <c r="F157" s="252" t="str">
        <f>$N$2</f>
        <v>Other Ratemaking</v>
      </c>
      <c r="G157" s="253">
        <f t="shared" si="30"/>
        <v>0</v>
      </c>
      <c r="H157" s="254">
        <v>0</v>
      </c>
      <c r="I157" s="254">
        <f t="shared" si="31"/>
        <v>0</v>
      </c>
      <c r="J157" s="253">
        <f t="shared" si="32"/>
        <v>0</v>
      </c>
      <c r="K157" s="281"/>
      <c r="L157" s="266"/>
      <c r="M157" s="255">
        <f t="shared" si="33"/>
        <v>0</v>
      </c>
      <c r="N157" s="253">
        <f t="shared" si="34"/>
        <v>0</v>
      </c>
      <c r="O157" s="259">
        <v>6</v>
      </c>
    </row>
    <row r="158" spans="1:15" x14ac:dyDescent="0.2">
      <c r="A158" s="261" t="s">
        <v>831</v>
      </c>
      <c r="B158" s="262">
        <v>456.1</v>
      </c>
      <c r="C158" s="263" t="s">
        <v>832</v>
      </c>
      <c r="D158" s="263" t="s">
        <v>833</v>
      </c>
      <c r="E158" s="294">
        <v>193137</v>
      </c>
      <c r="F158" s="285" t="str">
        <f t="shared" si="35"/>
        <v>Traditional OOR</v>
      </c>
      <c r="G158" s="251">
        <f t="shared" si="30"/>
        <v>193137</v>
      </c>
      <c r="H158" s="266">
        <v>0</v>
      </c>
      <c r="I158" s="266">
        <f t="shared" si="31"/>
        <v>193137</v>
      </c>
      <c r="J158" s="251">
        <f t="shared" si="32"/>
        <v>0</v>
      </c>
      <c r="K158" s="294"/>
      <c r="L158" s="266"/>
      <c r="M158" s="266">
        <f t="shared" si="33"/>
        <v>0</v>
      </c>
      <c r="N158" s="251">
        <f t="shared" si="34"/>
        <v>0</v>
      </c>
      <c r="O158" s="267">
        <v>4</v>
      </c>
    </row>
    <row r="159" spans="1:15" x14ac:dyDescent="0.2">
      <c r="A159" s="261" t="s">
        <v>834</v>
      </c>
      <c r="B159" s="262">
        <v>456.1</v>
      </c>
      <c r="C159" s="263" t="s">
        <v>835</v>
      </c>
      <c r="D159" s="263" t="s">
        <v>836</v>
      </c>
      <c r="E159" s="294">
        <v>490354.43</v>
      </c>
      <c r="F159" s="285" t="str">
        <f t="shared" si="35"/>
        <v>Traditional OOR</v>
      </c>
      <c r="G159" s="251">
        <f t="shared" si="30"/>
        <v>490354.43</v>
      </c>
      <c r="H159" s="266">
        <v>0</v>
      </c>
      <c r="I159" s="266">
        <f t="shared" si="31"/>
        <v>490354.43</v>
      </c>
      <c r="J159" s="251">
        <f t="shared" si="32"/>
        <v>0</v>
      </c>
      <c r="K159" s="294"/>
      <c r="L159" s="266"/>
      <c r="M159" s="266">
        <f t="shared" si="33"/>
        <v>0</v>
      </c>
      <c r="N159" s="251">
        <f t="shared" si="34"/>
        <v>0</v>
      </c>
      <c r="O159" s="267">
        <v>4</v>
      </c>
    </row>
    <row r="160" spans="1:15" x14ac:dyDescent="0.2">
      <c r="A160" s="261" t="s">
        <v>837</v>
      </c>
      <c r="B160" s="262">
        <v>456.1</v>
      </c>
      <c r="C160" s="263" t="s">
        <v>829</v>
      </c>
      <c r="D160" s="263" t="s">
        <v>838</v>
      </c>
      <c r="E160" s="294">
        <v>246973.71</v>
      </c>
      <c r="F160" s="285" t="str">
        <f>$N$2</f>
        <v>Other Ratemaking</v>
      </c>
      <c r="G160" s="251">
        <f t="shared" si="30"/>
        <v>0</v>
      </c>
      <c r="H160" s="266">
        <v>0</v>
      </c>
      <c r="I160" s="266">
        <f t="shared" si="31"/>
        <v>0</v>
      </c>
      <c r="J160" s="251">
        <f t="shared" si="32"/>
        <v>0</v>
      </c>
      <c r="K160" s="294"/>
      <c r="L160" s="266"/>
      <c r="M160" s="266">
        <f t="shared" si="33"/>
        <v>0</v>
      </c>
      <c r="N160" s="251">
        <f t="shared" si="34"/>
        <v>246973.71</v>
      </c>
      <c r="O160" s="267">
        <v>6</v>
      </c>
    </row>
    <row r="161" spans="1:15" x14ac:dyDescent="0.2">
      <c r="A161" s="261" t="s">
        <v>839</v>
      </c>
      <c r="B161" s="262">
        <v>456.1</v>
      </c>
      <c r="C161" s="263" t="s">
        <v>840</v>
      </c>
      <c r="D161" s="263" t="s">
        <v>841</v>
      </c>
      <c r="E161" s="294">
        <v>12503457.91</v>
      </c>
      <c r="F161" s="285" t="str">
        <f>$N$2</f>
        <v>Other Ratemaking</v>
      </c>
      <c r="G161" s="251">
        <f t="shared" si="30"/>
        <v>0</v>
      </c>
      <c r="H161" s="266">
        <v>0</v>
      </c>
      <c r="I161" s="266">
        <v>0</v>
      </c>
      <c r="J161" s="251">
        <f t="shared" si="32"/>
        <v>0</v>
      </c>
      <c r="K161" s="294"/>
      <c r="L161" s="266"/>
      <c r="M161" s="266">
        <f t="shared" si="33"/>
        <v>0</v>
      </c>
      <c r="N161" s="251">
        <f t="shared" si="34"/>
        <v>12503457.91</v>
      </c>
      <c r="O161" s="267">
        <v>6</v>
      </c>
    </row>
    <row r="162" spans="1:15" x14ac:dyDescent="0.2">
      <c r="A162" s="261"/>
      <c r="B162" s="262"/>
      <c r="C162" s="263"/>
      <c r="D162" s="264"/>
      <c r="E162" s="294"/>
      <c r="F162" s="305"/>
      <c r="G162" s="251"/>
      <c r="H162" s="266"/>
      <c r="I162" s="266"/>
      <c r="J162" s="251"/>
      <c r="K162" s="294"/>
      <c r="L162" s="266"/>
      <c r="M162" s="266"/>
      <c r="N162" s="251"/>
      <c r="O162" s="267"/>
    </row>
    <row r="163" spans="1:15" x14ac:dyDescent="0.2">
      <c r="A163" s="261"/>
      <c r="B163" s="262"/>
      <c r="C163" s="263"/>
      <c r="D163" s="264"/>
      <c r="E163" s="294"/>
      <c r="F163" s="305"/>
      <c r="G163" s="251"/>
      <c r="H163" s="266"/>
      <c r="I163" s="266"/>
      <c r="J163" s="251"/>
      <c r="K163" s="294"/>
      <c r="L163" s="266"/>
      <c r="M163" s="266"/>
      <c r="N163" s="251"/>
      <c r="O163" s="267"/>
    </row>
    <row r="164" spans="1:15" x14ac:dyDescent="0.2">
      <c r="A164" s="257">
        <v>16</v>
      </c>
      <c r="B164" s="534" t="s">
        <v>842</v>
      </c>
      <c r="C164" s="526"/>
      <c r="D164" s="527"/>
      <c r="E164" s="268">
        <f>SUM(E139:E163)</f>
        <v>94897913.549999997</v>
      </c>
      <c r="F164" s="269"/>
      <c r="G164" s="268">
        <f>SUM(G139:G163)</f>
        <v>52551313.009999983</v>
      </c>
      <c r="H164" s="271">
        <f>SUM(H139:H163)</f>
        <v>41697457.789999999</v>
      </c>
      <c r="I164" s="271">
        <f>SUM(I139:I163)</f>
        <v>10853855.219999999</v>
      </c>
      <c r="J164" s="268">
        <f>SUM(J139:J163)</f>
        <v>0</v>
      </c>
      <c r="K164" s="272"/>
      <c r="L164" s="268">
        <f>SUM(L139:L163)</f>
        <v>0</v>
      </c>
      <c r="M164" s="268">
        <f>SUM(M139:M163)</f>
        <v>0</v>
      </c>
      <c r="N164" s="268">
        <f>SUM(N139:N163)</f>
        <v>42346600.540000007</v>
      </c>
      <c r="O164" s="233"/>
    </row>
    <row r="165" spans="1:15" ht="25.5" customHeight="1" x14ac:dyDescent="0.2">
      <c r="A165" s="257">
        <v>17</v>
      </c>
      <c r="B165" s="535" t="s">
        <v>843</v>
      </c>
      <c r="C165" s="536"/>
      <c r="D165" s="537"/>
      <c r="E165" s="273">
        <v>94897914</v>
      </c>
      <c r="F165" s="274"/>
      <c r="G165" s="306"/>
      <c r="H165" s="307"/>
      <c r="I165" s="307"/>
      <c r="J165" s="308"/>
      <c r="K165" s="307"/>
      <c r="L165" s="308"/>
      <c r="M165" s="308"/>
      <c r="N165" s="308"/>
      <c r="O165" s="276"/>
    </row>
    <row r="166" spans="1:15" x14ac:dyDescent="0.2">
      <c r="A166" s="277"/>
      <c r="B166" s="278"/>
      <c r="C166" s="279"/>
      <c r="D166" s="280"/>
      <c r="E166" s="292"/>
      <c r="F166" s="308"/>
      <c r="G166" s="308"/>
      <c r="H166" s="307"/>
      <c r="I166" s="307"/>
      <c r="J166" s="308"/>
      <c r="K166" s="307"/>
      <c r="L166" s="308"/>
      <c r="M166" s="308"/>
      <c r="N166" s="308"/>
      <c r="O166" s="276"/>
    </row>
    <row r="167" spans="1:15" x14ac:dyDescent="0.2">
      <c r="A167" s="261" t="s">
        <v>844</v>
      </c>
      <c r="B167" s="309"/>
      <c r="C167" s="310"/>
      <c r="D167" s="310"/>
      <c r="E167" s="273"/>
      <c r="F167" s="273"/>
      <c r="G167" s="273"/>
      <c r="H167" s="273"/>
      <c r="I167" s="273"/>
      <c r="J167" s="273"/>
      <c r="K167" s="273"/>
      <c r="L167" s="273"/>
      <c r="M167" s="273"/>
      <c r="N167" s="273"/>
      <c r="O167" s="267"/>
    </row>
    <row r="168" spans="1:15" x14ac:dyDescent="0.2">
      <c r="A168" s="261"/>
      <c r="B168" s="311"/>
      <c r="C168" s="310"/>
      <c r="D168" s="310"/>
      <c r="E168" s="273"/>
      <c r="F168" s="273"/>
      <c r="G168" s="273"/>
      <c r="H168" s="273"/>
      <c r="I168" s="273"/>
      <c r="J168" s="273"/>
      <c r="K168" s="273"/>
      <c r="L168" s="273"/>
      <c r="M168" s="273"/>
      <c r="N168" s="273"/>
      <c r="O168" s="267"/>
    </row>
    <row r="169" spans="1:15" x14ac:dyDescent="0.2">
      <c r="A169" s="248">
        <v>19</v>
      </c>
      <c r="B169" s="534" t="s">
        <v>845</v>
      </c>
      <c r="C169" s="526"/>
      <c r="D169" s="527"/>
      <c r="E169" s="268">
        <f>SUM(E167:E168)</f>
        <v>0</v>
      </c>
      <c r="F169" s="312"/>
      <c r="G169" s="268">
        <f>SUM(G167:G168)</f>
        <v>0</v>
      </c>
      <c r="H169" s="268">
        <f t="shared" ref="H169:N169" si="36">SUM(H167:H168)</f>
        <v>0</v>
      </c>
      <c r="I169" s="268">
        <f t="shared" si="36"/>
        <v>0</v>
      </c>
      <c r="J169" s="268">
        <f t="shared" si="36"/>
        <v>0</v>
      </c>
      <c r="K169" s="272"/>
      <c r="L169" s="268">
        <f t="shared" si="36"/>
        <v>0</v>
      </c>
      <c r="M169" s="268">
        <f t="shared" si="36"/>
        <v>0</v>
      </c>
      <c r="N169" s="268">
        <f t="shared" si="36"/>
        <v>0</v>
      </c>
      <c r="O169" s="313"/>
    </row>
    <row r="170" spans="1:15" ht="26.25" customHeight="1" x14ac:dyDescent="0.2">
      <c r="A170" s="248">
        <v>20</v>
      </c>
      <c r="B170" s="538" t="s">
        <v>846</v>
      </c>
      <c r="C170" s="539"/>
      <c r="D170" s="540"/>
      <c r="E170" s="273">
        <v>0</v>
      </c>
      <c r="F170" s="314"/>
      <c r="G170" s="292"/>
      <c r="H170" s="314"/>
      <c r="I170" s="314"/>
      <c r="J170" s="292"/>
      <c r="K170" s="314"/>
      <c r="L170" s="292"/>
      <c r="M170" s="292"/>
      <c r="N170" s="292"/>
      <c r="O170" s="315"/>
    </row>
    <row r="171" spans="1:15" x14ac:dyDescent="0.2">
      <c r="A171" s="277"/>
      <c r="B171" s="278"/>
      <c r="C171" s="279"/>
      <c r="D171" s="280"/>
      <c r="E171" s="292"/>
      <c r="F171" s="308"/>
      <c r="G171" s="275"/>
      <c r="H171" s="274"/>
      <c r="I171" s="274"/>
      <c r="J171" s="275"/>
      <c r="K171" s="274"/>
      <c r="L171" s="275"/>
      <c r="M171" s="275"/>
      <c r="N171" s="275"/>
      <c r="O171" s="315"/>
    </row>
    <row r="172" spans="1:15" x14ac:dyDescent="0.2">
      <c r="A172" s="261" t="s">
        <v>847</v>
      </c>
      <c r="B172" s="309"/>
      <c r="C172" s="310"/>
      <c r="D172" s="310"/>
      <c r="E172" s="273"/>
      <c r="F172" s="316"/>
      <c r="G172" s="317"/>
      <c r="H172" s="317"/>
      <c r="I172" s="317"/>
      <c r="J172" s="317"/>
      <c r="K172" s="317"/>
      <c r="L172" s="317"/>
      <c r="M172" s="317"/>
      <c r="N172" s="317"/>
      <c r="O172" s="318"/>
    </row>
    <row r="173" spans="1:15" x14ac:dyDescent="0.2">
      <c r="A173" s="261"/>
      <c r="B173" s="311"/>
      <c r="C173" s="310"/>
      <c r="D173" s="310"/>
      <c r="E173" s="273"/>
      <c r="F173" s="316"/>
      <c r="G173" s="317"/>
      <c r="H173" s="317"/>
      <c r="I173" s="317"/>
      <c r="J173" s="317"/>
      <c r="K173" s="317"/>
      <c r="L173" s="317"/>
      <c r="M173" s="317"/>
      <c r="N173" s="317"/>
      <c r="O173" s="318"/>
    </row>
    <row r="174" spans="1:15" x14ac:dyDescent="0.2">
      <c r="A174" s="248">
        <v>22</v>
      </c>
      <c r="B174" s="534" t="s">
        <v>848</v>
      </c>
      <c r="C174" s="526"/>
      <c r="D174" s="527"/>
      <c r="E174" s="268">
        <f>SUM(E172:E173)</f>
        <v>0</v>
      </c>
      <c r="F174" s="319"/>
      <c r="G174" s="268">
        <f>SUM(G172:G173)</f>
        <v>0</v>
      </c>
      <c r="H174" s="268">
        <f>SUM(H172:H173)</f>
        <v>0</v>
      </c>
      <c r="I174" s="268">
        <f>SUM(I172:I173)</f>
        <v>0</v>
      </c>
      <c r="J174" s="268">
        <f>SUM(J172:J173)</f>
        <v>0</v>
      </c>
      <c r="K174" s="272"/>
      <c r="L174" s="268">
        <f>SUM(L172:L173)</f>
        <v>0</v>
      </c>
      <c r="M174" s="268">
        <f>SUM(M172:M173)</f>
        <v>0</v>
      </c>
      <c r="N174" s="268">
        <f>SUM(N172:N173)</f>
        <v>0</v>
      </c>
      <c r="O174" s="313"/>
    </row>
    <row r="175" spans="1:15" ht="26.25" customHeight="1" x14ac:dyDescent="0.2">
      <c r="A175" s="248">
        <v>23</v>
      </c>
      <c r="B175" s="538" t="s">
        <v>849</v>
      </c>
      <c r="C175" s="539"/>
      <c r="D175" s="540"/>
      <c r="E175" s="273">
        <v>0</v>
      </c>
      <c r="F175" s="307"/>
      <c r="G175" s="308"/>
      <c r="H175" s="307"/>
      <c r="I175" s="307"/>
      <c r="J175" s="308"/>
      <c r="K175" s="307"/>
      <c r="L175" s="308"/>
      <c r="M175" s="308"/>
      <c r="N175" s="308"/>
      <c r="O175" s="276"/>
    </row>
    <row r="176" spans="1:15" x14ac:dyDescent="0.2">
      <c r="A176" s="277"/>
      <c r="B176" s="278"/>
      <c r="C176" s="279"/>
      <c r="D176" s="280"/>
      <c r="E176" s="292"/>
      <c r="F176" s="308"/>
      <c r="G176" s="308"/>
      <c r="H176" s="307"/>
      <c r="I176" s="307"/>
      <c r="J176" s="308"/>
      <c r="K176" s="307"/>
      <c r="L176" s="308"/>
      <c r="M176" s="308"/>
      <c r="N176" s="308"/>
      <c r="O176" s="276"/>
    </row>
    <row r="177" spans="1:15" x14ac:dyDescent="0.2">
      <c r="A177" s="277"/>
      <c r="B177" s="278" t="s">
        <v>850</v>
      </c>
      <c r="C177" s="279"/>
      <c r="D177" s="280"/>
      <c r="E177" s="292"/>
      <c r="F177" s="308"/>
      <c r="G177" s="308"/>
      <c r="H177" s="307"/>
      <c r="I177" s="307"/>
      <c r="J177" s="308"/>
      <c r="K177" s="307"/>
      <c r="L177" s="308"/>
      <c r="M177" s="308"/>
      <c r="N177" s="308"/>
      <c r="O177" s="276"/>
    </row>
    <row r="178" spans="1:15" x14ac:dyDescent="0.2">
      <c r="A178" s="257" t="s">
        <v>851</v>
      </c>
      <c r="B178" s="320">
        <v>417</v>
      </c>
      <c r="C178" s="321">
        <v>4863135</v>
      </c>
      <c r="D178" s="322" t="s">
        <v>852</v>
      </c>
      <c r="E178" s="294">
        <v>0</v>
      </c>
      <c r="F178" s="252" t="str">
        <f t="shared" ref="F178:F192" si="37">$J$2</f>
        <v>GRSM</v>
      </c>
      <c r="G178" s="253">
        <f t="shared" ref="G178:G192" si="38">IF(F178=$G$2,E178,0)</f>
        <v>0</v>
      </c>
      <c r="H178" s="254">
        <v>0</v>
      </c>
      <c r="I178" s="254">
        <f t="shared" ref="I178:I192" si="39">G178-H178</f>
        <v>0</v>
      </c>
      <c r="J178" s="253">
        <f t="shared" ref="J178:J192" si="40">IF(F178=$J$2,E178,0)</f>
        <v>0</v>
      </c>
      <c r="K178" s="254" t="s">
        <v>494</v>
      </c>
      <c r="L178" s="251"/>
      <c r="M178" s="323">
        <f t="shared" ref="M178:M192" si="41">J178-L178</f>
        <v>0</v>
      </c>
      <c r="N178" s="253">
        <f t="shared" ref="N178:N192" si="42">IF(F178=$N$2,E178,0)</f>
        <v>0</v>
      </c>
      <c r="O178" s="259">
        <v>2</v>
      </c>
    </row>
    <row r="179" spans="1:15" x14ac:dyDescent="0.2">
      <c r="A179" s="257" t="s">
        <v>853</v>
      </c>
      <c r="B179" s="320">
        <v>417</v>
      </c>
      <c r="C179" s="321">
        <v>4863130</v>
      </c>
      <c r="D179" s="322" t="s">
        <v>854</v>
      </c>
      <c r="E179" s="294">
        <v>709919.23</v>
      </c>
      <c r="F179" s="252" t="str">
        <f t="shared" si="37"/>
        <v>GRSM</v>
      </c>
      <c r="G179" s="253">
        <f t="shared" si="38"/>
        <v>0</v>
      </c>
      <c r="H179" s="254">
        <v>0</v>
      </c>
      <c r="I179" s="254">
        <f t="shared" si="39"/>
        <v>0</v>
      </c>
      <c r="J179" s="253">
        <f t="shared" si="40"/>
        <v>709919.23</v>
      </c>
      <c r="K179" s="254" t="s">
        <v>494</v>
      </c>
      <c r="L179" s="251">
        <v>124568.11</v>
      </c>
      <c r="M179" s="323">
        <f t="shared" si="41"/>
        <v>585351.12</v>
      </c>
      <c r="N179" s="253">
        <f t="shared" si="42"/>
        <v>0</v>
      </c>
      <c r="O179" s="259">
        <v>2</v>
      </c>
    </row>
    <row r="180" spans="1:15" x14ac:dyDescent="0.2">
      <c r="A180" s="257" t="s">
        <v>855</v>
      </c>
      <c r="B180" s="320">
        <v>417</v>
      </c>
      <c r="C180" s="321">
        <v>4862110</v>
      </c>
      <c r="D180" s="322" t="s">
        <v>856</v>
      </c>
      <c r="E180" s="294">
        <v>5945120.9400000004</v>
      </c>
      <c r="F180" s="252" t="str">
        <f t="shared" si="37"/>
        <v>GRSM</v>
      </c>
      <c r="G180" s="253">
        <f t="shared" si="38"/>
        <v>0</v>
      </c>
      <c r="H180" s="254">
        <v>0</v>
      </c>
      <c r="I180" s="254">
        <f t="shared" si="39"/>
        <v>0</v>
      </c>
      <c r="J180" s="253">
        <f t="shared" si="40"/>
        <v>5945120.9400000004</v>
      </c>
      <c r="K180" s="254" t="s">
        <v>271</v>
      </c>
      <c r="L180" s="251">
        <v>1143817.51</v>
      </c>
      <c r="M180" s="323">
        <f t="shared" si="41"/>
        <v>4801303.4300000006</v>
      </c>
      <c r="N180" s="253">
        <f t="shared" si="42"/>
        <v>0</v>
      </c>
      <c r="O180" s="259">
        <v>2</v>
      </c>
    </row>
    <row r="181" spans="1:15" x14ac:dyDescent="0.2">
      <c r="A181" s="257" t="s">
        <v>857</v>
      </c>
      <c r="B181" s="320">
        <v>417</v>
      </c>
      <c r="C181" s="321">
        <v>4862115</v>
      </c>
      <c r="D181" s="322" t="s">
        <v>858</v>
      </c>
      <c r="E181" s="294">
        <v>3360255.27</v>
      </c>
      <c r="F181" s="252" t="str">
        <f t="shared" si="37"/>
        <v>GRSM</v>
      </c>
      <c r="G181" s="253">
        <f t="shared" si="38"/>
        <v>0</v>
      </c>
      <c r="H181" s="254">
        <v>0</v>
      </c>
      <c r="I181" s="254">
        <f t="shared" si="39"/>
        <v>0</v>
      </c>
      <c r="J181" s="253">
        <f t="shared" si="40"/>
        <v>3360255.27</v>
      </c>
      <c r="K181" s="254" t="s">
        <v>271</v>
      </c>
      <c r="L181" s="251">
        <v>670788.27</v>
      </c>
      <c r="M181" s="323">
        <f t="shared" si="41"/>
        <v>2689467</v>
      </c>
      <c r="N181" s="253">
        <f t="shared" si="42"/>
        <v>0</v>
      </c>
      <c r="O181" s="259">
        <v>2</v>
      </c>
    </row>
    <row r="182" spans="1:15" x14ac:dyDescent="0.2">
      <c r="A182" s="257" t="s">
        <v>859</v>
      </c>
      <c r="B182" s="320">
        <v>417</v>
      </c>
      <c r="C182" s="321">
        <v>4862120</v>
      </c>
      <c r="D182" s="322" t="s">
        <v>860</v>
      </c>
      <c r="E182" s="294">
        <v>-434631.53</v>
      </c>
      <c r="F182" s="252" t="str">
        <f t="shared" si="37"/>
        <v>GRSM</v>
      </c>
      <c r="G182" s="253">
        <f t="shared" si="38"/>
        <v>0</v>
      </c>
      <c r="H182" s="254">
        <v>0</v>
      </c>
      <c r="I182" s="254">
        <f t="shared" si="39"/>
        <v>0</v>
      </c>
      <c r="J182" s="253">
        <f t="shared" si="40"/>
        <v>-434631.53</v>
      </c>
      <c r="K182" s="254" t="s">
        <v>271</v>
      </c>
      <c r="L182" s="251">
        <v>52539.17</v>
      </c>
      <c r="M182" s="323">
        <f t="shared" si="41"/>
        <v>-487170.7</v>
      </c>
      <c r="N182" s="253">
        <f t="shared" si="42"/>
        <v>0</v>
      </c>
      <c r="O182" s="259">
        <v>2</v>
      </c>
    </row>
    <row r="183" spans="1:15" x14ac:dyDescent="0.2">
      <c r="A183" s="257" t="s">
        <v>861</v>
      </c>
      <c r="B183" s="320">
        <v>417</v>
      </c>
      <c r="C183" s="321">
        <v>4862135</v>
      </c>
      <c r="D183" s="322" t="s">
        <v>862</v>
      </c>
      <c r="E183" s="294">
        <v>26412936.850000001</v>
      </c>
      <c r="F183" s="252" t="str">
        <f t="shared" si="37"/>
        <v>GRSM</v>
      </c>
      <c r="G183" s="253">
        <f t="shared" si="38"/>
        <v>0</v>
      </c>
      <c r="H183" s="254">
        <v>0</v>
      </c>
      <c r="I183" s="254">
        <f t="shared" si="39"/>
        <v>0</v>
      </c>
      <c r="J183" s="253">
        <f t="shared" si="40"/>
        <v>26412936.850000001</v>
      </c>
      <c r="K183" s="254" t="s">
        <v>271</v>
      </c>
      <c r="L183" s="251">
        <v>5553483.7999999998</v>
      </c>
      <c r="M183" s="323">
        <f t="shared" si="41"/>
        <v>20859453.050000001</v>
      </c>
      <c r="N183" s="253">
        <f t="shared" si="42"/>
        <v>0</v>
      </c>
      <c r="O183" s="259">
        <v>2</v>
      </c>
    </row>
    <row r="184" spans="1:15" x14ac:dyDescent="0.2">
      <c r="A184" s="257" t="s">
        <v>863</v>
      </c>
      <c r="B184" s="320">
        <v>417</v>
      </c>
      <c r="C184" s="321">
        <v>4864110</v>
      </c>
      <c r="D184" s="322" t="s">
        <v>864</v>
      </c>
      <c r="E184" s="294">
        <v>0</v>
      </c>
      <c r="F184" s="252" t="str">
        <f t="shared" si="37"/>
        <v>GRSM</v>
      </c>
      <c r="G184" s="253">
        <f t="shared" si="38"/>
        <v>0</v>
      </c>
      <c r="H184" s="254">
        <v>0</v>
      </c>
      <c r="I184" s="254">
        <f t="shared" si="39"/>
        <v>0</v>
      </c>
      <c r="J184" s="253">
        <f t="shared" si="40"/>
        <v>0</v>
      </c>
      <c r="K184" s="254" t="s">
        <v>271</v>
      </c>
      <c r="L184" s="251"/>
      <c r="M184" s="323">
        <f t="shared" si="41"/>
        <v>0</v>
      </c>
      <c r="N184" s="253">
        <f t="shared" si="42"/>
        <v>0</v>
      </c>
      <c r="O184" s="259">
        <v>2</v>
      </c>
    </row>
    <row r="185" spans="1:15" x14ac:dyDescent="0.2">
      <c r="A185" s="257" t="s">
        <v>865</v>
      </c>
      <c r="B185" s="320">
        <v>417</v>
      </c>
      <c r="C185" s="321">
        <v>4864115</v>
      </c>
      <c r="D185" s="322" t="s">
        <v>866</v>
      </c>
      <c r="E185" s="294">
        <v>326260</v>
      </c>
      <c r="F185" s="252" t="str">
        <f t="shared" si="37"/>
        <v>GRSM</v>
      </c>
      <c r="G185" s="253">
        <f t="shared" si="38"/>
        <v>0</v>
      </c>
      <c r="H185" s="254">
        <v>0</v>
      </c>
      <c r="I185" s="254">
        <f t="shared" si="39"/>
        <v>0</v>
      </c>
      <c r="J185" s="253">
        <f t="shared" si="40"/>
        <v>326260</v>
      </c>
      <c r="K185" s="254" t="s">
        <v>271</v>
      </c>
      <c r="L185" s="251">
        <v>62886.76</v>
      </c>
      <c r="M185" s="323">
        <f t="shared" si="41"/>
        <v>263373.24</v>
      </c>
      <c r="N185" s="253">
        <f t="shared" si="42"/>
        <v>0</v>
      </c>
      <c r="O185" s="259">
        <v>2</v>
      </c>
    </row>
    <row r="186" spans="1:15" x14ac:dyDescent="0.2">
      <c r="A186" s="257" t="s">
        <v>867</v>
      </c>
      <c r="B186" s="320">
        <v>417</v>
      </c>
      <c r="C186" s="321">
        <v>4862125</v>
      </c>
      <c r="D186" s="322" t="s">
        <v>868</v>
      </c>
      <c r="E186" s="294">
        <v>15212868.57</v>
      </c>
      <c r="F186" s="252" t="str">
        <f t="shared" si="37"/>
        <v>GRSM</v>
      </c>
      <c r="G186" s="253">
        <f t="shared" si="38"/>
        <v>0</v>
      </c>
      <c r="H186" s="254">
        <v>0</v>
      </c>
      <c r="I186" s="254">
        <f t="shared" si="39"/>
        <v>0</v>
      </c>
      <c r="J186" s="253">
        <f t="shared" si="40"/>
        <v>15212868.57</v>
      </c>
      <c r="K186" s="254" t="s">
        <v>271</v>
      </c>
      <c r="L186" s="251">
        <v>2799119.12</v>
      </c>
      <c r="M186" s="323">
        <f t="shared" si="41"/>
        <v>12413749.449999999</v>
      </c>
      <c r="N186" s="253">
        <f t="shared" si="42"/>
        <v>0</v>
      </c>
      <c r="O186" s="259">
        <v>2</v>
      </c>
    </row>
    <row r="187" spans="1:15" x14ac:dyDescent="0.2">
      <c r="A187" s="257" t="s">
        <v>869</v>
      </c>
      <c r="B187" s="320">
        <v>417</v>
      </c>
      <c r="C187" s="321">
        <v>4862130</v>
      </c>
      <c r="D187" s="322" t="s">
        <v>870</v>
      </c>
      <c r="E187" s="294">
        <v>4452253.49</v>
      </c>
      <c r="F187" s="252" t="str">
        <f t="shared" si="37"/>
        <v>GRSM</v>
      </c>
      <c r="G187" s="253">
        <f t="shared" si="38"/>
        <v>0</v>
      </c>
      <c r="H187" s="254">
        <v>0</v>
      </c>
      <c r="I187" s="254">
        <f t="shared" si="39"/>
        <v>0</v>
      </c>
      <c r="J187" s="253">
        <f t="shared" si="40"/>
        <v>4452253.49</v>
      </c>
      <c r="K187" s="254" t="s">
        <v>271</v>
      </c>
      <c r="L187" s="251">
        <v>367955.65</v>
      </c>
      <c r="M187" s="323">
        <f t="shared" si="41"/>
        <v>4084297.8400000003</v>
      </c>
      <c r="N187" s="253">
        <f t="shared" si="42"/>
        <v>0</v>
      </c>
      <c r="O187" s="259">
        <v>2</v>
      </c>
    </row>
    <row r="188" spans="1:15" x14ac:dyDescent="0.2">
      <c r="A188" s="257" t="s">
        <v>871</v>
      </c>
      <c r="B188" s="320">
        <v>417</v>
      </c>
      <c r="C188" s="321">
        <v>4863120</v>
      </c>
      <c r="D188" s="322" t="s">
        <v>872</v>
      </c>
      <c r="E188" s="294">
        <v>363240.1</v>
      </c>
      <c r="F188" s="252" t="str">
        <f t="shared" si="37"/>
        <v>GRSM</v>
      </c>
      <c r="G188" s="253">
        <f t="shared" si="38"/>
        <v>0</v>
      </c>
      <c r="H188" s="254">
        <v>0</v>
      </c>
      <c r="I188" s="254">
        <f t="shared" si="39"/>
        <v>0</v>
      </c>
      <c r="J188" s="253">
        <f t="shared" si="40"/>
        <v>363240.1</v>
      </c>
      <c r="K188" s="254" t="s">
        <v>494</v>
      </c>
      <c r="L188" s="251">
        <v>78453.58</v>
      </c>
      <c r="M188" s="323">
        <f t="shared" si="41"/>
        <v>284786.51999999996</v>
      </c>
      <c r="N188" s="253">
        <f t="shared" si="42"/>
        <v>0</v>
      </c>
      <c r="O188" s="259">
        <v>2</v>
      </c>
    </row>
    <row r="189" spans="1:15" x14ac:dyDescent="0.2">
      <c r="A189" s="257" t="s">
        <v>873</v>
      </c>
      <c r="B189" s="320">
        <v>417</v>
      </c>
      <c r="C189" s="321">
        <v>4863110</v>
      </c>
      <c r="D189" s="322" t="s">
        <v>874</v>
      </c>
      <c r="E189" s="294">
        <v>3406564.84</v>
      </c>
      <c r="F189" s="252" t="str">
        <f t="shared" si="37"/>
        <v>GRSM</v>
      </c>
      <c r="G189" s="253">
        <f t="shared" si="38"/>
        <v>0</v>
      </c>
      <c r="H189" s="254">
        <v>0</v>
      </c>
      <c r="I189" s="254">
        <f t="shared" si="39"/>
        <v>0</v>
      </c>
      <c r="J189" s="253">
        <f t="shared" si="40"/>
        <v>3406564.84</v>
      </c>
      <c r="K189" s="254" t="s">
        <v>494</v>
      </c>
      <c r="L189" s="251">
        <v>656836.41</v>
      </c>
      <c r="M189" s="323">
        <f t="shared" si="41"/>
        <v>2749728.4299999997</v>
      </c>
      <c r="N189" s="253">
        <f t="shared" si="42"/>
        <v>0</v>
      </c>
      <c r="O189" s="259">
        <v>2</v>
      </c>
    </row>
    <row r="190" spans="1:15" x14ac:dyDescent="0.2">
      <c r="A190" s="257" t="s">
        <v>875</v>
      </c>
      <c r="B190" s="320">
        <v>417</v>
      </c>
      <c r="C190" s="321">
        <v>4863115</v>
      </c>
      <c r="D190" s="322" t="s">
        <v>876</v>
      </c>
      <c r="E190" s="294">
        <v>622900.30000000005</v>
      </c>
      <c r="F190" s="252" t="str">
        <f t="shared" si="37"/>
        <v>GRSM</v>
      </c>
      <c r="G190" s="253">
        <f t="shared" si="38"/>
        <v>0</v>
      </c>
      <c r="H190" s="254">
        <v>0</v>
      </c>
      <c r="I190" s="254">
        <f t="shared" si="39"/>
        <v>0</v>
      </c>
      <c r="J190" s="253">
        <f t="shared" si="40"/>
        <v>622900.30000000005</v>
      </c>
      <c r="K190" s="254" t="s">
        <v>494</v>
      </c>
      <c r="L190" s="251">
        <v>60341.31</v>
      </c>
      <c r="M190" s="323">
        <f t="shared" si="41"/>
        <v>562558.99</v>
      </c>
      <c r="N190" s="253">
        <f t="shared" si="42"/>
        <v>0</v>
      </c>
      <c r="O190" s="259">
        <v>2</v>
      </c>
    </row>
    <row r="191" spans="1:15" x14ac:dyDescent="0.2">
      <c r="A191" s="257" t="s">
        <v>877</v>
      </c>
      <c r="B191" s="320">
        <v>417</v>
      </c>
      <c r="C191" s="321">
        <v>4863125</v>
      </c>
      <c r="D191" s="322" t="s">
        <v>878</v>
      </c>
      <c r="E191" s="294">
        <v>1141486.42</v>
      </c>
      <c r="F191" s="252" t="str">
        <f t="shared" si="37"/>
        <v>GRSM</v>
      </c>
      <c r="G191" s="253">
        <f t="shared" si="38"/>
        <v>0</v>
      </c>
      <c r="H191" s="254">
        <v>0</v>
      </c>
      <c r="I191" s="254">
        <f t="shared" si="39"/>
        <v>0</v>
      </c>
      <c r="J191" s="253">
        <f t="shared" si="40"/>
        <v>1141486.42</v>
      </c>
      <c r="K191" s="254" t="s">
        <v>494</v>
      </c>
      <c r="L191" s="251">
        <v>203026.86</v>
      </c>
      <c r="M191" s="323">
        <f t="shared" si="41"/>
        <v>938459.55999999994</v>
      </c>
      <c r="N191" s="253">
        <f t="shared" si="42"/>
        <v>0</v>
      </c>
      <c r="O191" s="259">
        <v>2</v>
      </c>
    </row>
    <row r="192" spans="1:15" x14ac:dyDescent="0.2">
      <c r="A192" s="257" t="s">
        <v>879</v>
      </c>
      <c r="B192" s="320">
        <v>417</v>
      </c>
      <c r="C192" s="321">
        <v>4864120</v>
      </c>
      <c r="D192" s="322" t="s">
        <v>880</v>
      </c>
      <c r="E192" s="294">
        <v>2657.97</v>
      </c>
      <c r="F192" s="252" t="str">
        <f t="shared" si="37"/>
        <v>GRSM</v>
      </c>
      <c r="G192" s="253">
        <f t="shared" si="38"/>
        <v>0</v>
      </c>
      <c r="H192" s="254">
        <v>0</v>
      </c>
      <c r="I192" s="254">
        <f t="shared" si="39"/>
        <v>0</v>
      </c>
      <c r="J192" s="253">
        <f t="shared" si="40"/>
        <v>2657.97</v>
      </c>
      <c r="K192" s="254" t="s">
        <v>271</v>
      </c>
      <c r="L192" s="251"/>
      <c r="M192" s="323">
        <f t="shared" si="41"/>
        <v>2657.97</v>
      </c>
      <c r="N192" s="253">
        <f t="shared" si="42"/>
        <v>0</v>
      </c>
      <c r="O192" s="259">
        <v>2</v>
      </c>
    </row>
    <row r="193" spans="1:15" x14ac:dyDescent="0.2">
      <c r="A193" s="261"/>
      <c r="B193" s="309"/>
      <c r="C193" s="324"/>
      <c r="D193" s="264"/>
      <c r="E193" s="325"/>
      <c r="F193" s="326"/>
      <c r="G193" s="251"/>
      <c r="H193" s="266"/>
      <c r="I193" s="266"/>
      <c r="J193" s="251"/>
      <c r="K193" s="266"/>
      <c r="L193" s="251"/>
      <c r="M193" s="251"/>
      <c r="N193" s="251"/>
      <c r="O193" s="267"/>
    </row>
    <row r="194" spans="1:15" x14ac:dyDescent="0.2">
      <c r="A194" s="261"/>
      <c r="B194" s="309"/>
      <c r="C194" s="324"/>
      <c r="D194" s="264"/>
      <c r="E194" s="325"/>
      <c r="F194" s="326"/>
      <c r="G194" s="251"/>
      <c r="H194" s="266"/>
      <c r="I194" s="266"/>
      <c r="J194" s="251"/>
      <c r="K194" s="266"/>
      <c r="L194" s="251"/>
      <c r="M194" s="251"/>
      <c r="N194" s="251"/>
      <c r="O194" s="267"/>
    </row>
    <row r="195" spans="1:15" x14ac:dyDescent="0.2">
      <c r="A195" s="257">
        <v>25</v>
      </c>
      <c r="B195" s="525" t="s">
        <v>881</v>
      </c>
      <c r="C195" s="526"/>
      <c r="D195" s="527"/>
      <c r="E195" s="268">
        <f>SUM(E178:E194)</f>
        <v>61521832.450000003</v>
      </c>
      <c r="F195" s="269"/>
      <c r="G195" s="268">
        <f>SUM(G178:G194)</f>
        <v>0</v>
      </c>
      <c r="H195" s="271">
        <f>SUM(H178:H194)</f>
        <v>0</v>
      </c>
      <c r="I195" s="271">
        <f>SUM(I178:I194)</f>
        <v>0</v>
      </c>
      <c r="J195" s="268">
        <f>SUM(J178:J194)</f>
        <v>61521832.450000003</v>
      </c>
      <c r="K195" s="272"/>
      <c r="L195" s="268">
        <f>SUM(L178:L194)</f>
        <v>11773816.549999999</v>
      </c>
      <c r="M195" s="268">
        <f>SUM(M178:M194)</f>
        <v>49748015.900000013</v>
      </c>
      <c r="N195" s="268">
        <f>SUM(N178:N194)</f>
        <v>0</v>
      </c>
      <c r="O195" s="233"/>
    </row>
    <row r="196" spans="1:15" x14ac:dyDescent="0.2">
      <c r="A196" s="257">
        <v>26</v>
      </c>
      <c r="B196" s="525" t="s">
        <v>882</v>
      </c>
      <c r="C196" s="526"/>
      <c r="D196" s="527"/>
      <c r="E196" s="273">
        <v>7714253</v>
      </c>
      <c r="F196" s="275"/>
      <c r="G196" s="308"/>
      <c r="H196" s="307"/>
      <c r="I196" s="307"/>
      <c r="J196" s="308"/>
      <c r="K196" s="307"/>
      <c r="L196" s="308"/>
      <c r="M196" s="308"/>
      <c r="N196" s="308"/>
      <c r="O196" s="276"/>
    </row>
    <row r="197" spans="1:15" ht="25.5" customHeight="1" x14ac:dyDescent="0.2">
      <c r="A197" s="257">
        <v>27</v>
      </c>
      <c r="B197" s="535" t="s">
        <v>883</v>
      </c>
      <c r="C197" s="536"/>
      <c r="D197" s="537"/>
      <c r="E197" s="273">
        <v>69236085</v>
      </c>
      <c r="F197" s="327" t="s">
        <v>416</v>
      </c>
    </row>
    <row r="198" spans="1:15" x14ac:dyDescent="0.2">
      <c r="A198" s="287"/>
      <c r="E198" s="333"/>
    </row>
    <row r="199" spans="1:15" x14ac:dyDescent="0.2">
      <c r="B199" s="334" t="s">
        <v>884</v>
      </c>
      <c r="E199" s="333"/>
    </row>
    <row r="200" spans="1:15" x14ac:dyDescent="0.2">
      <c r="A200" s="256" t="s">
        <v>885</v>
      </c>
      <c r="B200" s="523">
        <v>418.1</v>
      </c>
      <c r="C200" s="524"/>
      <c r="D200" s="322" t="s">
        <v>886</v>
      </c>
      <c r="E200" s="294">
        <v>24500</v>
      </c>
      <c r="F200" s="252" t="str">
        <f>$J$2</f>
        <v>GRSM</v>
      </c>
      <c r="G200" s="253">
        <f t="shared" ref="G200:G205" si="43">IF(F200=$G$2,E200,0)</f>
        <v>0</v>
      </c>
      <c r="H200" s="254">
        <v>0</v>
      </c>
      <c r="I200" s="254">
        <f t="shared" ref="I200:I205" si="44">G200-H200</f>
        <v>0</v>
      </c>
      <c r="J200" s="253">
        <f>IF(F200=$J$2,E200,0)</f>
        <v>24500</v>
      </c>
      <c r="K200" s="281" t="s">
        <v>271</v>
      </c>
      <c r="L200" s="251">
        <v>0</v>
      </c>
      <c r="M200" s="255">
        <f t="shared" ref="M200:M205" si="45">J200-L200</f>
        <v>24500</v>
      </c>
      <c r="N200" s="253">
        <f t="shared" ref="N200:N205" si="46">IF(F200=$N$2,E200,0)</f>
        <v>0</v>
      </c>
      <c r="O200" s="259" t="s">
        <v>887</v>
      </c>
    </row>
    <row r="201" spans="1:15" x14ac:dyDescent="0.2">
      <c r="A201" s="256" t="s">
        <v>888</v>
      </c>
      <c r="B201" s="523">
        <v>418.1</v>
      </c>
      <c r="C201" s="524"/>
      <c r="D201" s="322" t="s">
        <v>889</v>
      </c>
      <c r="E201" s="294">
        <v>0</v>
      </c>
      <c r="F201" s="252" t="str">
        <f>$J$2</f>
        <v>GRSM</v>
      </c>
      <c r="G201" s="253">
        <f t="shared" si="43"/>
        <v>0</v>
      </c>
      <c r="H201" s="254">
        <v>0</v>
      </c>
      <c r="I201" s="254">
        <f t="shared" si="44"/>
        <v>0</v>
      </c>
      <c r="J201" s="253">
        <f>IF(F201=$J$2,E201,0)</f>
        <v>0</v>
      </c>
      <c r="K201" s="281" t="s">
        <v>494</v>
      </c>
      <c r="L201" s="251">
        <v>0</v>
      </c>
      <c r="M201" s="255">
        <f t="shared" si="45"/>
        <v>0</v>
      </c>
      <c r="N201" s="253">
        <f t="shared" si="46"/>
        <v>0</v>
      </c>
      <c r="O201" s="259" t="s">
        <v>887</v>
      </c>
    </row>
    <row r="202" spans="1:15" x14ac:dyDescent="0.2">
      <c r="A202" s="256" t="s">
        <v>890</v>
      </c>
      <c r="B202" s="523">
        <v>418.1</v>
      </c>
      <c r="C202" s="524"/>
      <c r="D202" s="322" t="s">
        <v>891</v>
      </c>
      <c r="E202" s="294">
        <v>1891</v>
      </c>
      <c r="F202" s="252" t="str">
        <f>$J$2</f>
        <v>GRSM</v>
      </c>
      <c r="G202" s="253">
        <f t="shared" si="43"/>
        <v>0</v>
      </c>
      <c r="H202" s="254">
        <v>0</v>
      </c>
      <c r="I202" s="254">
        <f t="shared" si="44"/>
        <v>0</v>
      </c>
      <c r="J202" s="253">
        <f>IF(F202=$J$2,E202,0)</f>
        <v>1891</v>
      </c>
      <c r="K202" s="281" t="s">
        <v>494</v>
      </c>
      <c r="L202" s="251">
        <v>0</v>
      </c>
      <c r="M202" s="255">
        <f t="shared" si="45"/>
        <v>1891</v>
      </c>
      <c r="N202" s="253">
        <f t="shared" si="46"/>
        <v>0</v>
      </c>
      <c r="O202" s="259" t="s">
        <v>892</v>
      </c>
    </row>
    <row r="203" spans="1:15" x14ac:dyDescent="0.2">
      <c r="A203" s="256" t="s">
        <v>893</v>
      </c>
      <c r="B203" s="523">
        <v>418.1</v>
      </c>
      <c r="C203" s="524"/>
      <c r="D203" s="322" t="s">
        <v>894</v>
      </c>
      <c r="E203" s="294">
        <v>-713</v>
      </c>
      <c r="F203" s="252" t="str">
        <f>$G$2</f>
        <v>Traditional OOR</v>
      </c>
      <c r="G203" s="253">
        <f t="shared" si="43"/>
        <v>-713</v>
      </c>
      <c r="H203" s="254">
        <v>0</v>
      </c>
      <c r="I203" s="254">
        <f t="shared" si="44"/>
        <v>-713</v>
      </c>
      <c r="J203" s="253">
        <f>IF(F203=$J$2,E203,0)</f>
        <v>0</v>
      </c>
      <c r="K203" s="281"/>
      <c r="L203" s="251"/>
      <c r="M203" s="254">
        <f t="shared" si="45"/>
        <v>0</v>
      </c>
      <c r="N203" s="253">
        <f t="shared" si="46"/>
        <v>0</v>
      </c>
      <c r="O203" s="256">
        <v>13</v>
      </c>
    </row>
    <row r="204" spans="1:15" x14ac:dyDescent="0.2">
      <c r="A204" s="256" t="s">
        <v>895</v>
      </c>
      <c r="B204" s="523">
        <v>418.1</v>
      </c>
      <c r="C204" s="524"/>
      <c r="D204" s="322" t="s">
        <v>896</v>
      </c>
      <c r="E204" s="294">
        <v>0</v>
      </c>
      <c r="F204" s="252" t="str">
        <f>$G$2</f>
        <v>Traditional OOR</v>
      </c>
      <c r="G204" s="253">
        <f t="shared" si="43"/>
        <v>0</v>
      </c>
      <c r="H204" s="254">
        <v>0</v>
      </c>
      <c r="I204" s="254">
        <f t="shared" si="44"/>
        <v>0</v>
      </c>
      <c r="J204" s="253">
        <f>IF(F204=$J$2,E204,0)</f>
        <v>0</v>
      </c>
      <c r="K204" s="281"/>
      <c r="L204" s="251"/>
      <c r="M204" s="254">
        <f t="shared" si="45"/>
        <v>0</v>
      </c>
      <c r="N204" s="253">
        <f t="shared" si="46"/>
        <v>0</v>
      </c>
      <c r="O204" s="256">
        <v>14</v>
      </c>
    </row>
    <row r="205" spans="1:15" x14ac:dyDescent="0.2">
      <c r="A205" s="256" t="s">
        <v>897</v>
      </c>
      <c r="B205" s="335">
        <v>418.1</v>
      </c>
      <c r="C205" s="336"/>
      <c r="D205" s="322" t="s">
        <v>898</v>
      </c>
      <c r="E205" s="294">
        <v>-1738601.4</v>
      </c>
      <c r="F205" s="252" t="str">
        <f>$G$2</f>
        <v>Traditional OOR</v>
      </c>
      <c r="G205" s="253">
        <f t="shared" si="43"/>
        <v>-1738601.4</v>
      </c>
      <c r="H205" s="254">
        <f>E205*$D$246</f>
        <v>-102907.81686599999</v>
      </c>
      <c r="I205" s="254">
        <f t="shared" si="44"/>
        <v>-1635693.583134</v>
      </c>
      <c r="J205" s="253">
        <v>0</v>
      </c>
      <c r="K205" s="281"/>
      <c r="L205" s="251"/>
      <c r="M205" s="254">
        <f t="shared" si="45"/>
        <v>0</v>
      </c>
      <c r="N205" s="253">
        <f t="shared" si="46"/>
        <v>0</v>
      </c>
      <c r="O205" s="256" t="s">
        <v>899</v>
      </c>
    </row>
    <row r="206" spans="1:15" x14ac:dyDescent="0.2">
      <c r="A206" s="267"/>
      <c r="B206" s="337"/>
      <c r="C206" s="338"/>
      <c r="D206" s="339"/>
      <c r="E206" s="294"/>
      <c r="F206" s="285"/>
      <c r="G206" s="251"/>
      <c r="H206" s="266"/>
      <c r="I206" s="266"/>
      <c r="J206" s="251"/>
      <c r="K206" s="294"/>
      <c r="L206" s="251"/>
      <c r="M206" s="266"/>
      <c r="N206" s="251"/>
      <c r="O206" s="267"/>
    </row>
    <row r="207" spans="1:15" x14ac:dyDescent="0.2">
      <c r="A207" s="267"/>
      <c r="B207" s="337"/>
      <c r="C207" s="338"/>
      <c r="D207" s="339"/>
      <c r="E207" s="294"/>
      <c r="F207" s="285"/>
      <c r="G207" s="251"/>
      <c r="H207" s="266"/>
      <c r="I207" s="266"/>
      <c r="J207" s="251"/>
      <c r="K207" s="294"/>
      <c r="L207" s="251"/>
      <c r="M207" s="266"/>
      <c r="N207" s="251"/>
      <c r="O207" s="267"/>
    </row>
    <row r="208" spans="1:15" x14ac:dyDescent="0.2">
      <c r="A208" s="259">
        <v>29</v>
      </c>
      <c r="B208" s="525" t="s">
        <v>900</v>
      </c>
      <c r="C208" s="526"/>
      <c r="D208" s="527"/>
      <c r="E208" s="340">
        <f>SUM(E200:E207)</f>
        <v>-1712923.4</v>
      </c>
      <c r="F208" s="341"/>
      <c r="G208" s="342">
        <f>SUM(G200:G207)</f>
        <v>-1739314.4</v>
      </c>
      <c r="H208" s="342">
        <f>SUM(H200:H207)</f>
        <v>-102907.81686599999</v>
      </c>
      <c r="I208" s="342">
        <f>SUM(I200:I207)</f>
        <v>-1636406.583134</v>
      </c>
      <c r="J208" s="340">
        <f>SUM(J200:J207)</f>
        <v>26391</v>
      </c>
      <c r="K208" s="343"/>
      <c r="L208" s="340">
        <f>SUM(L200:L207)</f>
        <v>0</v>
      </c>
      <c r="M208" s="340">
        <f>SUM(M200:M207)</f>
        <v>26391</v>
      </c>
      <c r="N208" s="340">
        <f>SUM(N200:N207)</f>
        <v>0</v>
      </c>
      <c r="O208" s="233"/>
    </row>
    <row r="209" spans="1:15" x14ac:dyDescent="0.2">
      <c r="A209" s="259">
        <v>30</v>
      </c>
      <c r="B209" s="525" t="s">
        <v>901</v>
      </c>
      <c r="C209" s="528"/>
      <c r="D209" s="529"/>
      <c r="E209" s="344">
        <f>E210-E208</f>
        <v>1864004.4</v>
      </c>
      <c r="F209" s="345"/>
      <c r="G209" s="345"/>
      <c r="H209" s="345"/>
      <c r="I209" s="345"/>
      <c r="J209" s="346"/>
      <c r="K209" s="345"/>
      <c r="L209" s="346"/>
      <c r="M209" s="346"/>
      <c r="N209" s="346"/>
      <c r="O209" s="276"/>
    </row>
    <row r="210" spans="1:15" ht="25.5" customHeight="1" x14ac:dyDescent="0.2">
      <c r="A210" s="259">
        <v>31</v>
      </c>
      <c r="B210" s="530" t="s">
        <v>902</v>
      </c>
      <c r="C210" s="531"/>
      <c r="D210" s="531"/>
      <c r="E210" s="344">
        <v>151081</v>
      </c>
      <c r="F210" s="345"/>
      <c r="G210" s="345"/>
      <c r="H210" s="345"/>
      <c r="I210" s="345"/>
      <c r="J210" s="346"/>
      <c r="K210" s="345"/>
      <c r="L210" s="346"/>
      <c r="M210" s="346"/>
      <c r="N210" s="346"/>
      <c r="O210" s="276"/>
    </row>
    <row r="211" spans="1:15" x14ac:dyDescent="0.2">
      <c r="A211" s="287"/>
      <c r="E211" s="333"/>
    </row>
    <row r="212" spans="1:15" x14ac:dyDescent="0.2">
      <c r="A212" s="259">
        <v>32</v>
      </c>
      <c r="B212" s="347"/>
      <c r="C212" s="348"/>
      <c r="D212" s="349" t="s">
        <v>903</v>
      </c>
      <c r="E212" s="350">
        <f>E9+E31+E39+E70+E136+E164+E169+E174+E195+E208</f>
        <v>724794479.88</v>
      </c>
      <c r="F212" s="351"/>
      <c r="G212" s="350">
        <f>G9+G31+G39+G70+G136+G164+G169+G174+G195+G208</f>
        <v>198169016.32888547</v>
      </c>
      <c r="H212" s="352">
        <f>H9+H31+H39+H70+H136+H164+H169+H174+H195+H208</f>
        <v>45956284.862019494</v>
      </c>
      <c r="I212" s="352">
        <f>I9+I31+I39+I70+I136+I164+I169+I174+I195+I208</f>
        <v>152212731.46686599</v>
      </c>
      <c r="J212" s="350">
        <f>J9+J31+J39+J70+J136+J164+J169+J174+J195+J208</f>
        <v>84670553.5</v>
      </c>
      <c r="K212" s="353"/>
      <c r="L212" s="350">
        <f>L9+L31+L39+L70+L136+L164+L169+L174+L195+L208</f>
        <v>16671388.93</v>
      </c>
      <c r="M212" s="350">
        <f>M9+M31+M39+M70+M136+M164+M169+M174+M195+M208</f>
        <v>67999164.570000008</v>
      </c>
      <c r="N212" s="350">
        <f>N9+N31+N39+N70+N136+N164+N169+N174+N195+N208</f>
        <v>441954910.0511145</v>
      </c>
      <c r="O212" s="233"/>
    </row>
    <row r="213" spans="1:15" x14ac:dyDescent="0.2">
      <c r="A213" s="354"/>
      <c r="B213" s="355"/>
      <c r="C213" s="354"/>
      <c r="E213" s="287"/>
      <c r="F213" s="287"/>
      <c r="G213" s="356"/>
      <c r="J213" s="357"/>
      <c r="K213" s="358"/>
      <c r="N213" s="356"/>
    </row>
    <row r="214" spans="1:15" x14ac:dyDescent="0.2">
      <c r="A214" s="354"/>
      <c r="B214" s="355"/>
      <c r="C214" s="354"/>
      <c r="E214" s="287"/>
      <c r="F214" s="287" t="s">
        <v>37</v>
      </c>
      <c r="J214" s="357"/>
      <c r="K214" s="358"/>
      <c r="N214" s="356"/>
    </row>
    <row r="215" spans="1:15" x14ac:dyDescent="0.2">
      <c r="A215" s="259">
        <v>33</v>
      </c>
      <c r="B215" s="359"/>
      <c r="C215" s="359"/>
      <c r="D215" s="360" t="s">
        <v>904</v>
      </c>
      <c r="E215" s="281">
        <f>L212</f>
        <v>16671388.93</v>
      </c>
      <c r="F215" s="361" t="s">
        <v>905</v>
      </c>
      <c r="G215" s="356"/>
      <c r="N215" s="356"/>
    </row>
    <row r="216" spans="1:15" x14ac:dyDescent="0.2">
      <c r="A216" s="256">
        <v>34</v>
      </c>
      <c r="B216" s="359"/>
      <c r="C216" s="359"/>
      <c r="D216" s="360" t="s">
        <v>906</v>
      </c>
      <c r="E216" s="281">
        <f>E215*(5.425/16.671)</f>
        <v>5425126.5638084095</v>
      </c>
      <c r="F216" s="362" t="s">
        <v>907</v>
      </c>
      <c r="G216" s="358"/>
      <c r="N216" s="356"/>
    </row>
    <row r="217" spans="1:15" x14ac:dyDescent="0.2">
      <c r="A217" s="256">
        <v>35</v>
      </c>
      <c r="B217" s="359"/>
      <c r="C217" s="359"/>
      <c r="D217" s="363"/>
      <c r="E217" s="364"/>
      <c r="F217" s="365"/>
      <c r="G217" s="358"/>
      <c r="N217" s="356"/>
    </row>
    <row r="218" spans="1:15" x14ac:dyDescent="0.2">
      <c r="A218" s="256">
        <v>36</v>
      </c>
      <c r="B218" s="359"/>
      <c r="C218" s="359"/>
      <c r="D218" s="360" t="s">
        <v>908</v>
      </c>
      <c r="E218" s="281">
        <f>SUMIF(K4:K201,"=A",M4:M201)</f>
        <v>44760659.43</v>
      </c>
      <c r="F218" s="362" t="s">
        <v>909</v>
      </c>
      <c r="G218" s="358"/>
      <c r="N218" s="356"/>
    </row>
    <row r="219" spans="1:15" x14ac:dyDescent="0.2">
      <c r="A219" s="256">
        <v>37</v>
      </c>
      <c r="B219" s="236"/>
      <c r="C219" s="236"/>
      <c r="D219" s="360" t="s">
        <v>910</v>
      </c>
      <c r="E219" s="281">
        <f>0.1*E218</f>
        <v>4476065.943</v>
      </c>
      <c r="F219" s="200" t="str">
        <f>"= Line "&amp;A218&amp;"D * 10%"</f>
        <v>= Line 36D * 10%</v>
      </c>
      <c r="G219" s="229"/>
      <c r="H219" s="366"/>
      <c r="I219" s="367"/>
    </row>
    <row r="220" spans="1:15" x14ac:dyDescent="0.2">
      <c r="A220" s="256">
        <v>38</v>
      </c>
      <c r="B220" s="236"/>
      <c r="C220" s="236"/>
      <c r="D220" s="360" t="s">
        <v>911</v>
      </c>
      <c r="E220" s="281">
        <f>SUMIF(K4:K204,"=P",M4:M204)</f>
        <v>23238505.139999997</v>
      </c>
      <c r="F220" s="368" t="s">
        <v>912</v>
      </c>
      <c r="G220" s="229"/>
      <c r="H220" s="287"/>
      <c r="I220" s="367"/>
    </row>
    <row r="221" spans="1:15" x14ac:dyDescent="0.2">
      <c r="A221" s="256">
        <v>39</v>
      </c>
      <c r="B221" s="236"/>
      <c r="C221" s="236"/>
      <c r="D221" s="360" t="s">
        <v>913</v>
      </c>
      <c r="E221" s="281">
        <f>0.3*E220</f>
        <v>6971551.5419999985</v>
      </c>
      <c r="F221" s="200" t="str">
        <f>"= Line "&amp;A220&amp;"D * 30%"</f>
        <v>= Line 38D * 30%</v>
      </c>
      <c r="G221" s="229"/>
      <c r="H221" s="366"/>
      <c r="I221" s="367"/>
    </row>
    <row r="222" spans="1:15" x14ac:dyDescent="0.2">
      <c r="A222" s="256">
        <v>40</v>
      </c>
      <c r="B222" s="236"/>
      <c r="C222" s="236"/>
      <c r="D222" s="360" t="s">
        <v>914</v>
      </c>
      <c r="E222" s="281">
        <f>E219+E221</f>
        <v>11447617.484999999</v>
      </c>
      <c r="F222" s="200" t="str">
        <f>"= Line "&amp;A219&amp;"D + Line "&amp;A221&amp;"D"</f>
        <v>= Line 37D + Line 39D</v>
      </c>
      <c r="G222" s="330"/>
    </row>
    <row r="223" spans="1:15" x14ac:dyDescent="0.2">
      <c r="A223" s="256">
        <v>41</v>
      </c>
      <c r="B223" s="236"/>
      <c r="C223" s="236"/>
      <c r="D223" s="360" t="s">
        <v>915</v>
      </c>
      <c r="E223" s="369">
        <f>5.425/16.671</f>
        <v>0.32541539199808051</v>
      </c>
      <c r="F223" s="362" t="s">
        <v>916</v>
      </c>
      <c r="G223" s="330"/>
    </row>
    <row r="224" spans="1:15" x14ac:dyDescent="0.2">
      <c r="A224" s="256">
        <v>42</v>
      </c>
      <c r="B224" s="236"/>
      <c r="C224" s="236"/>
      <c r="D224" s="360" t="s">
        <v>917</v>
      </c>
      <c r="E224" s="281">
        <f>E222*E223</f>
        <v>3725230.9313253551</v>
      </c>
      <c r="F224" s="200" t="str">
        <f>"= Line "&amp;A222&amp;"D * Line "&amp;A223&amp;"D"</f>
        <v>= Line 40D * Line 41D</v>
      </c>
      <c r="G224" s="330"/>
    </row>
    <row r="225" spans="1:254" ht="12.75" customHeight="1" x14ac:dyDescent="0.2">
      <c r="A225" s="256">
        <v>43</v>
      </c>
      <c r="B225" s="236"/>
      <c r="C225" s="236"/>
      <c r="D225" s="370" t="s">
        <v>918</v>
      </c>
      <c r="E225" s="342">
        <f>E224+E216</f>
        <v>9150357.495133765</v>
      </c>
      <c r="F225" s="200" t="str">
        <f>"= Line "&amp;A216&amp;"D + Line "&amp;A224&amp;"D"</f>
        <v>= Line 34D + Line 42D</v>
      </c>
      <c r="G225" s="330"/>
    </row>
    <row r="226" spans="1:254" x14ac:dyDescent="0.2">
      <c r="A226" s="229"/>
      <c r="D226" s="330"/>
      <c r="E226" s="371"/>
      <c r="F226" s="362"/>
      <c r="G226" s="330"/>
    </row>
    <row r="227" spans="1:254" x14ac:dyDescent="0.2">
      <c r="A227" s="229"/>
      <c r="D227" s="372"/>
      <c r="E227" s="373" t="s">
        <v>32</v>
      </c>
      <c r="F227" s="373" t="s">
        <v>37</v>
      </c>
      <c r="G227" s="374"/>
      <c r="I227" s="332"/>
      <c r="J227" s="229"/>
      <c r="K227" s="332"/>
      <c r="L227" s="372"/>
      <c r="M227" s="373"/>
      <c r="N227" s="373"/>
      <c r="O227" s="374"/>
      <c r="P227" s="329"/>
      <c r="Q227" s="332"/>
      <c r="R227" s="372"/>
      <c r="S227" s="373"/>
      <c r="T227" s="373"/>
      <c r="U227" s="374"/>
      <c r="V227" s="329"/>
      <c r="W227" s="332"/>
      <c r="X227" s="229"/>
      <c r="Y227" s="332"/>
      <c r="Z227" s="372"/>
      <c r="AA227" s="373"/>
      <c r="AB227" s="373"/>
      <c r="AC227" s="374"/>
      <c r="AD227" s="329"/>
      <c r="AE227" s="332"/>
      <c r="AF227" s="229"/>
      <c r="AG227" s="332"/>
      <c r="AH227" s="372"/>
      <c r="AI227" s="373"/>
      <c r="AJ227" s="373"/>
      <c r="AK227" s="374"/>
      <c r="AL227" s="329"/>
      <c r="AM227" s="332"/>
      <c r="AN227" s="229"/>
      <c r="AO227" s="332"/>
      <c r="AP227" s="372"/>
      <c r="AQ227" s="373"/>
      <c r="AR227" s="373"/>
      <c r="AS227" s="374"/>
      <c r="AT227" s="329"/>
      <c r="AU227" s="332"/>
      <c r="AV227" s="229"/>
      <c r="AW227" s="332"/>
      <c r="AX227" s="372"/>
      <c r="AY227" s="373"/>
      <c r="AZ227" s="373"/>
      <c r="BA227" s="374"/>
      <c r="BB227" s="329"/>
      <c r="BC227" s="332"/>
      <c r="BD227" s="229"/>
      <c r="BE227" s="332"/>
      <c r="BF227" s="372"/>
      <c r="BG227" s="373"/>
      <c r="BH227" s="373"/>
      <c r="BI227" s="374"/>
      <c r="BJ227" s="329"/>
      <c r="BK227" s="332"/>
      <c r="BL227" s="229"/>
      <c r="BM227" s="332"/>
      <c r="BN227" s="372"/>
      <c r="BO227" s="373"/>
      <c r="BP227" s="373"/>
      <c r="BQ227" s="374"/>
      <c r="BR227" s="329"/>
      <c r="BS227" s="332"/>
      <c r="BT227" s="229"/>
      <c r="BU227" s="332"/>
      <c r="BV227" s="372"/>
      <c r="BW227" s="373"/>
      <c r="BX227" s="373"/>
      <c r="BY227" s="374"/>
      <c r="BZ227" s="329"/>
      <c r="CA227" s="332"/>
      <c r="CB227" s="229"/>
      <c r="CC227" s="332"/>
      <c r="CD227" s="372"/>
      <c r="CE227" s="373"/>
      <c r="CF227" s="373"/>
      <c r="CG227" s="374"/>
      <c r="CH227" s="329"/>
      <c r="CI227" s="332"/>
      <c r="CJ227" s="229"/>
      <c r="CK227" s="332"/>
      <c r="CL227" s="372"/>
      <c r="CM227" s="373"/>
      <c r="CN227" s="373"/>
      <c r="CO227" s="374"/>
      <c r="CP227" s="329"/>
      <c r="CQ227" s="332"/>
      <c r="CR227" s="229"/>
      <c r="CS227" s="332"/>
      <c r="CT227" s="372"/>
      <c r="CU227" s="373"/>
      <c r="CV227" s="373"/>
      <c r="CW227" s="374"/>
      <c r="CX227" s="329"/>
      <c r="CY227" s="332"/>
      <c r="CZ227" s="229"/>
      <c r="DA227" s="332"/>
      <c r="DB227" s="372"/>
      <c r="DC227" s="373"/>
      <c r="DD227" s="373"/>
      <c r="DE227" s="374"/>
      <c r="DF227" s="329"/>
      <c r="DG227" s="332"/>
      <c r="DH227" s="229"/>
      <c r="DI227" s="332"/>
      <c r="DJ227" s="372"/>
      <c r="DK227" s="373"/>
      <c r="DL227" s="373"/>
      <c r="DM227" s="374"/>
      <c r="DN227" s="329"/>
      <c r="DO227" s="332"/>
      <c r="DP227" s="229"/>
      <c r="DQ227" s="332"/>
      <c r="DR227" s="372"/>
      <c r="DS227" s="373"/>
      <c r="DT227" s="373"/>
      <c r="DU227" s="374"/>
      <c r="DV227" s="329"/>
      <c r="DW227" s="332"/>
      <c r="DX227" s="229"/>
      <c r="DY227" s="332"/>
      <c r="DZ227" s="372"/>
      <c r="EA227" s="373"/>
      <c r="EB227" s="373"/>
      <c r="EC227" s="374"/>
      <c r="ED227" s="329"/>
      <c r="EE227" s="332"/>
      <c r="EF227" s="229"/>
      <c r="EG227" s="332"/>
      <c r="EH227" s="372"/>
      <c r="EI227" s="373"/>
      <c r="EJ227" s="373"/>
      <c r="EK227" s="374"/>
      <c r="EL227" s="329"/>
      <c r="EM227" s="332"/>
      <c r="EN227" s="229"/>
      <c r="EO227" s="332"/>
      <c r="EP227" s="372"/>
      <c r="EQ227" s="373"/>
      <c r="ER227" s="373"/>
      <c r="ES227" s="374"/>
      <c r="ET227" s="329"/>
      <c r="EU227" s="332"/>
      <c r="EV227" s="229"/>
      <c r="EW227" s="332"/>
      <c r="EX227" s="372"/>
      <c r="EY227" s="373"/>
      <c r="EZ227" s="373"/>
      <c r="FA227" s="374"/>
      <c r="FB227" s="329"/>
      <c r="FC227" s="332"/>
      <c r="FD227" s="229"/>
      <c r="FE227" s="332"/>
      <c r="FF227" s="372"/>
      <c r="FG227" s="373"/>
      <c r="FH227" s="373"/>
      <c r="FI227" s="374"/>
      <c r="FJ227" s="329"/>
      <c r="FK227" s="332"/>
      <c r="FL227" s="229"/>
      <c r="FM227" s="332"/>
      <c r="FN227" s="372"/>
      <c r="FO227" s="373"/>
      <c r="FP227" s="373"/>
      <c r="FQ227" s="374"/>
      <c r="FR227" s="329"/>
      <c r="FS227" s="332"/>
      <c r="FT227" s="229"/>
      <c r="FU227" s="332"/>
      <c r="FV227" s="372"/>
      <c r="FW227" s="373"/>
      <c r="FX227" s="373"/>
      <c r="FY227" s="374"/>
      <c r="FZ227" s="329"/>
      <c r="GA227" s="332"/>
      <c r="GB227" s="229"/>
      <c r="GC227" s="332"/>
      <c r="GD227" s="372"/>
      <c r="GE227" s="373"/>
      <c r="GF227" s="373"/>
      <c r="GG227" s="374"/>
      <c r="GH227" s="329"/>
      <c r="GI227" s="332"/>
      <c r="GJ227" s="229"/>
      <c r="GK227" s="332"/>
      <c r="GL227" s="372"/>
      <c r="GM227" s="373"/>
      <c r="GN227" s="373"/>
      <c r="GO227" s="374"/>
      <c r="GP227" s="329"/>
      <c r="GQ227" s="332"/>
      <c r="GR227" s="229"/>
      <c r="GS227" s="332"/>
      <c r="GT227" s="372"/>
      <c r="GU227" s="373"/>
      <c r="GV227" s="373"/>
      <c r="GW227" s="374"/>
      <c r="GX227" s="329"/>
      <c r="GY227" s="332"/>
      <c r="GZ227" s="229"/>
      <c r="HA227" s="332"/>
      <c r="HB227" s="372"/>
      <c r="HC227" s="373"/>
      <c r="HD227" s="373"/>
      <c r="HE227" s="374"/>
      <c r="HF227" s="329"/>
      <c r="HG227" s="332"/>
      <c r="HH227" s="229"/>
      <c r="HI227" s="332"/>
      <c r="HJ227" s="372"/>
      <c r="HK227" s="373"/>
      <c r="HL227" s="373"/>
      <c r="HM227" s="374"/>
      <c r="HN227" s="329"/>
      <c r="HO227" s="332"/>
      <c r="HP227" s="229"/>
      <c r="HQ227" s="332"/>
      <c r="HR227" s="372"/>
      <c r="HS227" s="373"/>
      <c r="HT227" s="373"/>
      <c r="HU227" s="374"/>
      <c r="HV227" s="329"/>
      <c r="HW227" s="332"/>
      <c r="HX227" s="229"/>
      <c r="HY227" s="332"/>
      <c r="HZ227" s="372"/>
      <c r="IA227" s="373"/>
      <c r="IB227" s="373"/>
      <c r="IC227" s="374"/>
      <c r="ID227" s="329"/>
      <c r="IE227" s="332"/>
      <c r="IF227" s="229"/>
      <c r="IG227" s="332"/>
      <c r="IH227" s="372"/>
      <c r="II227" s="373"/>
      <c r="IJ227" s="373"/>
      <c r="IK227" s="374"/>
      <c r="IL227" s="329"/>
      <c r="IM227" s="332"/>
      <c r="IN227" s="229"/>
      <c r="IO227" s="332"/>
      <c r="IP227" s="372"/>
      <c r="IQ227" s="373"/>
      <c r="IR227" s="373"/>
      <c r="IS227" s="374"/>
      <c r="IT227" s="329"/>
    </row>
    <row r="228" spans="1:254" x14ac:dyDescent="0.2">
      <c r="A228" s="256">
        <v>44</v>
      </c>
      <c r="B228" s="334" t="s">
        <v>919</v>
      </c>
      <c r="D228" s="372"/>
      <c r="E228" s="375">
        <f>H212+E225</f>
        <v>55106642.357153259</v>
      </c>
      <c r="F228" s="376" t="s">
        <v>920</v>
      </c>
      <c r="G228" s="374"/>
      <c r="J228" s="334"/>
      <c r="K228" s="332"/>
      <c r="L228" s="372"/>
      <c r="M228" s="377"/>
      <c r="N228" s="376"/>
      <c r="O228" s="374"/>
      <c r="P228" s="329"/>
      <c r="Q228" s="332"/>
      <c r="R228" s="372"/>
      <c r="S228" s="377"/>
      <c r="T228" s="376"/>
      <c r="U228" s="374"/>
      <c r="V228" s="329"/>
      <c r="W228" s="287"/>
      <c r="X228" s="334"/>
      <c r="Y228" s="332"/>
      <c r="Z228" s="372"/>
      <c r="AA228" s="377"/>
      <c r="AB228" s="376"/>
      <c r="AC228" s="374"/>
      <c r="AD228" s="329"/>
      <c r="AE228" s="287"/>
      <c r="AF228" s="334"/>
      <c r="AG228" s="332"/>
      <c r="AH228" s="372"/>
      <c r="AI228" s="377"/>
      <c r="AJ228" s="376"/>
      <c r="AK228" s="374"/>
      <c r="AL228" s="329"/>
      <c r="AM228" s="259"/>
      <c r="AN228" s="334"/>
      <c r="AO228" s="332"/>
      <c r="AP228" s="372"/>
      <c r="AQ228" s="377"/>
      <c r="AR228" s="376"/>
      <c r="AS228" s="374"/>
      <c r="AT228" s="329"/>
      <c r="AU228" s="259"/>
      <c r="AV228" s="334"/>
      <c r="AW228" s="332"/>
      <c r="AX228" s="372"/>
      <c r="AY228" s="377"/>
      <c r="AZ228" s="376"/>
      <c r="BA228" s="374"/>
      <c r="BB228" s="329"/>
      <c r="BC228" s="259"/>
      <c r="BD228" s="334"/>
      <c r="BE228" s="332"/>
      <c r="BF228" s="372"/>
      <c r="BG228" s="377"/>
      <c r="BH228" s="376"/>
      <c r="BI228" s="374"/>
      <c r="BJ228" s="329"/>
      <c r="BK228" s="259"/>
      <c r="BL228" s="334"/>
      <c r="BM228" s="332"/>
      <c r="BN228" s="372"/>
      <c r="BO228" s="377"/>
      <c r="BP228" s="376"/>
      <c r="BQ228" s="374"/>
      <c r="BR228" s="329"/>
      <c r="BS228" s="259"/>
      <c r="BT228" s="334"/>
      <c r="BU228" s="332"/>
      <c r="BV228" s="372"/>
      <c r="BW228" s="377"/>
      <c r="BX228" s="376"/>
      <c r="BY228" s="374"/>
      <c r="BZ228" s="329"/>
      <c r="CA228" s="259"/>
      <c r="CB228" s="334"/>
      <c r="CC228" s="332"/>
      <c r="CD228" s="372"/>
      <c r="CE228" s="377"/>
      <c r="CF228" s="376"/>
      <c r="CG228" s="374"/>
      <c r="CH228" s="329"/>
      <c r="CI228" s="259"/>
      <c r="CJ228" s="334"/>
      <c r="CK228" s="332"/>
      <c r="CL228" s="372"/>
      <c r="CM228" s="377"/>
      <c r="CN228" s="376"/>
      <c r="CO228" s="374"/>
      <c r="CP228" s="329"/>
      <c r="CQ228" s="259"/>
      <c r="CR228" s="334"/>
      <c r="CS228" s="332"/>
      <c r="CT228" s="372"/>
      <c r="CU228" s="377"/>
      <c r="CV228" s="376"/>
      <c r="CW228" s="374"/>
      <c r="CX228" s="329"/>
      <c r="CY228" s="259"/>
      <c r="CZ228" s="334"/>
      <c r="DA228" s="332"/>
      <c r="DB228" s="372"/>
      <c r="DC228" s="377"/>
      <c r="DD228" s="376"/>
      <c r="DE228" s="374"/>
      <c r="DF228" s="329"/>
      <c r="DG228" s="259"/>
      <c r="DH228" s="334"/>
      <c r="DI228" s="332"/>
      <c r="DJ228" s="372"/>
      <c r="DK228" s="377"/>
      <c r="DL228" s="376"/>
      <c r="DM228" s="374"/>
      <c r="DN228" s="329"/>
      <c r="DO228" s="259"/>
      <c r="DP228" s="334"/>
      <c r="DQ228" s="332"/>
      <c r="DR228" s="372"/>
      <c r="DS228" s="377"/>
      <c r="DT228" s="376"/>
      <c r="DU228" s="374"/>
      <c r="DV228" s="329"/>
      <c r="DW228" s="259"/>
      <c r="DX228" s="334"/>
      <c r="DY228" s="332"/>
      <c r="DZ228" s="372"/>
      <c r="EA228" s="377"/>
      <c r="EB228" s="376"/>
      <c r="EC228" s="374"/>
      <c r="ED228" s="329"/>
      <c r="EE228" s="259"/>
      <c r="EF228" s="334"/>
      <c r="EG228" s="332"/>
      <c r="EH228" s="372"/>
      <c r="EI228" s="377"/>
      <c r="EJ228" s="376"/>
      <c r="EK228" s="374"/>
      <c r="EL228" s="329"/>
      <c r="EM228" s="259"/>
      <c r="EN228" s="334"/>
      <c r="EO228" s="332"/>
      <c r="EP228" s="372"/>
      <c r="EQ228" s="377"/>
      <c r="ER228" s="376"/>
      <c r="ES228" s="374"/>
      <c r="ET228" s="329"/>
      <c r="EU228" s="259"/>
      <c r="EV228" s="334"/>
      <c r="EW228" s="332"/>
      <c r="EX228" s="372"/>
      <c r="EY228" s="377"/>
      <c r="EZ228" s="376"/>
      <c r="FA228" s="374"/>
      <c r="FB228" s="329"/>
      <c r="FC228" s="259"/>
      <c r="FD228" s="334"/>
      <c r="FE228" s="332"/>
      <c r="FF228" s="372"/>
      <c r="FG228" s="377"/>
      <c r="FH228" s="376"/>
      <c r="FI228" s="374"/>
      <c r="FJ228" s="329"/>
      <c r="FK228" s="259"/>
      <c r="FL228" s="334"/>
      <c r="FM228" s="332"/>
      <c r="FN228" s="372"/>
      <c r="FO228" s="377"/>
      <c r="FP228" s="376"/>
      <c r="FQ228" s="374"/>
      <c r="FR228" s="329"/>
      <c r="FS228" s="259"/>
      <c r="FT228" s="334"/>
      <c r="FU228" s="332"/>
      <c r="FV228" s="372"/>
      <c r="FW228" s="377"/>
      <c r="FX228" s="376"/>
      <c r="FY228" s="374"/>
      <c r="FZ228" s="329"/>
      <c r="GA228" s="259"/>
      <c r="GB228" s="334"/>
      <c r="GC228" s="332"/>
      <c r="GD228" s="372"/>
      <c r="GE228" s="377"/>
      <c r="GF228" s="376"/>
      <c r="GG228" s="374"/>
      <c r="GH228" s="329"/>
      <c r="GI228" s="259"/>
      <c r="GJ228" s="334"/>
      <c r="GK228" s="332"/>
      <c r="GL228" s="372"/>
      <c r="GM228" s="377"/>
      <c r="GN228" s="376"/>
      <c r="GO228" s="374"/>
      <c r="GP228" s="329"/>
      <c r="GQ228" s="259"/>
      <c r="GR228" s="334"/>
      <c r="GS228" s="332"/>
      <c r="GT228" s="372"/>
      <c r="GU228" s="377"/>
      <c r="GV228" s="376"/>
      <c r="GW228" s="374"/>
      <c r="GX228" s="329"/>
      <c r="GY228" s="259"/>
      <c r="GZ228" s="334"/>
      <c r="HA228" s="332"/>
      <c r="HB228" s="372"/>
      <c r="HC228" s="377"/>
      <c r="HD228" s="376"/>
      <c r="HE228" s="374"/>
      <c r="HF228" s="329"/>
      <c r="HG228" s="259"/>
      <c r="HH228" s="334"/>
      <c r="HI228" s="332"/>
      <c r="HJ228" s="372"/>
      <c r="HK228" s="377"/>
      <c r="HL228" s="376"/>
      <c r="HM228" s="374"/>
      <c r="HN228" s="329"/>
      <c r="HO228" s="259"/>
      <c r="HP228" s="334"/>
      <c r="HQ228" s="332"/>
      <c r="HR228" s="372"/>
      <c r="HS228" s="377"/>
      <c r="HT228" s="376"/>
      <c r="HU228" s="374"/>
      <c r="HV228" s="329"/>
      <c r="HW228" s="259"/>
      <c r="HX228" s="334"/>
      <c r="HY228" s="332"/>
      <c r="HZ228" s="372"/>
      <c r="IA228" s="377"/>
      <c r="IB228" s="376"/>
      <c r="IC228" s="374"/>
      <c r="ID228" s="329"/>
      <c r="IE228" s="259"/>
      <c r="IF228" s="334"/>
      <c r="IG228" s="332"/>
      <c r="IH228" s="372"/>
      <c r="II228" s="377"/>
      <c r="IJ228" s="376"/>
      <c r="IK228" s="374"/>
      <c r="IL228" s="329"/>
      <c r="IM228" s="259"/>
      <c r="IN228" s="334"/>
      <c r="IO228" s="332"/>
      <c r="IP228" s="372"/>
      <c r="IQ228" s="377"/>
      <c r="IR228" s="376"/>
      <c r="IS228" s="374"/>
      <c r="IT228" s="329"/>
    </row>
    <row r="229" spans="1:254" x14ac:dyDescent="0.2">
      <c r="D229" s="330"/>
      <c r="E229" s="331"/>
      <c r="F229" s="361"/>
    </row>
    <row r="231" spans="1:254" x14ac:dyDescent="0.2">
      <c r="A231" s="332" t="s">
        <v>278</v>
      </c>
    </row>
    <row r="232" spans="1:254" ht="12.75" customHeight="1" x14ac:dyDescent="0.2">
      <c r="A232" s="378" t="s">
        <v>921</v>
      </c>
      <c r="B232" s="532" t="s">
        <v>922</v>
      </c>
      <c r="C232" s="533"/>
      <c r="D232" s="533"/>
    </row>
    <row r="233" spans="1:254" ht="77.25" customHeight="1" x14ac:dyDescent="0.2">
      <c r="A233" s="378" t="s">
        <v>923</v>
      </c>
      <c r="B233" s="517" t="s">
        <v>924</v>
      </c>
      <c r="C233" s="519"/>
      <c r="D233" s="519"/>
      <c r="E233" s="521"/>
      <c r="F233" s="521"/>
    </row>
    <row r="234" spans="1:254" ht="12.75" customHeight="1" x14ac:dyDescent="0.2">
      <c r="A234" s="378" t="s">
        <v>925</v>
      </c>
      <c r="B234" s="517" t="s">
        <v>926</v>
      </c>
      <c r="C234" s="518"/>
      <c r="D234" s="518"/>
      <c r="E234" s="522"/>
      <c r="F234" s="522"/>
    </row>
    <row r="235" spans="1:254" ht="12.75" customHeight="1" x14ac:dyDescent="0.2">
      <c r="A235" s="379" t="s">
        <v>927</v>
      </c>
      <c r="B235" s="517" t="s">
        <v>928</v>
      </c>
      <c r="C235" s="518"/>
      <c r="D235" s="518"/>
      <c r="E235" s="522"/>
      <c r="F235" s="522"/>
    </row>
    <row r="236" spans="1:254" ht="12.75" customHeight="1" x14ac:dyDescent="0.2">
      <c r="A236" s="378" t="s">
        <v>929</v>
      </c>
      <c r="B236" s="517" t="s">
        <v>930</v>
      </c>
      <c r="C236" s="518"/>
      <c r="D236" s="518"/>
      <c r="E236" s="522"/>
      <c r="F236" s="522"/>
    </row>
    <row r="237" spans="1:254" ht="12.75" customHeight="1" x14ac:dyDescent="0.2">
      <c r="A237" s="379" t="s">
        <v>931</v>
      </c>
      <c r="B237" s="517" t="s">
        <v>932</v>
      </c>
      <c r="C237" s="518"/>
      <c r="D237" s="518"/>
      <c r="E237" s="522"/>
      <c r="F237" s="522"/>
    </row>
    <row r="238" spans="1:254" ht="12.75" customHeight="1" x14ac:dyDescent="0.2">
      <c r="A238" s="379" t="s">
        <v>933</v>
      </c>
      <c r="B238" s="517" t="s">
        <v>934</v>
      </c>
      <c r="C238" s="519"/>
      <c r="D238" s="519"/>
      <c r="E238" s="520"/>
      <c r="F238" s="520"/>
    </row>
    <row r="239" spans="1:254" ht="12.75" customHeight="1" x14ac:dyDescent="0.2">
      <c r="A239" s="379"/>
      <c r="B239" s="520"/>
      <c r="C239" s="520"/>
      <c r="D239" s="520"/>
      <c r="E239" s="520"/>
      <c r="F239" s="520"/>
    </row>
    <row r="240" spans="1:254" ht="12.75" customHeight="1" x14ac:dyDescent="0.2">
      <c r="A240" s="379"/>
      <c r="B240" s="517" t="s">
        <v>935</v>
      </c>
      <c r="C240" s="518"/>
      <c r="D240" s="380">
        <v>5.919E-2</v>
      </c>
      <c r="E240" s="381" t="s">
        <v>936</v>
      </c>
      <c r="F240" s="382" t="s">
        <v>937</v>
      </c>
      <c r="G240" s="383"/>
    </row>
    <row r="241" spans="1:8" ht="26.25" customHeight="1" x14ac:dyDescent="0.2">
      <c r="A241" s="379" t="s">
        <v>938</v>
      </c>
      <c r="B241" s="517" t="s">
        <v>939</v>
      </c>
      <c r="C241" s="518"/>
      <c r="D241" s="518"/>
      <c r="E241" s="522"/>
      <c r="F241" s="522"/>
    </row>
    <row r="242" spans="1:8" ht="27.75" customHeight="1" x14ac:dyDescent="0.2">
      <c r="A242" s="379" t="s">
        <v>940</v>
      </c>
      <c r="B242" s="517" t="s">
        <v>941</v>
      </c>
      <c r="C242" s="518"/>
      <c r="D242" s="518"/>
      <c r="E242" s="522"/>
      <c r="F242" s="522"/>
    </row>
    <row r="243" spans="1:8" ht="25.5" customHeight="1" x14ac:dyDescent="0.2">
      <c r="A243" s="378" t="s">
        <v>942</v>
      </c>
      <c r="B243" s="517" t="s">
        <v>943</v>
      </c>
      <c r="C243" s="518"/>
      <c r="D243" s="518"/>
      <c r="E243" s="522"/>
      <c r="F243" s="522"/>
    </row>
    <row r="244" spans="1:8" ht="39.950000000000003" customHeight="1" x14ac:dyDescent="0.2">
      <c r="A244" s="379" t="s">
        <v>944</v>
      </c>
      <c r="B244" s="517" t="s">
        <v>945</v>
      </c>
      <c r="C244" s="519"/>
      <c r="D244" s="519"/>
      <c r="E244" s="521"/>
      <c r="F244" s="521"/>
      <c r="G244" s="330"/>
    </row>
    <row r="245" spans="1:8" ht="26.1" customHeight="1" x14ac:dyDescent="0.2">
      <c r="A245" s="379" t="s">
        <v>946</v>
      </c>
      <c r="B245" s="517" t="s">
        <v>947</v>
      </c>
      <c r="C245" s="519"/>
      <c r="D245" s="519"/>
      <c r="E245" s="520"/>
      <c r="F245" s="520"/>
      <c r="G245" s="520"/>
    </row>
    <row r="246" spans="1:8" ht="12.75" customHeight="1" x14ac:dyDescent="0.2">
      <c r="A246" s="379"/>
      <c r="B246" s="517" t="s">
        <v>935</v>
      </c>
      <c r="C246" s="518"/>
      <c r="D246" s="380">
        <v>5.919E-2</v>
      </c>
      <c r="E246" s="381" t="s">
        <v>936</v>
      </c>
      <c r="F246" s="382" t="s">
        <v>937</v>
      </c>
      <c r="G246" s="383"/>
    </row>
    <row r="247" spans="1:8" ht="12.75" customHeight="1" x14ac:dyDescent="0.2">
      <c r="A247" s="379" t="s">
        <v>948</v>
      </c>
      <c r="B247" s="517" t="s">
        <v>949</v>
      </c>
      <c r="C247" s="519"/>
      <c r="D247" s="519"/>
      <c r="E247" s="520"/>
      <c r="F247" s="520"/>
      <c r="G247" s="520"/>
      <c r="H247" s="520"/>
    </row>
    <row r="248" spans="1:8" ht="12.75" customHeight="1" x14ac:dyDescent="0.2">
      <c r="A248" s="379" t="s">
        <v>950</v>
      </c>
      <c r="B248" s="517" t="s">
        <v>951</v>
      </c>
      <c r="C248" s="519"/>
      <c r="D248" s="519"/>
      <c r="E248" s="520"/>
      <c r="F248" s="520"/>
      <c r="G248" s="520"/>
    </row>
    <row r="249" spans="1:8" ht="25.5" customHeight="1" x14ac:dyDescent="0.2">
      <c r="A249" s="379" t="s">
        <v>952</v>
      </c>
      <c r="B249" s="517" t="s">
        <v>953</v>
      </c>
      <c r="C249" s="519"/>
      <c r="D249" s="519"/>
      <c r="E249" s="521"/>
      <c r="F249" s="521"/>
      <c r="G249" s="330"/>
    </row>
    <row r="250" spans="1:8" x14ac:dyDescent="0.2">
      <c r="A250" s="379" t="s">
        <v>954</v>
      </c>
      <c r="B250" s="229" t="s">
        <v>955</v>
      </c>
      <c r="C250" s="229"/>
      <c r="E250" s="229"/>
      <c r="F250" s="229"/>
      <c r="G250" s="330"/>
    </row>
    <row r="251" spans="1:8" x14ac:dyDescent="0.2">
      <c r="A251" s="379" t="s">
        <v>956</v>
      </c>
      <c r="B251" s="229" t="s">
        <v>957</v>
      </c>
      <c r="C251" s="229"/>
      <c r="E251" s="330"/>
      <c r="F251" s="330"/>
      <c r="G251" s="330"/>
    </row>
    <row r="252" spans="1:8" x14ac:dyDescent="0.2">
      <c r="A252" s="229"/>
      <c r="B252" s="229" t="s">
        <v>958</v>
      </c>
      <c r="C252" s="229"/>
      <c r="E252" s="330"/>
      <c r="F252" s="330"/>
      <c r="G252" s="330"/>
    </row>
    <row r="253" spans="1:8" x14ac:dyDescent="0.2">
      <c r="A253" s="229"/>
      <c r="B253" s="229" t="s">
        <v>959</v>
      </c>
      <c r="C253" s="229"/>
      <c r="E253" s="330"/>
      <c r="F253" s="330"/>
      <c r="G253" s="330"/>
    </row>
    <row r="254" spans="1:8" x14ac:dyDescent="0.2">
      <c r="A254" s="229"/>
      <c r="B254" s="229" t="s">
        <v>960</v>
      </c>
      <c r="C254" s="229"/>
      <c r="E254" s="330"/>
      <c r="F254" s="330"/>
      <c r="G254" s="330"/>
    </row>
  </sheetData>
  <autoFilter ref="A1:O250"/>
  <mergeCells count="46">
    <mergeCell ref="B137:D137"/>
    <mergeCell ref="G2:I2"/>
    <mergeCell ref="J2:M2"/>
    <mergeCell ref="B9:D9"/>
    <mergeCell ref="B10:D10"/>
    <mergeCell ref="B31:D31"/>
    <mergeCell ref="B32:D32"/>
    <mergeCell ref="B39:D39"/>
    <mergeCell ref="B40:D40"/>
    <mergeCell ref="B70:D70"/>
    <mergeCell ref="B71:D71"/>
    <mergeCell ref="B136:D136"/>
    <mergeCell ref="B202:C202"/>
    <mergeCell ref="B164:D164"/>
    <mergeCell ref="B165:D165"/>
    <mergeCell ref="B169:D169"/>
    <mergeCell ref="B170:D170"/>
    <mergeCell ref="B174:D174"/>
    <mergeCell ref="B175:D175"/>
    <mergeCell ref="B195:D195"/>
    <mergeCell ref="B196:D196"/>
    <mergeCell ref="B197:D197"/>
    <mergeCell ref="B200:C200"/>
    <mergeCell ref="B201:C201"/>
    <mergeCell ref="B238:F239"/>
    <mergeCell ref="B203:C203"/>
    <mergeCell ref="B204:C204"/>
    <mergeCell ref="B208:D208"/>
    <mergeCell ref="B209:D209"/>
    <mergeCell ref="B210:D210"/>
    <mergeCell ref="B232:D232"/>
    <mergeCell ref="B233:F233"/>
    <mergeCell ref="B234:F234"/>
    <mergeCell ref="B235:F235"/>
    <mergeCell ref="B236:F236"/>
    <mergeCell ref="B237:F237"/>
    <mergeCell ref="B246:C246"/>
    <mergeCell ref="B247:H247"/>
    <mergeCell ref="B248:G248"/>
    <mergeCell ref="B249:F249"/>
    <mergeCell ref="B240:C240"/>
    <mergeCell ref="B241:F241"/>
    <mergeCell ref="B242:F242"/>
    <mergeCell ref="B243:F243"/>
    <mergeCell ref="B244:F244"/>
    <mergeCell ref="B245:G245"/>
  </mergeCells>
  <conditionalFormatting sqref="A236:A237 C171:C173 C138:C157 D76 C2:C8 C166:C168 C251:C65560 A241:A242 C175:C184 A244:A247 C229:C231 C33:C38 C41:C69 C72:C128 C212:C226 A249:A250 C11:C30 C162:C163">
    <cfRule type="cellIs" dxfId="14" priority="8" stopIfTrue="1" operator="between">
      <formula>4990000</formula>
      <formula>4999999</formula>
    </cfRule>
  </conditionalFormatting>
  <conditionalFormatting sqref="A248">
    <cfRule type="cellIs" dxfId="13" priority="7" stopIfTrue="1" operator="between">
      <formula>4990000</formula>
      <formula>4999999</formula>
    </cfRule>
  </conditionalFormatting>
  <conditionalFormatting sqref="A238:A240">
    <cfRule type="cellIs" dxfId="12" priority="6" stopIfTrue="1" operator="between">
      <formula>4990000</formula>
      <formula>4999999</formula>
    </cfRule>
  </conditionalFormatting>
  <conditionalFormatting sqref="K227:K228 Q227:Q228 Y227:Y228 AG227:AG228 AO227:AO228 AW227:AW228 BE227:BE228 BM227:BM228 BU227:BU228 CC227:CC228 CK227:CK228 CS227:CS228 DA227:DA228 DI227:DI228 DQ227:DQ228 DY227:DY228 EG227:EG228 EO227:EO228 EW227:EW228 FE227:FE228 FM227:FM228 FU227:FU228 GC227:GC228 GK227:GK228 GS227:GS228 HA227:HA228 HI227:HI228 HQ227:HQ228 HY227:HY228 IG227:IG228 IO227:IO228">
    <cfRule type="cellIs" dxfId="11" priority="5" stopIfTrue="1" operator="between">
      <formula>4990000</formula>
      <formula>4999999</formula>
    </cfRule>
  </conditionalFormatting>
  <conditionalFormatting sqref="C227:C228">
    <cfRule type="cellIs" dxfId="10" priority="4" stopIfTrue="1" operator="between">
      <formula>4990000</formula>
      <formula>4999999</formula>
    </cfRule>
  </conditionalFormatting>
  <conditionalFormatting sqref="A251">
    <cfRule type="cellIs" dxfId="9" priority="3" stopIfTrue="1" operator="between">
      <formula>4990000</formula>
      <formula>4999999</formula>
    </cfRule>
  </conditionalFormatting>
  <conditionalFormatting sqref="C129:C135">
    <cfRule type="cellIs" dxfId="8" priority="2" stopIfTrue="1" operator="between">
      <formula>4990000</formula>
      <formula>4999999</formula>
    </cfRule>
  </conditionalFormatting>
  <conditionalFormatting sqref="C158:C161">
    <cfRule type="cellIs" dxfId="7"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2015 True Up TRR)&amp;RExhibit SCE-29
TO2019A
WP-Schedule 3-One Time Adj Prior Period
Page &amp;P of &amp;N</oddHeader>
    <oddFooter>&amp;R21-RevenueCredits</oddFooter>
  </headerFooter>
  <rowBreaks count="3" manualBreakCount="3">
    <brk id="71" max="16383" man="1"/>
    <brk id="137" max="16383" man="1"/>
    <brk id="19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120" zoomScaleNormal="120" workbookViewId="0"/>
  </sheetViews>
  <sheetFormatPr defaultRowHeight="12.75" x14ac:dyDescent="0.2"/>
  <cols>
    <col min="1" max="2" width="4.7109375" style="63" customWidth="1"/>
    <col min="3" max="3" width="40.7109375" style="63" customWidth="1"/>
    <col min="4" max="4" width="20.7109375" style="63" customWidth="1"/>
    <col min="5" max="5" width="28.7109375" style="63" customWidth="1"/>
    <col min="6" max="6" width="2.7109375" style="63" customWidth="1"/>
    <col min="7" max="7" width="16.7109375" style="63" customWidth="1"/>
    <col min="8" max="16384" width="9.140625" style="63"/>
  </cols>
  <sheetData>
    <row r="1" spans="1:9" x14ac:dyDescent="0.2">
      <c r="A1" s="92" t="s">
        <v>415</v>
      </c>
      <c r="B1" s="92"/>
    </row>
    <row r="2" spans="1:9" x14ac:dyDescent="0.2">
      <c r="A2" s="92"/>
      <c r="B2" s="92"/>
      <c r="E2" s="83" t="s">
        <v>156</v>
      </c>
    </row>
    <row r="3" spans="1:9" x14ac:dyDescent="0.2">
      <c r="G3" s="105"/>
    </row>
    <row r="4" spans="1:9" x14ac:dyDescent="0.2">
      <c r="A4" s="84"/>
      <c r="B4" s="92" t="s">
        <v>414</v>
      </c>
      <c r="G4" s="105"/>
    </row>
    <row r="5" spans="1:9" x14ac:dyDescent="0.2">
      <c r="A5" s="84"/>
      <c r="C5" s="92"/>
      <c r="D5" s="84"/>
      <c r="E5" s="84" t="s">
        <v>38</v>
      </c>
      <c r="G5" s="102" t="s">
        <v>401</v>
      </c>
    </row>
    <row r="6" spans="1:9" x14ac:dyDescent="0.2">
      <c r="A6" s="97" t="s">
        <v>277</v>
      </c>
      <c r="C6" s="92"/>
      <c r="D6" s="85" t="s">
        <v>42</v>
      </c>
      <c r="E6" s="85" t="s">
        <v>43</v>
      </c>
      <c r="G6" s="85" t="s">
        <v>400</v>
      </c>
    </row>
    <row r="7" spans="1:9" x14ac:dyDescent="0.2">
      <c r="A7" s="84">
        <v>1</v>
      </c>
      <c r="C7" s="200" t="s">
        <v>413</v>
      </c>
      <c r="D7" s="90"/>
      <c r="E7" s="96" t="str">
        <f>"19-OandM Line "&amp;'[15]19-OandM'!A170&amp;", Col. 7"</f>
        <v>19-OandM Line 137, Col. 7</v>
      </c>
      <c r="G7" s="187">
        <f>'[15]19-OandM'!H170</f>
        <v>35008841.722656645</v>
      </c>
      <c r="I7" s="88"/>
    </row>
    <row r="8" spans="1:9" x14ac:dyDescent="0.2">
      <c r="A8" s="84">
        <f>A7+1</f>
        <v>2</v>
      </c>
      <c r="C8" s="200" t="s">
        <v>412</v>
      </c>
      <c r="D8" s="90"/>
      <c r="E8" s="96" t="s">
        <v>411</v>
      </c>
      <c r="G8" s="202">
        <v>754196482</v>
      </c>
    </row>
    <row r="9" spans="1:9" x14ac:dyDescent="0.2">
      <c r="A9" s="84">
        <f t="shared" ref="A9:A72" si="0">A8+1</f>
        <v>3</v>
      </c>
      <c r="C9" s="201" t="s">
        <v>410</v>
      </c>
      <c r="D9" s="90"/>
      <c r="E9" s="96" t="s">
        <v>409</v>
      </c>
      <c r="G9" s="202">
        <v>221991079</v>
      </c>
    </row>
    <row r="10" spans="1:9" x14ac:dyDescent="0.2">
      <c r="A10" s="84">
        <f t="shared" si="0"/>
        <v>4</v>
      </c>
      <c r="C10" s="200" t="s">
        <v>408</v>
      </c>
      <c r="D10" s="90"/>
      <c r="E10" s="96" t="str">
        <f>"Line "&amp;A8&amp;" - Line "&amp;A9&amp;""</f>
        <v>Line 2 - Line 3</v>
      </c>
      <c r="G10" s="87">
        <f>G8-G9</f>
        <v>532205403</v>
      </c>
    </row>
    <row r="11" spans="1:9" x14ac:dyDescent="0.2">
      <c r="A11" s="84">
        <f t="shared" si="0"/>
        <v>5</v>
      </c>
      <c r="C11" s="200" t="s">
        <v>407</v>
      </c>
      <c r="D11" s="90"/>
      <c r="E11" s="96" t="str">
        <f>"20-AandG, Note 2"</f>
        <v>20-AandG, Note 2</v>
      </c>
      <c r="G11" s="86">
        <f>'[15]20-AandG'!E64</f>
        <v>77964598.463410825</v>
      </c>
      <c r="I11" s="88"/>
    </row>
    <row r="12" spans="1:9" x14ac:dyDescent="0.2">
      <c r="A12" s="84">
        <f t="shared" si="0"/>
        <v>6</v>
      </c>
      <c r="C12" s="201" t="s">
        <v>406</v>
      </c>
      <c r="D12" s="90"/>
      <c r="E12" s="96" t="str">
        <f>"20-AandG, Note 2"</f>
        <v>20-AandG, Note 2</v>
      </c>
      <c r="G12" s="191">
        <f>'[15]20-AandG'!E61</f>
        <v>28016504.916686665</v>
      </c>
    </row>
    <row r="13" spans="1:9" x14ac:dyDescent="0.2">
      <c r="A13" s="84">
        <f t="shared" si="0"/>
        <v>7</v>
      </c>
      <c r="C13" s="200" t="s">
        <v>405</v>
      </c>
      <c r="D13" s="90"/>
      <c r="E13" s="96" t="str">
        <f>"Line "&amp;A11&amp;" - Line "&amp;A12&amp;""</f>
        <v>Line 5 - Line 6</v>
      </c>
      <c r="G13" s="86">
        <f>G11-G12</f>
        <v>49948093.546724156</v>
      </c>
    </row>
    <row r="14" spans="1:9" x14ac:dyDescent="0.2">
      <c r="A14" s="84">
        <f t="shared" si="0"/>
        <v>8</v>
      </c>
      <c r="C14" s="200" t="s">
        <v>404</v>
      </c>
      <c r="D14" s="90"/>
      <c r="E14" s="96" t="str">
        <f>"Line "&amp;A10&amp;" + Line "&amp;A13&amp;""</f>
        <v>Line 4 + Line 7</v>
      </c>
      <c r="G14" s="86">
        <f>G10+G13</f>
        <v>582153496.5467242</v>
      </c>
    </row>
    <row r="15" spans="1:9" x14ac:dyDescent="0.2">
      <c r="A15" s="84">
        <f t="shared" si="0"/>
        <v>9</v>
      </c>
      <c r="C15" s="90" t="s">
        <v>403</v>
      </c>
      <c r="D15" s="90"/>
      <c r="E15" s="96" t="str">
        <f>"Line "&amp;A7&amp;" / Line "&amp;A14&amp;""</f>
        <v>Line 1 / Line 8</v>
      </c>
      <c r="G15" s="227">
        <f>G7/G14</f>
        <v>6.0136788545161302E-2</v>
      </c>
    </row>
    <row r="16" spans="1:9" x14ac:dyDescent="0.2">
      <c r="A16" s="84">
        <f t="shared" si="0"/>
        <v>10</v>
      </c>
      <c r="C16" s="90"/>
      <c r="D16" s="90"/>
      <c r="E16" s="90"/>
    </row>
    <row r="17" spans="1:11" x14ac:dyDescent="0.2">
      <c r="A17" s="84">
        <f t="shared" si="0"/>
        <v>11</v>
      </c>
      <c r="B17" s="92" t="s">
        <v>402</v>
      </c>
      <c r="C17" s="90"/>
      <c r="D17" s="90"/>
      <c r="E17" s="90"/>
      <c r="G17" s="105"/>
    </row>
    <row r="18" spans="1:11" x14ac:dyDescent="0.2">
      <c r="A18" s="84">
        <f t="shared" si="0"/>
        <v>12</v>
      </c>
      <c r="C18" s="90"/>
      <c r="D18" s="93"/>
      <c r="E18" s="93" t="s">
        <v>38</v>
      </c>
      <c r="G18" s="102" t="s">
        <v>401</v>
      </c>
    </row>
    <row r="19" spans="1:11" x14ac:dyDescent="0.2">
      <c r="A19" s="84">
        <f t="shared" si="0"/>
        <v>13</v>
      </c>
      <c r="C19" s="90"/>
      <c r="D19" s="62" t="s">
        <v>42</v>
      </c>
      <c r="E19" s="62" t="s">
        <v>43</v>
      </c>
      <c r="G19" s="85" t="s">
        <v>400</v>
      </c>
    </row>
    <row r="20" spans="1:11" x14ac:dyDescent="0.2">
      <c r="A20" s="84">
        <f t="shared" si="0"/>
        <v>14</v>
      </c>
      <c r="C20" s="90" t="s">
        <v>399</v>
      </c>
      <c r="D20" s="90"/>
      <c r="E20" s="96" t="str">
        <f>"7-PlantStudy, Line "&amp;'[15]7-PlantStudy'!A28&amp;""</f>
        <v>7-PlantStudy, Line 21</v>
      </c>
      <c r="G20" s="86">
        <f>'[15]7-PlantStudy'!E28</f>
        <v>7656336713.6343288</v>
      </c>
    </row>
    <row r="21" spans="1:11" x14ac:dyDescent="0.2">
      <c r="A21" s="84">
        <f t="shared" si="0"/>
        <v>15</v>
      </c>
      <c r="C21" s="90" t="s">
        <v>398</v>
      </c>
      <c r="D21" s="90"/>
      <c r="E21" s="96" t="str">
        <f>"7-PlantStudy, Line "&amp;'[15]7-PlantStudy'!A42&amp;""</f>
        <v>7-PlantStudy, Line 30</v>
      </c>
      <c r="G21" s="86">
        <f>'[15]7-PlantStudy'!E42</f>
        <v>0</v>
      </c>
    </row>
    <row r="22" spans="1:11" x14ac:dyDescent="0.2">
      <c r="A22" s="84">
        <f t="shared" si="0"/>
        <v>16</v>
      </c>
      <c r="C22" s="90" t="s">
        <v>397</v>
      </c>
      <c r="D22" s="90"/>
      <c r="E22" s="96" t="str">
        <f>"6-PlantInService, Line "&amp;'[15]6-PlantInService'!A53&amp;", C2"</f>
        <v>6-PlantInService, Line 21, C2</v>
      </c>
      <c r="G22" s="86">
        <f>'[15]6-PlantInService'!G53</f>
        <v>1597954444</v>
      </c>
      <c r="H22" s="105"/>
    </row>
    <row r="23" spans="1:11" x14ac:dyDescent="0.2">
      <c r="A23" s="84">
        <f t="shared" si="0"/>
        <v>17</v>
      </c>
      <c r="C23" s="90" t="s">
        <v>396</v>
      </c>
      <c r="D23" s="90"/>
      <c r="E23" s="90" t="str">
        <f>"Line "&amp;A22&amp;" * Line "&amp;A15&amp;""</f>
        <v>Line 16 * Line 9</v>
      </c>
      <c r="G23" s="187">
        <f>G22*G15</f>
        <v>96095848.50362879</v>
      </c>
    </row>
    <row r="24" spans="1:11" x14ac:dyDescent="0.2">
      <c r="A24" s="84">
        <f t="shared" si="0"/>
        <v>18</v>
      </c>
      <c r="C24" s="90" t="s">
        <v>395</v>
      </c>
      <c r="D24" s="90"/>
      <c r="E24" s="96" t="str">
        <f>"6-PlantInService, Line "&amp;'[15]6-PlantInService'!A53&amp;", C1"</f>
        <v>6-PlantInService, Line 21, C1</v>
      </c>
      <c r="G24" s="86">
        <f>'[15]6-PlantInService'!F53</f>
        <v>2810955447</v>
      </c>
    </row>
    <row r="25" spans="1:11" x14ac:dyDescent="0.2">
      <c r="A25" s="84">
        <f t="shared" si="0"/>
        <v>19</v>
      </c>
      <c r="C25" s="90" t="s">
        <v>394</v>
      </c>
      <c r="D25" s="90"/>
      <c r="E25" s="90" t="str">
        <f>"Line "&amp;A24&amp;" * Line "&amp;A15&amp;""</f>
        <v>Line 18 * Line 9</v>
      </c>
      <c r="G25" s="187">
        <f>G24*G15</f>
        <v>169041833.32610837</v>
      </c>
    </row>
    <row r="26" spans="1:11" x14ac:dyDescent="0.2">
      <c r="A26" s="84">
        <f t="shared" si="0"/>
        <v>20</v>
      </c>
      <c r="C26" s="96" t="s">
        <v>393</v>
      </c>
      <c r="D26" s="90"/>
      <c r="E26" s="90" t="s">
        <v>392</v>
      </c>
      <c r="G26" s="202">
        <v>41556515000</v>
      </c>
    </row>
    <row r="27" spans="1:11" x14ac:dyDescent="0.2">
      <c r="A27" s="84">
        <f t="shared" si="0"/>
        <v>21</v>
      </c>
      <c r="C27" s="90"/>
      <c r="D27" s="90"/>
      <c r="E27" s="90"/>
      <c r="G27" s="105"/>
    </row>
    <row r="28" spans="1:11" x14ac:dyDescent="0.2">
      <c r="A28" s="84">
        <f t="shared" si="0"/>
        <v>22</v>
      </c>
      <c r="C28" s="90" t="s">
        <v>391</v>
      </c>
      <c r="D28" s="90"/>
      <c r="E28" s="96" t="str">
        <f>"(L"&amp;A20&amp;" + L"&amp;A21&amp;" + L"&amp;A23&amp;" + L"&amp;A25&amp;") / L"&amp;A26&amp;""</f>
        <v>(L14 + L15 + L17 + L19) / L20</v>
      </c>
      <c r="G28" s="227">
        <f>(G20+G21+G23+G25)/G26</f>
        <v>0.19061931433528692</v>
      </c>
    </row>
    <row r="29" spans="1:11" x14ac:dyDescent="0.2">
      <c r="A29" s="84">
        <f t="shared" si="0"/>
        <v>23</v>
      </c>
      <c r="C29" s="90"/>
      <c r="D29" s="90"/>
      <c r="E29" s="96"/>
      <c r="G29" s="103"/>
    </row>
    <row r="30" spans="1:11" x14ac:dyDescent="0.2">
      <c r="A30" s="93">
        <f t="shared" si="0"/>
        <v>24</v>
      </c>
      <c r="B30" s="95" t="s">
        <v>390</v>
      </c>
      <c r="C30" s="90"/>
      <c r="D30" s="90"/>
      <c r="E30" s="90"/>
      <c r="F30" s="90"/>
      <c r="G30" s="90"/>
      <c r="H30" s="90"/>
      <c r="I30" s="90"/>
      <c r="J30" s="90"/>
      <c r="K30" s="90"/>
    </row>
    <row r="31" spans="1:11" x14ac:dyDescent="0.2">
      <c r="A31" s="93">
        <f t="shared" si="0"/>
        <v>25</v>
      </c>
      <c r="B31" s="96"/>
      <c r="C31" s="90"/>
      <c r="D31" s="90"/>
      <c r="E31" s="90"/>
      <c r="F31" s="90"/>
      <c r="G31" s="90"/>
      <c r="H31" s="90"/>
      <c r="I31" s="90"/>
      <c r="J31" s="90"/>
      <c r="K31" s="90"/>
    </row>
    <row r="32" spans="1:11" x14ac:dyDescent="0.2">
      <c r="A32" s="93">
        <f t="shared" si="0"/>
        <v>26</v>
      </c>
      <c r="B32" s="90" t="s">
        <v>389</v>
      </c>
      <c r="C32" s="90"/>
      <c r="D32" s="62" t="s">
        <v>292</v>
      </c>
      <c r="E32" s="62" t="s">
        <v>42</v>
      </c>
      <c r="F32" s="90"/>
      <c r="G32" s="100" t="s">
        <v>291</v>
      </c>
      <c r="H32" s="90"/>
      <c r="I32" s="90"/>
      <c r="J32" s="90"/>
      <c r="K32" s="90"/>
    </row>
    <row r="33" spans="1:11" x14ac:dyDescent="0.2">
      <c r="A33" s="93">
        <f t="shared" si="0"/>
        <v>27</v>
      </c>
      <c r="B33" s="90"/>
      <c r="C33" s="96" t="s">
        <v>388</v>
      </c>
      <c r="D33" s="197">
        <v>6294</v>
      </c>
      <c r="E33" s="62"/>
      <c r="F33" s="90"/>
      <c r="G33" s="196" t="s">
        <v>387</v>
      </c>
      <c r="H33" s="90"/>
      <c r="I33" s="90"/>
      <c r="J33" s="101"/>
      <c r="K33" s="90"/>
    </row>
    <row r="34" spans="1:11" x14ac:dyDescent="0.2">
      <c r="A34" s="93">
        <f t="shared" si="0"/>
        <v>28</v>
      </c>
      <c r="B34" s="90"/>
      <c r="C34" s="90" t="s">
        <v>386</v>
      </c>
      <c r="D34" s="197">
        <v>11996</v>
      </c>
      <c r="E34" s="62"/>
      <c r="F34" s="90"/>
      <c r="G34" s="196" t="s">
        <v>385</v>
      </c>
      <c r="H34" s="90"/>
      <c r="I34" s="90"/>
      <c r="J34" s="90"/>
      <c r="K34" s="90"/>
    </row>
    <row r="35" spans="1:11" x14ac:dyDescent="0.2">
      <c r="A35" s="93">
        <f t="shared" si="0"/>
        <v>29</v>
      </c>
      <c r="B35" s="90"/>
      <c r="C35" s="90" t="s">
        <v>384</v>
      </c>
      <c r="D35" s="195">
        <f>SUM(D33:D34)</f>
        <v>18290</v>
      </c>
      <c r="E35" s="96" t="str">
        <f>" = L"&amp;A33&amp;" + L"&amp;A34&amp;""</f>
        <v xml:space="preserve"> = L27 + L28</v>
      </c>
      <c r="F35" s="90"/>
      <c r="G35" s="196" t="s">
        <v>383</v>
      </c>
      <c r="H35" s="90"/>
      <c r="I35" s="90"/>
      <c r="J35" s="90"/>
      <c r="K35" s="90"/>
    </row>
    <row r="36" spans="1:11" x14ac:dyDescent="0.2">
      <c r="A36" s="93">
        <f t="shared" si="0"/>
        <v>30</v>
      </c>
      <c r="B36" s="90"/>
      <c r="C36" s="96" t="s">
        <v>382</v>
      </c>
      <c r="D36" s="193">
        <f>D33/D35</f>
        <v>0.34412247129579004</v>
      </c>
      <c r="E36" s="96" t="str">
        <f>" = L"&amp;A33&amp;" / L"&amp;A35&amp;""</f>
        <v xml:space="preserve"> = L27 / L29</v>
      </c>
      <c r="F36" s="90"/>
      <c r="G36" s="99"/>
      <c r="H36" s="90"/>
      <c r="I36" s="90"/>
      <c r="J36" s="90"/>
      <c r="K36" s="90"/>
    </row>
    <row r="37" spans="1:11" x14ac:dyDescent="0.2">
      <c r="A37" s="93">
        <f t="shared" si="0"/>
        <v>31</v>
      </c>
      <c r="B37" s="90"/>
      <c r="C37" s="90"/>
      <c r="D37" s="90"/>
      <c r="E37" s="90"/>
      <c r="F37" s="90"/>
      <c r="G37" s="99"/>
      <c r="H37" s="90"/>
      <c r="I37" s="90"/>
      <c r="J37" s="90"/>
      <c r="K37" s="90"/>
    </row>
    <row r="38" spans="1:11" x14ac:dyDescent="0.2">
      <c r="A38" s="93">
        <f t="shared" si="0"/>
        <v>32</v>
      </c>
      <c r="B38" s="96" t="s">
        <v>381</v>
      </c>
      <c r="C38" s="90"/>
      <c r="D38" s="62" t="s">
        <v>292</v>
      </c>
      <c r="E38" s="62" t="s">
        <v>42</v>
      </c>
      <c r="F38" s="90"/>
      <c r="G38" s="100" t="s">
        <v>291</v>
      </c>
      <c r="H38" s="90"/>
      <c r="I38" s="90"/>
      <c r="J38" s="90"/>
      <c r="K38" s="90"/>
    </row>
    <row r="39" spans="1:11" x14ac:dyDescent="0.2">
      <c r="A39" s="93">
        <f t="shared" si="0"/>
        <v>33</v>
      </c>
      <c r="B39" s="90"/>
      <c r="C39" s="96" t="s">
        <v>380</v>
      </c>
      <c r="D39" s="197">
        <v>215</v>
      </c>
      <c r="E39" s="62"/>
      <c r="F39" s="90"/>
      <c r="G39" s="196" t="s">
        <v>379</v>
      </c>
      <c r="H39" s="90"/>
      <c r="I39" s="90"/>
      <c r="J39" s="90"/>
      <c r="K39" s="90"/>
    </row>
    <row r="40" spans="1:11" x14ac:dyDescent="0.2">
      <c r="A40" s="93">
        <f t="shared" si="0"/>
        <v>34</v>
      </c>
      <c r="B40" s="90"/>
      <c r="C40" s="96" t="s">
        <v>378</v>
      </c>
      <c r="D40" s="197">
        <v>998</v>
      </c>
      <c r="E40" s="62"/>
      <c r="F40" s="90"/>
      <c r="G40" s="90"/>
      <c r="H40" s="90"/>
      <c r="I40" s="90"/>
      <c r="J40" s="90"/>
      <c r="K40" s="90"/>
    </row>
    <row r="41" spans="1:11" x14ac:dyDescent="0.2">
      <c r="A41" s="93">
        <f t="shared" si="0"/>
        <v>35</v>
      </c>
      <c r="B41" s="90"/>
      <c r="C41" s="96" t="s">
        <v>377</v>
      </c>
      <c r="D41" s="195">
        <f>SUM(D39:D40)</f>
        <v>1213</v>
      </c>
      <c r="E41" s="96" t="str">
        <f>" = L"&amp;A39&amp;" + L"&amp;A40&amp;""</f>
        <v xml:space="preserve"> = L33 + L34</v>
      </c>
      <c r="F41" s="90"/>
      <c r="G41" s="90"/>
      <c r="H41" s="90"/>
      <c r="I41" s="90"/>
      <c r="J41" s="90"/>
      <c r="K41" s="90"/>
    </row>
    <row r="42" spans="1:11" x14ac:dyDescent="0.2">
      <c r="A42" s="93">
        <f t="shared" si="0"/>
        <v>36</v>
      </c>
      <c r="B42" s="90"/>
      <c r="C42" s="96" t="s">
        <v>376</v>
      </c>
      <c r="D42" s="193">
        <f>D39/D41</f>
        <v>0.17724649629018963</v>
      </c>
      <c r="E42" s="96" t="str">
        <f>" = L"&amp;A39&amp;" / L"&amp;A41&amp;""</f>
        <v xml:space="preserve"> = L33 / L35</v>
      </c>
      <c r="F42" s="90"/>
      <c r="G42" s="90"/>
      <c r="H42" s="90"/>
      <c r="I42" s="90"/>
      <c r="J42" s="90"/>
      <c r="K42" s="90"/>
    </row>
    <row r="43" spans="1:11" x14ac:dyDescent="0.2">
      <c r="A43" s="93">
        <f t="shared" si="0"/>
        <v>37</v>
      </c>
      <c r="B43" s="90"/>
      <c r="C43" s="90"/>
      <c r="D43" s="90"/>
      <c r="E43" s="90"/>
      <c r="F43" s="90"/>
      <c r="G43" s="90"/>
      <c r="H43" s="90"/>
      <c r="I43" s="90"/>
      <c r="J43" s="90"/>
      <c r="K43" s="90"/>
    </row>
    <row r="44" spans="1:11" x14ac:dyDescent="0.2">
      <c r="A44" s="93">
        <f t="shared" si="0"/>
        <v>38</v>
      </c>
      <c r="B44" s="96" t="s">
        <v>375</v>
      </c>
      <c r="C44" s="90"/>
      <c r="D44" s="62" t="s">
        <v>292</v>
      </c>
      <c r="E44" s="62" t="s">
        <v>42</v>
      </c>
      <c r="F44" s="90"/>
      <c r="G44" s="100" t="s">
        <v>291</v>
      </c>
      <c r="H44" s="90"/>
      <c r="I44" s="90"/>
      <c r="J44" s="90"/>
      <c r="K44" s="90"/>
    </row>
    <row r="45" spans="1:11" x14ac:dyDescent="0.2">
      <c r="A45" s="93">
        <f t="shared" si="0"/>
        <v>39</v>
      </c>
      <c r="B45" s="90"/>
      <c r="C45" s="96" t="s">
        <v>374</v>
      </c>
      <c r="D45" s="197">
        <v>481</v>
      </c>
      <c r="E45" s="62"/>
      <c r="F45" s="90"/>
      <c r="G45" s="196" t="s">
        <v>373</v>
      </c>
      <c r="H45" s="90"/>
      <c r="I45" s="90"/>
      <c r="J45" s="90"/>
      <c r="K45" s="90"/>
    </row>
    <row r="46" spans="1:11" x14ac:dyDescent="0.2">
      <c r="A46" s="93">
        <f t="shared" si="0"/>
        <v>40</v>
      </c>
      <c r="B46" s="90"/>
      <c r="C46" s="96" t="s">
        <v>372</v>
      </c>
      <c r="D46" s="197">
        <v>1860</v>
      </c>
      <c r="E46" s="62"/>
      <c r="F46" s="90"/>
      <c r="G46" s="90"/>
      <c r="H46" s="90"/>
      <c r="I46" s="90"/>
      <c r="J46" s="90"/>
      <c r="K46" s="90"/>
    </row>
    <row r="47" spans="1:11" x14ac:dyDescent="0.2">
      <c r="A47" s="93">
        <f t="shared" si="0"/>
        <v>41</v>
      </c>
      <c r="B47" s="90"/>
      <c r="C47" s="96" t="s">
        <v>371</v>
      </c>
      <c r="D47" s="195">
        <f>SUM(D45:D46)</f>
        <v>2341</v>
      </c>
      <c r="E47" s="96" t="str">
        <f>" = L"&amp;A45&amp;" + L"&amp;A46&amp;""</f>
        <v xml:space="preserve"> = L39 + L40</v>
      </c>
      <c r="F47" s="90"/>
      <c r="G47" s="90"/>
      <c r="H47" s="90"/>
      <c r="I47" s="90"/>
      <c r="J47" s="90"/>
      <c r="K47" s="90"/>
    </row>
    <row r="48" spans="1:11" x14ac:dyDescent="0.2">
      <c r="A48" s="93">
        <f t="shared" si="0"/>
        <v>42</v>
      </c>
      <c r="B48" s="90"/>
      <c r="C48" s="96" t="s">
        <v>370</v>
      </c>
      <c r="D48" s="193">
        <f>D45/D47</f>
        <v>0.20546774882528834</v>
      </c>
      <c r="E48" s="96" t="str">
        <f>" = L"&amp;A45&amp;" / L"&amp;A47&amp;""</f>
        <v xml:space="preserve"> = L39 / L41</v>
      </c>
      <c r="F48" s="90"/>
      <c r="G48" s="90"/>
      <c r="H48" s="90"/>
      <c r="I48" s="90"/>
      <c r="J48" s="90"/>
      <c r="K48" s="90"/>
    </row>
    <row r="49" spans="1:11" x14ac:dyDescent="0.2">
      <c r="A49" s="93">
        <f t="shared" si="0"/>
        <v>43</v>
      </c>
      <c r="B49" s="90"/>
      <c r="C49" s="90"/>
      <c r="D49" s="90"/>
      <c r="E49" s="90"/>
      <c r="F49" s="90"/>
      <c r="G49" s="90"/>
      <c r="H49" s="90"/>
      <c r="I49" s="90"/>
      <c r="J49" s="90"/>
      <c r="K49" s="90"/>
    </row>
    <row r="50" spans="1:11" x14ac:dyDescent="0.2">
      <c r="A50" s="93">
        <f t="shared" si="0"/>
        <v>44</v>
      </c>
      <c r="B50" s="96" t="s">
        <v>369</v>
      </c>
      <c r="C50" s="90"/>
      <c r="D50" s="62" t="s">
        <v>292</v>
      </c>
      <c r="E50" s="62" t="s">
        <v>42</v>
      </c>
      <c r="F50" s="90"/>
      <c r="G50" s="100" t="s">
        <v>291</v>
      </c>
      <c r="H50" s="90"/>
      <c r="I50" s="90"/>
      <c r="J50" s="90"/>
      <c r="K50" s="90"/>
    </row>
    <row r="51" spans="1:11" x14ac:dyDescent="0.2">
      <c r="A51" s="93">
        <f t="shared" si="0"/>
        <v>45</v>
      </c>
      <c r="B51" s="90"/>
      <c r="C51" s="96" t="s">
        <v>368</v>
      </c>
      <c r="D51" s="228">
        <v>5620.5277500000002</v>
      </c>
      <c r="E51" s="62"/>
      <c r="F51" s="90"/>
      <c r="G51" s="196" t="s">
        <v>367</v>
      </c>
      <c r="H51" s="90"/>
      <c r="I51" s="90"/>
      <c r="J51" s="90"/>
      <c r="K51" s="90"/>
    </row>
    <row r="52" spans="1:11" x14ac:dyDescent="0.2">
      <c r="A52" s="93">
        <f t="shared" si="0"/>
        <v>46</v>
      </c>
      <c r="B52" s="90"/>
      <c r="C52" s="96" t="s">
        <v>366</v>
      </c>
      <c r="D52" s="228">
        <v>6462.89905</v>
      </c>
      <c r="E52" s="62"/>
      <c r="F52" s="90"/>
      <c r="G52" s="196" t="s">
        <v>365</v>
      </c>
      <c r="H52" s="90"/>
      <c r="I52" s="90"/>
      <c r="J52" s="90"/>
      <c r="K52" s="90"/>
    </row>
    <row r="53" spans="1:11" x14ac:dyDescent="0.2">
      <c r="A53" s="93">
        <f t="shared" si="0"/>
        <v>47</v>
      </c>
      <c r="B53" s="90"/>
      <c r="C53" s="96" t="s">
        <v>364</v>
      </c>
      <c r="D53" s="195">
        <f>SUM(D51:D52)</f>
        <v>12083.426800000001</v>
      </c>
      <c r="E53" s="96" t="str">
        <f>" = L"&amp;A51&amp;" + L"&amp;A52&amp;""</f>
        <v xml:space="preserve"> = L45 + L46</v>
      </c>
      <c r="F53" s="90"/>
      <c r="G53" s="196" t="s">
        <v>363</v>
      </c>
      <c r="H53" s="90"/>
      <c r="I53" s="90"/>
      <c r="J53" s="90"/>
      <c r="K53" s="90"/>
    </row>
    <row r="54" spans="1:11" x14ac:dyDescent="0.2">
      <c r="A54" s="93">
        <f t="shared" si="0"/>
        <v>48</v>
      </c>
      <c r="B54" s="90"/>
      <c r="C54" s="96" t="s">
        <v>362</v>
      </c>
      <c r="D54" s="193">
        <f>D51/D53</f>
        <v>0.46514352617255889</v>
      </c>
      <c r="E54" s="96" t="str">
        <f>" = L"&amp;A51&amp;" / L"&amp;A53&amp;""</f>
        <v xml:space="preserve"> = L45 / L47</v>
      </c>
      <c r="F54" s="90"/>
      <c r="G54" s="196" t="s">
        <v>361</v>
      </c>
      <c r="H54" s="90"/>
      <c r="I54" s="90"/>
      <c r="J54" s="90"/>
      <c r="K54" s="90"/>
    </row>
    <row r="55" spans="1:11" x14ac:dyDescent="0.2">
      <c r="A55" s="93">
        <f t="shared" si="0"/>
        <v>49</v>
      </c>
      <c r="B55" s="62"/>
      <c r="C55" s="62"/>
      <c r="D55" s="90"/>
      <c r="E55" s="62"/>
      <c r="F55" s="90"/>
      <c r="G55" s="62"/>
      <c r="H55" s="90"/>
      <c r="I55" s="90"/>
      <c r="J55" s="90"/>
      <c r="K55" s="90"/>
    </row>
    <row r="56" spans="1:11" x14ac:dyDescent="0.2">
      <c r="A56" s="93">
        <f t="shared" si="0"/>
        <v>50</v>
      </c>
      <c r="B56" s="96" t="s">
        <v>360</v>
      </c>
      <c r="C56" s="90"/>
      <c r="D56" s="62" t="s">
        <v>292</v>
      </c>
      <c r="E56" s="62" t="s">
        <v>42</v>
      </c>
      <c r="F56" s="90"/>
      <c r="G56" s="100" t="s">
        <v>291</v>
      </c>
      <c r="H56" s="90"/>
      <c r="I56" s="90"/>
      <c r="J56" s="90"/>
      <c r="K56" s="90"/>
    </row>
    <row r="57" spans="1:11" x14ac:dyDescent="0.2">
      <c r="A57" s="93">
        <f t="shared" si="0"/>
        <v>51</v>
      </c>
      <c r="B57" s="194"/>
      <c r="C57" s="96" t="s">
        <v>359</v>
      </c>
      <c r="D57" s="197">
        <v>1</v>
      </c>
      <c r="E57" s="62"/>
      <c r="F57" s="90"/>
      <c r="G57" s="196" t="s">
        <v>358</v>
      </c>
      <c r="H57" s="90"/>
      <c r="I57" s="90"/>
      <c r="J57" s="90"/>
      <c r="K57" s="90"/>
    </row>
    <row r="58" spans="1:11" x14ac:dyDescent="0.2">
      <c r="A58" s="93">
        <f t="shared" si="0"/>
        <v>52</v>
      </c>
      <c r="B58" s="194"/>
      <c r="C58" s="96" t="s">
        <v>357</v>
      </c>
      <c r="D58" s="197">
        <v>350.17333484848473</v>
      </c>
      <c r="E58" s="62"/>
      <c r="F58" s="90"/>
      <c r="G58" s="196" t="s">
        <v>356</v>
      </c>
      <c r="H58" s="90"/>
      <c r="I58" s="90"/>
      <c r="J58" s="90"/>
      <c r="K58" s="90"/>
    </row>
    <row r="59" spans="1:11" x14ac:dyDescent="0.2">
      <c r="A59" s="93">
        <f t="shared" si="0"/>
        <v>53</v>
      </c>
      <c r="B59" s="194"/>
      <c r="C59" s="96" t="s">
        <v>355</v>
      </c>
      <c r="D59" s="195">
        <f>SUM(D57:D58)</f>
        <v>351.17333484848473</v>
      </c>
      <c r="E59" s="96" t="str">
        <f>" = L"&amp;A57&amp;" + L"&amp;A58&amp;""</f>
        <v xml:space="preserve"> = L51 + L52</v>
      </c>
      <c r="F59" s="90"/>
      <c r="G59" s="90"/>
      <c r="H59" s="90"/>
      <c r="I59" s="90"/>
      <c r="J59" s="90"/>
      <c r="K59" s="90"/>
    </row>
    <row r="60" spans="1:11" x14ac:dyDescent="0.2">
      <c r="A60" s="93">
        <f t="shared" si="0"/>
        <v>54</v>
      </c>
      <c r="B60" s="194"/>
      <c r="C60" s="96" t="s">
        <v>354</v>
      </c>
      <c r="D60" s="193">
        <f>D57/D59</f>
        <v>2.8475966161595223E-3</v>
      </c>
      <c r="E60" s="96" t="str">
        <f>" = L"&amp;A57&amp;" / L"&amp;A59&amp;""</f>
        <v xml:space="preserve"> = L51 / L53</v>
      </c>
      <c r="F60" s="90"/>
      <c r="G60" s="90"/>
      <c r="H60" s="90"/>
      <c r="I60" s="90"/>
      <c r="J60" s="90"/>
      <c r="K60" s="90"/>
    </row>
    <row r="61" spans="1:11" x14ac:dyDescent="0.2">
      <c r="A61" s="93">
        <f t="shared" si="0"/>
        <v>55</v>
      </c>
      <c r="B61" s="194"/>
      <c r="C61" s="89"/>
      <c r="D61" s="90"/>
      <c r="E61" s="62"/>
      <c r="F61" s="90"/>
      <c r="G61" s="86"/>
      <c r="H61" s="90"/>
      <c r="I61" s="90"/>
      <c r="J61" s="90"/>
      <c r="K61" s="90"/>
    </row>
    <row r="62" spans="1:11" x14ac:dyDescent="0.2">
      <c r="A62" s="93">
        <f t="shared" si="0"/>
        <v>56</v>
      </c>
      <c r="B62" s="96" t="s">
        <v>353</v>
      </c>
      <c r="C62" s="90"/>
      <c r="D62" s="62" t="s">
        <v>292</v>
      </c>
      <c r="E62" s="62" t="s">
        <v>42</v>
      </c>
      <c r="F62" s="90"/>
      <c r="G62" s="100" t="s">
        <v>291</v>
      </c>
      <c r="H62" s="90"/>
      <c r="I62" s="90"/>
      <c r="J62" s="90"/>
      <c r="K62" s="90"/>
    </row>
    <row r="63" spans="1:11" x14ac:dyDescent="0.2">
      <c r="A63" s="93">
        <f t="shared" si="0"/>
        <v>57</v>
      </c>
      <c r="B63" s="194"/>
      <c r="C63" s="96" t="s">
        <v>352</v>
      </c>
      <c r="D63" s="197">
        <v>6252077.3605612786</v>
      </c>
      <c r="E63" s="62"/>
      <c r="F63" s="90"/>
      <c r="G63" s="196" t="s">
        <v>351</v>
      </c>
      <c r="H63" s="90"/>
      <c r="I63" s="90"/>
      <c r="J63" s="90"/>
      <c r="K63" s="90"/>
    </row>
    <row r="64" spans="1:11" x14ac:dyDescent="0.2">
      <c r="A64" s="93">
        <f t="shared" si="0"/>
        <v>58</v>
      </c>
      <c r="B64" s="194"/>
      <c r="C64" s="96" t="s">
        <v>350</v>
      </c>
      <c r="D64" s="197">
        <v>2849580.6368220095</v>
      </c>
      <c r="E64" s="62"/>
      <c r="F64" s="90"/>
      <c r="G64" s="196"/>
      <c r="H64" s="90"/>
      <c r="I64" s="90"/>
      <c r="J64" s="90"/>
      <c r="K64" s="90"/>
    </row>
    <row r="65" spans="1:11" x14ac:dyDescent="0.2">
      <c r="A65" s="93">
        <f t="shared" si="0"/>
        <v>59</v>
      </c>
      <c r="B65" s="194"/>
      <c r="C65" s="96" t="s">
        <v>349</v>
      </c>
      <c r="D65" s="195">
        <f>SUM(D63:D64)</f>
        <v>9101657.997383289</v>
      </c>
      <c r="E65" s="96" t="str">
        <f>" = L"&amp;A63&amp;" + L"&amp;A64&amp;""</f>
        <v xml:space="preserve"> = L57 + L58</v>
      </c>
      <c r="F65" s="90"/>
      <c r="G65" s="90"/>
      <c r="H65" s="90"/>
      <c r="I65" s="90"/>
      <c r="J65" s="90"/>
      <c r="K65" s="90"/>
    </row>
    <row r="66" spans="1:11" x14ac:dyDescent="0.2">
      <c r="A66" s="93">
        <f t="shared" si="0"/>
        <v>60</v>
      </c>
      <c r="B66" s="194"/>
      <c r="C66" s="96" t="s">
        <v>348</v>
      </c>
      <c r="D66" s="193">
        <f>D63/D65</f>
        <v>0.68691631374841156</v>
      </c>
      <c r="E66" s="96" t="str">
        <f>" = L"&amp;A63&amp;" / L"&amp;A65&amp;""</f>
        <v xml:space="preserve"> = L57 / L59</v>
      </c>
      <c r="F66" s="90"/>
      <c r="G66" s="90"/>
      <c r="H66" s="90"/>
      <c r="I66" s="90"/>
      <c r="J66" s="90"/>
      <c r="K66" s="90"/>
    </row>
    <row r="67" spans="1:11" x14ac:dyDescent="0.2">
      <c r="A67" s="93">
        <f t="shared" si="0"/>
        <v>61</v>
      </c>
      <c r="B67" s="199"/>
      <c r="C67" s="62"/>
      <c r="D67" s="90"/>
      <c r="E67" s="193"/>
      <c r="F67" s="90"/>
      <c r="G67" s="90"/>
      <c r="H67" s="90"/>
      <c r="I67" s="90"/>
      <c r="J67" s="90"/>
      <c r="K67" s="90"/>
    </row>
    <row r="68" spans="1:11" x14ac:dyDescent="0.2">
      <c r="A68" s="93">
        <f t="shared" si="0"/>
        <v>62</v>
      </c>
      <c r="B68" s="96" t="s">
        <v>347</v>
      </c>
      <c r="C68" s="90"/>
      <c r="D68" s="62" t="s">
        <v>292</v>
      </c>
      <c r="E68" s="62" t="s">
        <v>42</v>
      </c>
      <c r="F68" s="90"/>
      <c r="G68" s="100" t="s">
        <v>291</v>
      </c>
      <c r="H68" s="90"/>
      <c r="I68" s="90"/>
      <c r="J68" s="90"/>
      <c r="K68" s="90"/>
    </row>
    <row r="69" spans="1:11" x14ac:dyDescent="0.2">
      <c r="A69" s="93">
        <f t="shared" si="0"/>
        <v>63</v>
      </c>
      <c r="B69" s="194"/>
      <c r="C69" s="96" t="s">
        <v>346</v>
      </c>
      <c r="D69" s="197">
        <v>377.3</v>
      </c>
      <c r="E69" s="62"/>
      <c r="F69" s="90"/>
      <c r="G69" s="196" t="s">
        <v>345</v>
      </c>
      <c r="H69" s="90"/>
      <c r="I69" s="90"/>
      <c r="J69" s="90"/>
      <c r="K69" s="90"/>
    </row>
    <row r="70" spans="1:11" x14ac:dyDescent="0.2">
      <c r="A70" s="93">
        <f t="shared" si="0"/>
        <v>64</v>
      </c>
      <c r="B70" s="194"/>
      <c r="C70" s="96" t="s">
        <v>344</v>
      </c>
      <c r="D70" s="197">
        <v>38.300000000000011</v>
      </c>
      <c r="E70" s="62"/>
      <c r="F70" s="90"/>
      <c r="G70" s="196"/>
      <c r="H70" s="90"/>
      <c r="I70" s="90"/>
      <c r="J70" s="90"/>
      <c r="K70" s="90"/>
    </row>
    <row r="71" spans="1:11" x14ac:dyDescent="0.2">
      <c r="A71" s="93">
        <f t="shared" si="0"/>
        <v>65</v>
      </c>
      <c r="B71" s="194"/>
      <c r="C71" s="96" t="s">
        <v>343</v>
      </c>
      <c r="D71" s="195">
        <f>SUM(D69:D70)</f>
        <v>415.6</v>
      </c>
      <c r="E71" s="96" t="str">
        <f>" = L"&amp;A69&amp;" + L"&amp;A70&amp;""</f>
        <v xml:space="preserve"> = L63 + L64</v>
      </c>
      <c r="F71" s="90"/>
      <c r="G71" s="90"/>
      <c r="H71" s="90"/>
      <c r="I71" s="90"/>
      <c r="J71" s="90"/>
      <c r="K71" s="90"/>
    </row>
    <row r="72" spans="1:11" x14ac:dyDescent="0.2">
      <c r="A72" s="93">
        <f t="shared" si="0"/>
        <v>66</v>
      </c>
      <c r="B72" s="194"/>
      <c r="C72" s="96" t="s">
        <v>342</v>
      </c>
      <c r="D72" s="193">
        <f>D69/D71</f>
        <v>0.90784408084696822</v>
      </c>
      <c r="E72" s="96" t="str">
        <f>" = L"&amp;A69&amp;" / L"&amp;A71&amp;""</f>
        <v xml:space="preserve"> = L63 / L65</v>
      </c>
      <c r="F72" s="90"/>
      <c r="G72" s="90"/>
      <c r="H72" s="90"/>
      <c r="I72" s="90"/>
      <c r="J72" s="90"/>
      <c r="K72" s="90"/>
    </row>
    <row r="73" spans="1:11" x14ac:dyDescent="0.2">
      <c r="A73" s="93">
        <f t="shared" ref="A73:A126" si="1">A72+1</f>
        <v>67</v>
      </c>
      <c r="B73" s="95"/>
      <c r="C73" s="90"/>
      <c r="D73" s="90"/>
      <c r="E73" s="90"/>
      <c r="F73" s="90"/>
      <c r="G73" s="90"/>
      <c r="H73" s="90"/>
      <c r="I73" s="90"/>
      <c r="J73" s="90"/>
      <c r="K73" s="90"/>
    </row>
    <row r="74" spans="1:11" x14ac:dyDescent="0.2">
      <c r="A74" s="93">
        <f t="shared" si="1"/>
        <v>68</v>
      </c>
      <c r="B74" s="96" t="s">
        <v>341</v>
      </c>
      <c r="C74" s="90"/>
      <c r="D74" s="62" t="s">
        <v>292</v>
      </c>
      <c r="E74" s="62" t="s">
        <v>42</v>
      </c>
      <c r="F74" s="90"/>
      <c r="G74" s="100" t="s">
        <v>291</v>
      </c>
      <c r="H74" s="90"/>
      <c r="I74" s="90"/>
      <c r="J74" s="90"/>
      <c r="K74" s="90"/>
    </row>
    <row r="75" spans="1:11" x14ac:dyDescent="0.2">
      <c r="A75" s="93">
        <f t="shared" si="1"/>
        <v>69</v>
      </c>
      <c r="B75" s="194"/>
      <c r="C75" s="96" t="s">
        <v>340</v>
      </c>
      <c r="D75" s="197">
        <v>134</v>
      </c>
      <c r="E75" s="62"/>
      <c r="F75" s="90"/>
      <c r="G75" s="196" t="s">
        <v>339</v>
      </c>
      <c r="H75" s="90"/>
      <c r="I75" s="90"/>
      <c r="J75" s="90"/>
      <c r="K75" s="90"/>
    </row>
    <row r="76" spans="1:11" x14ac:dyDescent="0.2">
      <c r="A76" s="93">
        <f t="shared" si="1"/>
        <v>70</v>
      </c>
      <c r="B76" s="194"/>
      <c r="C76" s="96" t="s">
        <v>338</v>
      </c>
      <c r="D76" s="197">
        <v>471</v>
      </c>
      <c r="E76" s="62"/>
      <c r="F76" s="90"/>
      <c r="G76" s="196"/>
      <c r="H76" s="90"/>
      <c r="I76" s="90"/>
      <c r="J76" s="90"/>
      <c r="K76" s="90"/>
    </row>
    <row r="77" spans="1:11" x14ac:dyDescent="0.2">
      <c r="A77" s="93">
        <f t="shared" si="1"/>
        <v>71</v>
      </c>
      <c r="B77" s="194"/>
      <c r="C77" s="96" t="s">
        <v>337</v>
      </c>
      <c r="D77" s="195">
        <f>SUM(D75:D76)</f>
        <v>605</v>
      </c>
      <c r="E77" s="96" t="str">
        <f>" = L"&amp;A75&amp;" + L"&amp;A76&amp;""</f>
        <v xml:space="preserve"> = L69 + L70</v>
      </c>
      <c r="F77" s="90"/>
      <c r="G77" s="90"/>
      <c r="H77" s="90"/>
      <c r="I77" s="90"/>
      <c r="J77" s="90"/>
      <c r="K77" s="90"/>
    </row>
    <row r="78" spans="1:11" x14ac:dyDescent="0.2">
      <c r="A78" s="93">
        <f t="shared" si="1"/>
        <v>72</v>
      </c>
      <c r="B78" s="194"/>
      <c r="C78" s="96" t="s">
        <v>336</v>
      </c>
      <c r="D78" s="193">
        <f>D75/D77</f>
        <v>0.22148760330578512</v>
      </c>
      <c r="E78" s="96" t="str">
        <f>" = L"&amp;A75&amp;" / L"&amp;A77&amp;""</f>
        <v xml:space="preserve"> = L69 / L71</v>
      </c>
      <c r="F78" s="90"/>
      <c r="G78" s="90"/>
      <c r="H78" s="90"/>
      <c r="I78" s="90"/>
      <c r="J78" s="90"/>
      <c r="K78" s="90"/>
    </row>
    <row r="79" spans="1:11" x14ac:dyDescent="0.2">
      <c r="A79" s="93">
        <f t="shared" si="1"/>
        <v>73</v>
      </c>
      <c r="B79" s="90"/>
      <c r="C79" s="90"/>
      <c r="D79" s="90"/>
      <c r="E79" s="90"/>
      <c r="F79" s="90"/>
      <c r="G79" s="90"/>
      <c r="H79" s="90"/>
      <c r="I79" s="90"/>
      <c r="J79" s="90"/>
      <c r="K79" s="90"/>
    </row>
    <row r="80" spans="1:11" ht="13.5" thickBot="1" x14ac:dyDescent="0.25">
      <c r="A80" s="93">
        <f t="shared" si="1"/>
        <v>74</v>
      </c>
      <c r="B80" s="96" t="s">
        <v>335</v>
      </c>
      <c r="C80" s="90"/>
      <c r="D80" s="62" t="s">
        <v>292</v>
      </c>
      <c r="E80" s="62" t="s">
        <v>42</v>
      </c>
      <c r="F80" s="90"/>
      <c r="G80" s="100" t="s">
        <v>291</v>
      </c>
      <c r="H80" s="90"/>
      <c r="I80" s="90"/>
      <c r="J80" s="90"/>
      <c r="K80" s="90"/>
    </row>
    <row r="81" spans="1:11" x14ac:dyDescent="0.2">
      <c r="A81" s="93">
        <f t="shared" si="1"/>
        <v>75</v>
      </c>
      <c r="B81" s="194"/>
      <c r="C81" s="229" t="s">
        <v>334</v>
      </c>
      <c r="D81" s="230">
        <v>1174</v>
      </c>
      <c r="E81" s="62"/>
      <c r="F81" s="90"/>
      <c r="G81" s="196" t="s">
        <v>333</v>
      </c>
      <c r="H81" s="90"/>
      <c r="I81" s="90"/>
      <c r="J81" s="90"/>
      <c r="K81" s="90"/>
    </row>
    <row r="82" spans="1:11" ht="13.5" thickBot="1" x14ac:dyDescent="0.25">
      <c r="A82" s="93">
        <f t="shared" si="1"/>
        <v>76</v>
      </c>
      <c r="B82" s="194"/>
      <c r="C82" s="229" t="s">
        <v>332</v>
      </c>
      <c r="D82" s="231">
        <v>2087</v>
      </c>
      <c r="E82" s="62"/>
      <c r="F82" s="90"/>
      <c r="G82" s="196"/>
      <c r="H82" s="90"/>
      <c r="I82" s="90"/>
      <c r="J82" s="90"/>
      <c r="K82" s="90"/>
    </row>
    <row r="83" spans="1:11" x14ac:dyDescent="0.2">
      <c r="A83" s="93">
        <f t="shared" si="1"/>
        <v>77</v>
      </c>
      <c r="B83" s="194"/>
      <c r="C83" s="96" t="s">
        <v>331</v>
      </c>
      <c r="D83" s="198">
        <f>SUM(D81:D82)</f>
        <v>3261</v>
      </c>
      <c r="E83" s="96" t="str">
        <f>" = L"&amp;A81&amp;" + L"&amp;A82&amp;""</f>
        <v xml:space="preserve"> = L75 + L76</v>
      </c>
      <c r="F83" s="90"/>
      <c r="G83" s="90"/>
      <c r="H83" s="90"/>
      <c r="I83" s="90"/>
      <c r="J83" s="90"/>
      <c r="K83" s="90"/>
    </row>
    <row r="84" spans="1:11" x14ac:dyDescent="0.2">
      <c r="A84" s="93">
        <f t="shared" si="1"/>
        <v>78</v>
      </c>
      <c r="B84" s="194"/>
      <c r="C84" s="96" t="s">
        <v>330</v>
      </c>
      <c r="D84" s="193">
        <f>D81/D83</f>
        <v>0.36001226617601961</v>
      </c>
      <c r="E84" s="96" t="str">
        <f>" = L"&amp;A81&amp;" / L"&amp;A83&amp;""</f>
        <v xml:space="preserve"> = L75 / L77</v>
      </c>
      <c r="F84" s="90"/>
      <c r="G84" s="90"/>
      <c r="H84" s="90"/>
      <c r="I84" s="90"/>
      <c r="J84" s="90"/>
      <c r="K84" s="90"/>
    </row>
    <row r="85" spans="1:11" x14ac:dyDescent="0.2">
      <c r="A85" s="93">
        <f t="shared" si="1"/>
        <v>79</v>
      </c>
      <c r="B85" s="90"/>
      <c r="C85" s="91"/>
      <c r="D85" s="90"/>
      <c r="E85" s="90"/>
      <c r="F85" s="90"/>
      <c r="G85" s="90"/>
      <c r="H85" s="90"/>
      <c r="I85" s="90"/>
      <c r="J85" s="90"/>
      <c r="K85" s="90"/>
    </row>
    <row r="86" spans="1:11" x14ac:dyDescent="0.2">
      <c r="A86" s="93">
        <f t="shared" si="1"/>
        <v>80</v>
      </c>
      <c r="B86" s="96" t="s">
        <v>329</v>
      </c>
      <c r="C86" s="90"/>
      <c r="D86" s="62" t="s">
        <v>292</v>
      </c>
      <c r="E86" s="62" t="s">
        <v>42</v>
      </c>
      <c r="F86" s="90"/>
      <c r="G86" s="100" t="s">
        <v>291</v>
      </c>
      <c r="H86" s="90"/>
      <c r="I86" s="90"/>
      <c r="J86" s="90"/>
      <c r="K86" s="90"/>
    </row>
    <row r="87" spans="1:11" x14ac:dyDescent="0.2">
      <c r="A87" s="93">
        <f t="shared" si="1"/>
        <v>81</v>
      </c>
      <c r="B87" s="194"/>
      <c r="C87" s="96" t="s">
        <v>328</v>
      </c>
      <c r="D87" s="197">
        <v>310</v>
      </c>
      <c r="E87" s="62"/>
      <c r="F87" s="90"/>
      <c r="G87" s="196" t="s">
        <v>327</v>
      </c>
      <c r="H87" s="90"/>
      <c r="I87" s="90"/>
      <c r="J87" s="90"/>
      <c r="K87" s="90"/>
    </row>
    <row r="88" spans="1:11" x14ac:dyDescent="0.2">
      <c r="A88" s="93">
        <f t="shared" si="1"/>
        <v>82</v>
      </c>
      <c r="B88" s="194"/>
      <c r="C88" s="96" t="s">
        <v>326</v>
      </c>
      <c r="D88" s="228">
        <v>154</v>
      </c>
      <c r="E88" s="62"/>
      <c r="F88" s="90"/>
      <c r="G88" s="196"/>
      <c r="H88" s="90"/>
      <c r="I88" s="90"/>
      <c r="J88" s="90"/>
      <c r="K88" s="90"/>
    </row>
    <row r="89" spans="1:11" x14ac:dyDescent="0.2">
      <c r="A89" s="93">
        <f t="shared" si="1"/>
        <v>83</v>
      </c>
      <c r="B89" s="194"/>
      <c r="C89" s="96" t="s">
        <v>325</v>
      </c>
      <c r="D89" s="195">
        <f>SUM(D87:D88)</f>
        <v>464</v>
      </c>
      <c r="E89" s="96" t="str">
        <f>" = L"&amp;A87&amp;" + L"&amp;A88&amp;""</f>
        <v xml:space="preserve"> = L81 + L82</v>
      </c>
      <c r="F89" s="90"/>
      <c r="G89" s="90"/>
      <c r="H89" s="90"/>
      <c r="I89" s="90"/>
      <c r="J89" s="90"/>
      <c r="K89" s="90"/>
    </row>
    <row r="90" spans="1:11" x14ac:dyDescent="0.2">
      <c r="A90" s="93">
        <f t="shared" si="1"/>
        <v>84</v>
      </c>
      <c r="B90" s="194"/>
      <c r="C90" s="96" t="s">
        <v>324</v>
      </c>
      <c r="D90" s="193">
        <f>D87/D89</f>
        <v>0.6681034482758621</v>
      </c>
      <c r="E90" s="96" t="str">
        <f>" = L"&amp;A87&amp;" / L"&amp;A89&amp;""</f>
        <v xml:space="preserve"> = L81 / L83</v>
      </c>
      <c r="F90" s="90"/>
      <c r="G90" s="90"/>
      <c r="H90" s="90"/>
      <c r="I90" s="90"/>
      <c r="J90" s="90"/>
      <c r="K90" s="90"/>
    </row>
    <row r="91" spans="1:11" x14ac:dyDescent="0.2">
      <c r="A91" s="93">
        <f t="shared" si="1"/>
        <v>85</v>
      </c>
      <c r="B91" s="90"/>
      <c r="C91" s="90"/>
      <c r="D91" s="90"/>
      <c r="E91" s="90"/>
      <c r="F91" s="90"/>
      <c r="G91" s="90"/>
      <c r="H91" s="90"/>
      <c r="I91" s="90"/>
      <c r="J91" s="90"/>
      <c r="K91" s="90"/>
    </row>
    <row r="92" spans="1:11" x14ac:dyDescent="0.2">
      <c r="A92" s="93">
        <f t="shared" si="1"/>
        <v>86</v>
      </c>
      <c r="B92" s="96" t="s">
        <v>323</v>
      </c>
      <c r="C92" s="90"/>
      <c r="D92" s="62" t="s">
        <v>292</v>
      </c>
      <c r="E92" s="62" t="s">
        <v>42</v>
      </c>
      <c r="F92" s="90"/>
      <c r="G92" s="100" t="s">
        <v>291</v>
      </c>
      <c r="H92" s="90"/>
      <c r="I92" s="90"/>
      <c r="J92" s="90"/>
      <c r="K92" s="90"/>
    </row>
    <row r="93" spans="1:11" x14ac:dyDescent="0.2">
      <c r="A93" s="93">
        <f t="shared" si="1"/>
        <v>87</v>
      </c>
      <c r="B93" s="194"/>
      <c r="C93" s="96" t="s">
        <v>322</v>
      </c>
      <c r="D93" s="197">
        <v>468246.38608930749</v>
      </c>
      <c r="E93" s="62"/>
      <c r="F93" s="90"/>
      <c r="G93" s="90" t="s">
        <v>321</v>
      </c>
      <c r="H93" s="90"/>
      <c r="I93" s="90"/>
      <c r="J93" s="90"/>
      <c r="K93" s="90"/>
    </row>
    <row r="94" spans="1:11" x14ac:dyDescent="0.2">
      <c r="A94" s="93">
        <f t="shared" si="1"/>
        <v>88</v>
      </c>
      <c r="B94" s="194"/>
      <c r="C94" s="96" t="s">
        <v>320</v>
      </c>
      <c r="D94" s="197">
        <v>1181071.4539106924</v>
      </c>
      <c r="E94" s="62"/>
      <c r="F94" s="90"/>
      <c r="G94" s="196"/>
      <c r="H94" s="90"/>
      <c r="I94" s="90"/>
      <c r="J94" s="90"/>
      <c r="K94" s="90"/>
    </row>
    <row r="95" spans="1:11" x14ac:dyDescent="0.2">
      <c r="A95" s="93">
        <f t="shared" si="1"/>
        <v>89</v>
      </c>
      <c r="B95" s="194"/>
      <c r="C95" s="96" t="s">
        <v>319</v>
      </c>
      <c r="D95" s="195">
        <f>SUM(D93:D94)</f>
        <v>1649317.8399999999</v>
      </c>
      <c r="E95" s="96" t="str">
        <f>" = L"&amp;A93&amp;" + L"&amp;A94&amp;""</f>
        <v xml:space="preserve"> = L87 + L88</v>
      </c>
      <c r="F95" s="90"/>
      <c r="G95" s="90"/>
      <c r="H95" s="90"/>
      <c r="I95" s="90"/>
      <c r="J95" s="90"/>
      <c r="K95" s="90"/>
    </row>
    <row r="96" spans="1:11" x14ac:dyDescent="0.2">
      <c r="A96" s="93">
        <f t="shared" si="1"/>
        <v>90</v>
      </c>
      <c r="B96" s="194"/>
      <c r="C96" s="96" t="s">
        <v>318</v>
      </c>
      <c r="D96" s="193">
        <f>D93/D95</f>
        <v>0.28390306266820442</v>
      </c>
      <c r="E96" s="96" t="str">
        <f>" = L"&amp;A93&amp;" / L"&amp;A95&amp;""</f>
        <v xml:space="preserve"> = L87 / L89</v>
      </c>
      <c r="F96" s="90"/>
      <c r="G96" s="90"/>
      <c r="H96" s="90"/>
      <c r="I96" s="90"/>
      <c r="J96" s="90"/>
      <c r="K96" s="90"/>
    </row>
    <row r="97" spans="1:11" x14ac:dyDescent="0.2">
      <c r="A97" s="93">
        <f t="shared" si="1"/>
        <v>91</v>
      </c>
      <c r="B97" s="90"/>
      <c r="C97" s="90"/>
      <c r="D97" s="90"/>
      <c r="E97" s="90"/>
      <c r="F97" s="90"/>
      <c r="G97" s="90"/>
      <c r="H97" s="90"/>
      <c r="I97" s="90"/>
      <c r="J97" s="90"/>
      <c r="K97" s="90"/>
    </row>
    <row r="98" spans="1:11" x14ac:dyDescent="0.2">
      <c r="A98" s="93">
        <f t="shared" si="1"/>
        <v>92</v>
      </c>
      <c r="B98" s="96" t="s">
        <v>317</v>
      </c>
      <c r="C98" s="90"/>
      <c r="D98" s="62" t="s">
        <v>292</v>
      </c>
      <c r="E98" s="62" t="s">
        <v>42</v>
      </c>
      <c r="F98" s="90"/>
      <c r="G98" s="100" t="s">
        <v>291</v>
      </c>
      <c r="H98" s="90"/>
      <c r="I98" s="90"/>
      <c r="J98" s="90"/>
      <c r="K98" s="90"/>
    </row>
    <row r="99" spans="1:11" x14ac:dyDescent="0.2">
      <c r="A99" s="93">
        <f t="shared" si="1"/>
        <v>93</v>
      </c>
      <c r="B99" s="194"/>
      <c r="C99" s="96" t="s">
        <v>316</v>
      </c>
      <c r="D99" s="197">
        <v>394539.06064598879</v>
      </c>
      <c r="E99" s="62"/>
      <c r="F99" s="90"/>
      <c r="G99" s="196" t="s">
        <v>315</v>
      </c>
      <c r="H99" s="90"/>
      <c r="I99" s="90"/>
      <c r="J99" s="90"/>
      <c r="K99" s="90"/>
    </row>
    <row r="100" spans="1:11" x14ac:dyDescent="0.2">
      <c r="A100" s="93">
        <f t="shared" si="1"/>
        <v>94</v>
      </c>
      <c r="B100" s="194"/>
      <c r="C100" s="96" t="s">
        <v>314</v>
      </c>
      <c r="D100" s="197">
        <v>6793035.6693540104</v>
      </c>
      <c r="E100" s="62"/>
      <c r="F100" s="90"/>
      <c r="G100" s="196"/>
      <c r="H100" s="90"/>
      <c r="I100" s="90"/>
      <c r="J100" s="90"/>
      <c r="K100" s="90"/>
    </row>
    <row r="101" spans="1:11" x14ac:dyDescent="0.2">
      <c r="A101" s="93">
        <f t="shared" si="1"/>
        <v>95</v>
      </c>
      <c r="B101" s="194"/>
      <c r="C101" s="96" t="s">
        <v>313</v>
      </c>
      <c r="D101" s="195">
        <f>SUM(D99:D100)</f>
        <v>7187574.7299999995</v>
      </c>
      <c r="E101" s="96" t="str">
        <f>" = L"&amp;A99&amp;" + L"&amp;A100&amp;""</f>
        <v xml:space="preserve"> = L93 + L94</v>
      </c>
      <c r="F101" s="90"/>
      <c r="G101" s="90"/>
      <c r="H101" s="90"/>
      <c r="I101" s="90"/>
      <c r="J101" s="90"/>
      <c r="K101" s="90"/>
    </row>
    <row r="102" spans="1:11" x14ac:dyDescent="0.2">
      <c r="A102" s="93">
        <f t="shared" si="1"/>
        <v>96</v>
      </c>
      <c r="B102" s="194"/>
      <c r="C102" s="96" t="s">
        <v>312</v>
      </c>
      <c r="D102" s="193">
        <f>D99/D101</f>
        <v>5.4891820324209528E-2</v>
      </c>
      <c r="E102" s="96" t="str">
        <f>" = L"&amp;A99&amp;" / L"&amp;A101&amp;""</f>
        <v xml:space="preserve"> = L93 / L95</v>
      </c>
      <c r="F102" s="90"/>
      <c r="G102" s="90"/>
      <c r="H102" s="90"/>
      <c r="I102" s="90"/>
      <c r="J102" s="90"/>
      <c r="K102" s="90"/>
    </row>
    <row r="103" spans="1:11" x14ac:dyDescent="0.2">
      <c r="A103" s="93">
        <f t="shared" si="1"/>
        <v>97</v>
      </c>
      <c r="B103" s="90"/>
      <c r="C103" s="90"/>
      <c r="D103" s="90"/>
      <c r="E103" s="90"/>
      <c r="F103" s="90"/>
      <c r="G103" s="90"/>
      <c r="H103" s="90"/>
      <c r="I103" s="90"/>
      <c r="J103" s="90"/>
      <c r="K103" s="90"/>
    </row>
    <row r="104" spans="1:11" x14ac:dyDescent="0.2">
      <c r="A104" s="93">
        <f t="shared" si="1"/>
        <v>98</v>
      </c>
      <c r="B104" s="96" t="s">
        <v>311</v>
      </c>
      <c r="C104" s="90"/>
      <c r="D104" s="62" t="s">
        <v>292</v>
      </c>
      <c r="E104" s="62" t="s">
        <v>42</v>
      </c>
      <c r="F104" s="90"/>
      <c r="G104" s="100" t="s">
        <v>291</v>
      </c>
      <c r="H104" s="90"/>
      <c r="I104" s="90"/>
      <c r="J104" s="90"/>
      <c r="K104" s="90"/>
    </row>
    <row r="105" spans="1:11" x14ac:dyDescent="0.2">
      <c r="A105" s="93">
        <f t="shared" si="1"/>
        <v>99</v>
      </c>
      <c r="B105" s="194"/>
      <c r="C105" s="96" t="s">
        <v>310</v>
      </c>
      <c r="D105" s="228">
        <v>804405.70931893098</v>
      </c>
      <c r="E105" s="62"/>
      <c r="F105" s="90"/>
      <c r="G105" s="196" t="s">
        <v>309</v>
      </c>
      <c r="H105" s="90"/>
      <c r="I105" s="90"/>
      <c r="J105" s="90"/>
      <c r="K105" s="90"/>
    </row>
    <row r="106" spans="1:11" x14ac:dyDescent="0.2">
      <c r="A106" s="93">
        <f t="shared" si="1"/>
        <v>100</v>
      </c>
      <c r="B106" s="194"/>
      <c r="C106" s="96" t="s">
        <v>308</v>
      </c>
      <c r="D106" s="228">
        <v>1054515.020681069</v>
      </c>
      <c r="E106" s="62"/>
      <c r="F106" s="90"/>
      <c r="G106" s="196"/>
      <c r="H106" s="90"/>
      <c r="I106" s="90"/>
      <c r="J106" s="90"/>
      <c r="K106" s="90"/>
    </row>
    <row r="107" spans="1:11" x14ac:dyDescent="0.2">
      <c r="A107" s="93">
        <f t="shared" si="1"/>
        <v>101</v>
      </c>
      <c r="B107" s="194"/>
      <c r="C107" s="96" t="s">
        <v>307</v>
      </c>
      <c r="D107" s="195">
        <f>SUM(D105:D106)</f>
        <v>1858920.73</v>
      </c>
      <c r="E107" s="96" t="str">
        <f>" = L"&amp;A105&amp;" + L"&amp;A106&amp;""</f>
        <v xml:space="preserve"> = L99 + L100</v>
      </c>
      <c r="F107" s="90"/>
      <c r="G107" s="90"/>
      <c r="H107" s="90"/>
      <c r="I107" s="90"/>
      <c r="J107" s="90"/>
      <c r="K107" s="90"/>
    </row>
    <row r="108" spans="1:11" x14ac:dyDescent="0.2">
      <c r="A108" s="93">
        <f t="shared" si="1"/>
        <v>102</v>
      </c>
      <c r="B108" s="194"/>
      <c r="C108" s="96" t="s">
        <v>306</v>
      </c>
      <c r="D108" s="193">
        <f>D105/D107</f>
        <v>0.43272727897274621</v>
      </c>
      <c r="E108" s="96" t="str">
        <f>" = L"&amp;A105&amp;" / L"&amp;A107&amp;""</f>
        <v xml:space="preserve"> = L99 / L101</v>
      </c>
      <c r="F108" s="90"/>
      <c r="G108" s="90"/>
      <c r="H108" s="90"/>
      <c r="I108" s="90"/>
      <c r="J108" s="90"/>
      <c r="K108" s="90"/>
    </row>
    <row r="109" spans="1:11" x14ac:dyDescent="0.2">
      <c r="A109" s="93">
        <f t="shared" si="1"/>
        <v>103</v>
      </c>
      <c r="B109" s="90"/>
      <c r="C109" s="90"/>
      <c r="D109" s="90"/>
      <c r="E109" s="90"/>
      <c r="F109" s="90"/>
      <c r="G109" s="90"/>
      <c r="H109" s="90"/>
      <c r="I109" s="90"/>
      <c r="J109" s="90"/>
      <c r="K109" s="90"/>
    </row>
    <row r="110" spans="1:11" x14ac:dyDescent="0.2">
      <c r="A110" s="93">
        <f t="shared" si="1"/>
        <v>104</v>
      </c>
      <c r="B110" s="96" t="s">
        <v>305</v>
      </c>
      <c r="C110" s="90"/>
      <c r="D110" s="62" t="s">
        <v>292</v>
      </c>
      <c r="E110" s="62" t="s">
        <v>42</v>
      </c>
      <c r="F110" s="90"/>
      <c r="G110" s="100" t="s">
        <v>291</v>
      </c>
      <c r="H110" s="90"/>
      <c r="I110" s="90"/>
      <c r="J110" s="90"/>
      <c r="K110" s="90"/>
    </row>
    <row r="111" spans="1:11" x14ac:dyDescent="0.2">
      <c r="A111" s="93">
        <f t="shared" si="1"/>
        <v>105</v>
      </c>
      <c r="B111" s="194"/>
      <c r="C111" s="96" t="s">
        <v>304</v>
      </c>
      <c r="D111" s="197">
        <v>0</v>
      </c>
      <c r="E111" s="62"/>
      <c r="F111" s="90"/>
      <c r="G111" s="196" t="s">
        <v>303</v>
      </c>
      <c r="H111" s="90"/>
      <c r="I111" s="90"/>
      <c r="J111" s="90"/>
      <c r="K111" s="90"/>
    </row>
    <row r="112" spans="1:11" x14ac:dyDescent="0.2">
      <c r="A112" s="93">
        <f t="shared" si="1"/>
        <v>106</v>
      </c>
      <c r="B112" s="194"/>
      <c r="C112" s="96" t="s">
        <v>302</v>
      </c>
      <c r="D112" s="197">
        <v>2262</v>
      </c>
      <c r="E112" s="62"/>
      <c r="F112" s="90"/>
      <c r="G112" s="196"/>
      <c r="H112" s="90"/>
      <c r="I112" s="90"/>
      <c r="J112" s="90"/>
      <c r="K112" s="90"/>
    </row>
    <row r="113" spans="1:11" x14ac:dyDescent="0.2">
      <c r="A113" s="93">
        <f t="shared" si="1"/>
        <v>107</v>
      </c>
      <c r="B113" s="194"/>
      <c r="C113" s="96" t="s">
        <v>301</v>
      </c>
      <c r="D113" s="195">
        <f>SUM(D111:D112)</f>
        <v>2262</v>
      </c>
      <c r="E113" s="96" t="str">
        <f>" = L"&amp;A111&amp;" + L"&amp;A112&amp;""</f>
        <v xml:space="preserve"> = L105 + L106</v>
      </c>
      <c r="F113" s="90"/>
      <c r="G113" s="90"/>
      <c r="H113" s="90"/>
      <c r="I113" s="90"/>
      <c r="J113" s="90"/>
      <c r="K113" s="90"/>
    </row>
    <row r="114" spans="1:11" x14ac:dyDescent="0.2">
      <c r="A114" s="93">
        <f t="shared" si="1"/>
        <v>108</v>
      </c>
      <c r="B114" s="194"/>
      <c r="C114" s="96" t="s">
        <v>300</v>
      </c>
      <c r="D114" s="193">
        <f>D111/D113</f>
        <v>0</v>
      </c>
      <c r="E114" s="96" t="str">
        <f>" = L"&amp;A111&amp;" / L"&amp;A113&amp;""</f>
        <v xml:space="preserve"> = L105 / L107</v>
      </c>
      <c r="F114" s="90"/>
      <c r="G114" s="90"/>
      <c r="H114" s="90"/>
      <c r="I114" s="90"/>
      <c r="J114" s="90"/>
      <c r="K114" s="90"/>
    </row>
    <row r="115" spans="1:11" x14ac:dyDescent="0.2">
      <c r="A115" s="93">
        <f t="shared" si="1"/>
        <v>109</v>
      </c>
      <c r="B115" s="90"/>
      <c r="C115" s="90"/>
      <c r="D115" s="90"/>
      <c r="E115" s="90"/>
      <c r="F115" s="90"/>
      <c r="G115" s="90"/>
      <c r="H115" s="90"/>
      <c r="I115" s="90"/>
      <c r="J115" s="90"/>
      <c r="K115" s="90"/>
    </row>
    <row r="116" spans="1:11" x14ac:dyDescent="0.2">
      <c r="A116" s="93">
        <f t="shared" si="1"/>
        <v>110</v>
      </c>
      <c r="B116" s="96" t="s">
        <v>299</v>
      </c>
      <c r="C116" s="90"/>
      <c r="D116" s="62" t="s">
        <v>292</v>
      </c>
      <c r="E116" s="62" t="s">
        <v>42</v>
      </c>
      <c r="F116" s="90"/>
      <c r="G116" s="100" t="s">
        <v>291</v>
      </c>
      <c r="H116" s="90"/>
      <c r="I116" s="90"/>
      <c r="J116" s="90"/>
      <c r="K116" s="90"/>
    </row>
    <row r="117" spans="1:11" x14ac:dyDescent="0.2">
      <c r="A117" s="93">
        <f t="shared" si="1"/>
        <v>111</v>
      </c>
      <c r="B117" s="194"/>
      <c r="C117" s="96" t="s">
        <v>298</v>
      </c>
      <c r="D117" s="197">
        <v>0</v>
      </c>
      <c r="E117" s="62"/>
      <c r="F117" s="90"/>
      <c r="G117" s="196" t="s">
        <v>297</v>
      </c>
      <c r="H117" s="90"/>
      <c r="I117" s="90"/>
      <c r="J117" s="90"/>
      <c r="K117" s="90"/>
    </row>
    <row r="118" spans="1:11" x14ac:dyDescent="0.2">
      <c r="A118" s="93">
        <f t="shared" si="1"/>
        <v>112</v>
      </c>
      <c r="B118" s="194"/>
      <c r="C118" s="96" t="s">
        <v>296</v>
      </c>
      <c r="D118" s="228">
        <v>8849</v>
      </c>
      <c r="E118" s="62"/>
      <c r="F118" s="90"/>
      <c r="G118" s="196"/>
      <c r="H118" s="90"/>
      <c r="I118" s="90"/>
      <c r="J118" s="90"/>
      <c r="K118" s="90"/>
    </row>
    <row r="119" spans="1:11" x14ac:dyDescent="0.2">
      <c r="A119" s="93">
        <f t="shared" si="1"/>
        <v>113</v>
      </c>
      <c r="B119" s="194"/>
      <c r="C119" s="96" t="s">
        <v>295</v>
      </c>
      <c r="D119" s="195">
        <f>SUM(D117:D118)</f>
        <v>8849</v>
      </c>
      <c r="E119" s="96" t="str">
        <f>" = L"&amp;A117&amp;" + L"&amp;A118&amp;""</f>
        <v xml:space="preserve"> = L111 + L112</v>
      </c>
      <c r="F119" s="90"/>
      <c r="G119" s="90"/>
      <c r="H119" s="90"/>
      <c r="I119" s="90"/>
      <c r="J119" s="90"/>
      <c r="K119" s="90"/>
    </row>
    <row r="120" spans="1:11" x14ac:dyDescent="0.2">
      <c r="A120" s="93">
        <f t="shared" si="1"/>
        <v>114</v>
      </c>
      <c r="B120" s="194"/>
      <c r="C120" s="96" t="s">
        <v>294</v>
      </c>
      <c r="D120" s="193">
        <f>D117/D119</f>
        <v>0</v>
      </c>
      <c r="E120" s="96" t="str">
        <f>" = L"&amp;A117&amp;" / L"&amp;A119&amp;""</f>
        <v xml:space="preserve"> = L111 / L113</v>
      </c>
      <c r="F120" s="90"/>
      <c r="G120" s="90"/>
      <c r="H120" s="90"/>
      <c r="I120" s="90"/>
      <c r="J120" s="90"/>
      <c r="K120" s="90"/>
    </row>
    <row r="121" spans="1:11" x14ac:dyDescent="0.2">
      <c r="A121" s="93">
        <f t="shared" si="1"/>
        <v>115</v>
      </c>
      <c r="B121" s="90"/>
      <c r="C121" s="90"/>
      <c r="D121" s="90"/>
      <c r="E121" s="90"/>
      <c r="F121" s="90"/>
      <c r="G121" s="90"/>
      <c r="H121" s="90"/>
      <c r="I121" s="90"/>
      <c r="J121" s="90"/>
      <c r="K121" s="90"/>
    </row>
    <row r="122" spans="1:11" x14ac:dyDescent="0.2">
      <c r="A122" s="93">
        <f t="shared" si="1"/>
        <v>116</v>
      </c>
      <c r="B122" s="96" t="s">
        <v>293</v>
      </c>
      <c r="C122" s="90"/>
      <c r="D122" s="62" t="s">
        <v>292</v>
      </c>
      <c r="E122" s="62" t="s">
        <v>42</v>
      </c>
      <c r="F122" s="90"/>
      <c r="G122" s="100" t="s">
        <v>291</v>
      </c>
      <c r="H122" s="90"/>
      <c r="I122" s="90"/>
      <c r="J122" s="90"/>
      <c r="K122" s="90"/>
    </row>
    <row r="123" spans="1:11" x14ac:dyDescent="0.2">
      <c r="A123" s="93">
        <f t="shared" si="1"/>
        <v>117</v>
      </c>
      <c r="B123" s="194"/>
      <c r="C123" s="96" t="s">
        <v>290</v>
      </c>
      <c r="D123" s="197">
        <v>0</v>
      </c>
      <c r="E123" s="62"/>
      <c r="F123" s="90"/>
      <c r="G123" s="196" t="s">
        <v>289</v>
      </c>
      <c r="H123" s="90"/>
      <c r="I123" s="90"/>
      <c r="J123" s="90"/>
      <c r="K123" s="90"/>
    </row>
    <row r="124" spans="1:11" x14ac:dyDescent="0.2">
      <c r="A124" s="93">
        <f t="shared" si="1"/>
        <v>118</v>
      </c>
      <c r="B124" s="194"/>
      <c r="C124" s="96" t="s">
        <v>288</v>
      </c>
      <c r="D124" s="197">
        <v>2328</v>
      </c>
      <c r="E124" s="62"/>
      <c r="F124" s="90"/>
      <c r="G124" s="196"/>
      <c r="H124" s="90"/>
      <c r="I124" s="90"/>
      <c r="J124" s="90"/>
      <c r="K124" s="90"/>
    </row>
    <row r="125" spans="1:11" x14ac:dyDescent="0.2">
      <c r="A125" s="93">
        <f t="shared" si="1"/>
        <v>119</v>
      </c>
      <c r="B125" s="194"/>
      <c r="C125" s="96" t="s">
        <v>287</v>
      </c>
      <c r="D125" s="195">
        <f>SUM(D123:D124)</f>
        <v>2328</v>
      </c>
      <c r="E125" s="96" t="str">
        <f>" = L"&amp;A123&amp;" + L"&amp;A124&amp;""</f>
        <v xml:space="preserve"> = L117 + L118</v>
      </c>
      <c r="F125" s="90"/>
      <c r="G125" s="90"/>
      <c r="H125" s="90"/>
      <c r="I125" s="90"/>
      <c r="J125" s="90"/>
      <c r="K125" s="90"/>
    </row>
    <row r="126" spans="1:11" x14ac:dyDescent="0.2">
      <c r="A126" s="93">
        <f t="shared" si="1"/>
        <v>120</v>
      </c>
      <c r="B126" s="194"/>
      <c r="C126" s="96" t="s">
        <v>286</v>
      </c>
      <c r="D126" s="193">
        <f>D123/D125</f>
        <v>0</v>
      </c>
      <c r="E126" s="96" t="str">
        <f>" = L"&amp;A123&amp;" / L"&amp;A125&amp;""</f>
        <v xml:space="preserve"> = L117 / L119</v>
      </c>
      <c r="F126" s="90"/>
      <c r="G126" s="90"/>
      <c r="H126" s="90"/>
      <c r="I126" s="90"/>
      <c r="J126" s="90"/>
      <c r="K126" s="90"/>
    </row>
    <row r="127" spans="1:11" x14ac:dyDescent="0.2">
      <c r="A127" s="84"/>
      <c r="E127" s="90"/>
      <c r="F127" s="90"/>
      <c r="G127" s="90"/>
      <c r="H127" s="90"/>
      <c r="I127" s="90"/>
      <c r="J127" s="90"/>
      <c r="K127" s="90"/>
    </row>
    <row r="128" spans="1:11" x14ac:dyDescent="0.2">
      <c r="A128" s="84"/>
      <c r="E128" s="90"/>
      <c r="F128" s="90"/>
      <c r="G128" s="90"/>
      <c r="H128" s="90"/>
      <c r="I128" s="90"/>
      <c r="J128" s="90"/>
      <c r="K128" s="90"/>
    </row>
    <row r="129" spans="1:11" x14ac:dyDescent="0.2">
      <c r="A129" s="84"/>
      <c r="E129" s="90"/>
      <c r="F129" s="90"/>
      <c r="G129" s="90"/>
      <c r="H129" s="90"/>
      <c r="I129" s="90"/>
      <c r="J129" s="90"/>
      <c r="K129" s="90"/>
    </row>
    <row r="130" spans="1:11" x14ac:dyDescent="0.2">
      <c r="A130" s="84"/>
    </row>
    <row r="131" spans="1:11" x14ac:dyDescent="0.2">
      <c r="A131" s="84"/>
    </row>
    <row r="132" spans="1:11" x14ac:dyDescent="0.2">
      <c r="A132" s="84"/>
    </row>
    <row r="133" spans="1:11" x14ac:dyDescent="0.2">
      <c r="A133" s="84"/>
    </row>
    <row r="134" spans="1:11" x14ac:dyDescent="0.2">
      <c r="A134" s="84"/>
    </row>
    <row r="135" spans="1:11" x14ac:dyDescent="0.2">
      <c r="A135" s="84"/>
    </row>
    <row r="136" spans="1:11" x14ac:dyDescent="0.2">
      <c r="A136" s="84"/>
    </row>
    <row r="137" spans="1:11" x14ac:dyDescent="0.2">
      <c r="A137" s="84"/>
    </row>
    <row r="138" spans="1:11" x14ac:dyDescent="0.2">
      <c r="A138" s="84"/>
    </row>
  </sheetData>
  <pageMargins left="0.75" right="0.75" top="1" bottom="1" header="0.5" footer="0.5"/>
  <pageSetup scale="69" orientation="landscape" cellComments="asDisplayed" r:id="rId1"/>
  <headerFooter alignWithMargins="0">
    <oddHeader>&amp;CSchedule 27
Allocation Factors
(Revised 2015 True Up TRR)
&amp;RExhibit SCE-29
TO2019A
WP-Schedule 3-One Time Adj Prior Period
Page &amp;P of &amp;N</oddHeader>
    <oddFooter>&amp;R&amp;A</oddFooter>
  </headerFooter>
  <rowBreaks count="2" manualBreakCount="2">
    <brk id="49" max="16383" man="1"/>
    <brk id="103" max="10"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zoomScaleNormal="100" workbookViewId="0">
      <selection activeCell="A8" sqref="A8:C8"/>
    </sheetView>
  </sheetViews>
  <sheetFormatPr defaultRowHeight="15" x14ac:dyDescent="0.25"/>
  <cols>
    <col min="1" max="2" width="9.140625" style="42"/>
    <col min="3" max="3" width="17.85546875" style="42" customWidth="1"/>
    <col min="4" max="4" width="14.28515625" style="42" bestFit="1" customWidth="1"/>
    <col min="5" max="6" width="9.140625" style="42"/>
    <col min="7" max="7" width="13.85546875" style="42" customWidth="1"/>
    <col min="8" max="16384" width="9.140625" style="42"/>
  </cols>
  <sheetData>
    <row r="2" spans="1:8" ht="21" customHeight="1" x14ac:dyDescent="0.25"/>
    <row r="3" spans="1:8" ht="15" customHeight="1" x14ac:dyDescent="0.25">
      <c r="A3" s="506" t="s">
        <v>961</v>
      </c>
      <c r="B3" s="506"/>
      <c r="C3" s="506"/>
      <c r="D3" s="506"/>
      <c r="E3" s="506"/>
      <c r="F3" s="506"/>
      <c r="G3" s="506"/>
    </row>
    <row r="4" spans="1:8" ht="15" customHeight="1" x14ac:dyDescent="0.25">
      <c r="A4" s="506"/>
      <c r="B4" s="506"/>
      <c r="C4" s="506"/>
      <c r="D4" s="506"/>
      <c r="E4" s="506"/>
      <c r="F4" s="506"/>
      <c r="G4" s="506"/>
    </row>
    <row r="5" spans="1:8" x14ac:dyDescent="0.25">
      <c r="A5" s="507" t="s">
        <v>31</v>
      </c>
      <c r="B5" s="507"/>
      <c r="C5" s="507"/>
      <c r="D5" s="43" t="s">
        <v>32</v>
      </c>
      <c r="E5" s="508" t="s">
        <v>33</v>
      </c>
      <c r="F5" s="508"/>
      <c r="G5" s="508"/>
      <c r="H5" s="44"/>
    </row>
    <row r="6" spans="1:8" ht="47.25" customHeight="1" x14ac:dyDescent="0.25">
      <c r="A6" s="546" t="s">
        <v>969</v>
      </c>
      <c r="B6" s="547"/>
      <c r="C6" s="548"/>
      <c r="D6" s="45">
        <v>1024128578</v>
      </c>
      <c r="E6" s="549" t="s">
        <v>968</v>
      </c>
      <c r="F6" s="550"/>
      <c r="G6" s="551"/>
    </row>
    <row r="7" spans="1:8" ht="50.25" customHeight="1" x14ac:dyDescent="0.25">
      <c r="A7" s="559" t="s">
        <v>1004</v>
      </c>
      <c r="B7" s="555"/>
      <c r="C7" s="556"/>
      <c r="D7" s="192">
        <f>'WP-2016 Sch 4-TUTRR'!E73</f>
        <v>1024300614.2093396</v>
      </c>
      <c r="E7" s="557" t="s">
        <v>1005</v>
      </c>
      <c r="F7" s="554"/>
      <c r="G7" s="554"/>
    </row>
    <row r="8" spans="1:8" x14ac:dyDescent="0.25">
      <c r="A8" s="513" t="s">
        <v>34</v>
      </c>
      <c r="B8" s="513"/>
      <c r="C8" s="514"/>
      <c r="D8" s="46">
        <f>D7-D6</f>
        <v>172036.20933961868</v>
      </c>
      <c r="E8" s="552"/>
      <c r="F8" s="552"/>
      <c r="G8" s="553"/>
    </row>
    <row r="11" spans="1:8" x14ac:dyDescent="0.25">
      <c r="A11" s="82" t="s">
        <v>273</v>
      </c>
    </row>
    <row r="12" spans="1:8" ht="15" customHeight="1" x14ac:dyDescent="0.25">
      <c r="A12" s="516" t="s">
        <v>967</v>
      </c>
      <c r="B12" s="511"/>
      <c r="C12" s="511"/>
      <c r="D12" s="511"/>
      <c r="E12" s="511"/>
      <c r="F12" s="511"/>
      <c r="G12" s="511"/>
      <c r="H12" s="511"/>
    </row>
    <row r="13" spans="1:8" ht="15" customHeight="1" x14ac:dyDescent="0.25">
      <c r="A13" s="489" t="s">
        <v>994</v>
      </c>
      <c r="B13" s="189"/>
      <c r="C13" s="189"/>
      <c r="D13" s="189"/>
      <c r="E13" s="189"/>
      <c r="F13" s="189"/>
      <c r="G13" s="189"/>
      <c r="H13" s="189"/>
    </row>
    <row r="14" spans="1:8" ht="15" customHeight="1" x14ac:dyDescent="0.25">
      <c r="A14" s="545" t="s">
        <v>995</v>
      </c>
      <c r="B14" s="512"/>
      <c r="C14" s="512"/>
      <c r="D14" s="512"/>
      <c r="E14" s="512"/>
      <c r="F14" s="512"/>
      <c r="G14" s="512"/>
      <c r="H14" s="512"/>
    </row>
    <row r="15" spans="1:8" x14ac:dyDescent="0.25">
      <c r="A15" s="489" t="s">
        <v>996</v>
      </c>
      <c r="B15" s="189"/>
      <c r="C15" s="189"/>
      <c r="D15" s="189"/>
      <c r="E15" s="189"/>
      <c r="F15" s="189"/>
      <c r="G15" s="189"/>
      <c r="H15" s="189"/>
    </row>
    <row r="16" spans="1:8" ht="15" customHeight="1" x14ac:dyDescent="0.25">
      <c r="A16" s="545" t="s">
        <v>993</v>
      </c>
      <c r="B16" s="512"/>
      <c r="C16" s="512"/>
      <c r="D16" s="512"/>
      <c r="E16" s="512"/>
      <c r="F16" s="512"/>
      <c r="G16" s="512"/>
      <c r="H16" s="512"/>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&amp;RExhibit SCE-29
TO2019A
WP-Schedule 3-One Time Adj Prior Period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20" zoomScaleNormal="120" workbookViewId="0"/>
  </sheetViews>
  <sheetFormatPr defaultRowHeight="12.75" x14ac:dyDescent="0.2"/>
  <cols>
    <col min="1" max="2" width="4.7109375" style="63" customWidth="1"/>
    <col min="3" max="3" width="18.7109375" style="63" customWidth="1"/>
    <col min="4" max="4" width="10.28515625" style="63" bestFit="1" customWidth="1"/>
    <col min="5" max="7" width="15.7109375" style="63" customWidth="1"/>
    <col min="8" max="8" width="24.7109375" style="63" customWidth="1"/>
    <col min="9" max="9" width="4.5703125" style="63" customWidth="1"/>
    <col min="10" max="10" width="15.7109375" style="63" customWidth="1"/>
    <col min="11" max="16384" width="9.140625" style="63"/>
  </cols>
  <sheetData>
    <row r="1" spans="1:10" x14ac:dyDescent="0.2">
      <c r="A1" s="92" t="s">
        <v>35</v>
      </c>
    </row>
    <row r="2" spans="1:10" x14ac:dyDescent="0.2">
      <c r="H2" s="90"/>
    </row>
    <row r="3" spans="1:10" x14ac:dyDescent="0.2">
      <c r="B3" s="385" t="s">
        <v>36</v>
      </c>
    </row>
    <row r="4" spans="1:10" x14ac:dyDescent="0.2">
      <c r="B4" s="386"/>
      <c r="F4" s="84" t="s">
        <v>37</v>
      </c>
      <c r="G4" s="84"/>
      <c r="H4" s="84" t="s">
        <v>38</v>
      </c>
    </row>
    <row r="5" spans="1:10" x14ac:dyDescent="0.2">
      <c r="A5" s="387" t="s">
        <v>39</v>
      </c>
      <c r="B5" s="388"/>
      <c r="C5" s="97" t="s">
        <v>40</v>
      </c>
      <c r="F5" s="85" t="s">
        <v>41</v>
      </c>
      <c r="G5" s="85" t="s">
        <v>42</v>
      </c>
      <c r="H5" s="85" t="s">
        <v>43</v>
      </c>
      <c r="J5" s="85" t="s">
        <v>32</v>
      </c>
    </row>
    <row r="6" spans="1:10" x14ac:dyDescent="0.2">
      <c r="A6" s="93">
        <v>1</v>
      </c>
      <c r="B6" s="90"/>
      <c r="C6" s="389" t="s">
        <v>44</v>
      </c>
      <c r="D6" s="90"/>
      <c r="E6" s="90"/>
      <c r="F6" s="90" t="s">
        <v>45</v>
      </c>
      <c r="G6" s="90"/>
      <c r="H6" s="389" t="str">
        <f>"6-PlantInService, Line "&amp;'[16]6-PlantInService'!A42&amp;""</f>
        <v>6-PlantInService, Line 18</v>
      </c>
      <c r="I6" s="90"/>
      <c r="J6" s="86">
        <f>'[16]6-PlantInService'!D42</f>
        <v>7902835352.5954552</v>
      </c>
    </row>
    <row r="7" spans="1:10" x14ac:dyDescent="0.2">
      <c r="A7" s="93">
        <f>A6+1</f>
        <v>2</v>
      </c>
      <c r="B7" s="90"/>
      <c r="C7" s="389" t="s">
        <v>46</v>
      </c>
      <c r="D7" s="90"/>
      <c r="E7" s="90"/>
      <c r="F7" s="90" t="s">
        <v>47</v>
      </c>
      <c r="G7" s="90"/>
      <c r="H7" s="389" t="str">
        <f>"6-PlantInService, Line "&amp;'[16]6-PlantInService'!A58&amp;""</f>
        <v>6-PlantInService, Line 24</v>
      </c>
      <c r="I7" s="90"/>
      <c r="J7" s="187">
        <f>'[16]6-PlantInService'!F58</f>
        <v>256061815.89145824</v>
      </c>
    </row>
    <row r="8" spans="1:10" x14ac:dyDescent="0.2">
      <c r="A8" s="93">
        <f>A7+1</f>
        <v>3</v>
      </c>
      <c r="B8" s="90"/>
      <c r="C8" s="389" t="s">
        <v>48</v>
      </c>
      <c r="D8" s="90"/>
      <c r="E8" s="90"/>
      <c r="F8" s="90" t="s">
        <v>47</v>
      </c>
      <c r="G8" s="90"/>
      <c r="H8" s="90" t="str">
        <f>"11-PHFU, Line "&amp;'[16]11-PHFU'!A41&amp;""</f>
        <v>11-PHFU, Line 9</v>
      </c>
      <c r="I8" s="90"/>
      <c r="J8" s="86">
        <f>'[16]11-PHFU'!D41</f>
        <v>9942155</v>
      </c>
    </row>
    <row r="9" spans="1:10" x14ac:dyDescent="0.2">
      <c r="A9" s="93">
        <f>A8+1</f>
        <v>4</v>
      </c>
      <c r="B9" s="90"/>
      <c r="C9" s="389" t="s">
        <v>49</v>
      </c>
      <c r="D9" s="90"/>
      <c r="E9" s="90"/>
      <c r="F9" s="90" t="s">
        <v>47</v>
      </c>
      <c r="G9" s="90"/>
      <c r="H9" s="96" t="str">
        <f>"12-AbandonedPlant Line "&amp;'[16]12-AbandonedPlant'!A21&amp;""</f>
        <v>12-AbandonedPlant Line 4</v>
      </c>
      <c r="I9" s="90"/>
      <c r="J9" s="86">
        <f>'[16]12-AbandonedPlant'!G21</f>
        <v>18534524.5</v>
      </c>
    </row>
    <row r="10" spans="1:10" x14ac:dyDescent="0.2">
      <c r="A10" s="93"/>
      <c r="B10" s="90"/>
      <c r="C10" s="389"/>
      <c r="D10" s="90"/>
      <c r="E10" s="90"/>
      <c r="F10" s="90"/>
      <c r="G10" s="90"/>
      <c r="H10" s="90"/>
      <c r="I10" s="90"/>
      <c r="J10" s="86"/>
    </row>
    <row r="11" spans="1:10" x14ac:dyDescent="0.2">
      <c r="A11" s="93"/>
      <c r="B11" s="90"/>
      <c r="C11" s="390" t="s">
        <v>50</v>
      </c>
      <c r="D11" s="90"/>
      <c r="E11" s="90"/>
      <c r="F11" s="90"/>
      <c r="G11" s="90"/>
      <c r="H11" s="90"/>
      <c r="I11" s="90"/>
      <c r="J11" s="86"/>
    </row>
    <row r="12" spans="1:10" x14ac:dyDescent="0.2">
      <c r="A12" s="93">
        <f>A9+1</f>
        <v>5</v>
      </c>
      <c r="B12" s="90"/>
      <c r="C12" s="391" t="s">
        <v>51</v>
      </c>
      <c r="D12" s="90"/>
      <c r="E12" s="90"/>
      <c r="F12" s="90" t="s">
        <v>45</v>
      </c>
      <c r="G12" s="90"/>
      <c r="H12" s="389" t="str">
        <f>"13-WorkCap, Line "&amp;'[16]13-WorkCap'!A27&amp;""</f>
        <v>13-WorkCap, Line 17</v>
      </c>
      <c r="I12" s="90"/>
      <c r="J12" s="187">
        <f>'[16]13-WorkCap'!F27</f>
        <v>14352006.969473332</v>
      </c>
    </row>
    <row r="13" spans="1:10" x14ac:dyDescent="0.2">
      <c r="A13" s="93">
        <f>A12+1</f>
        <v>6</v>
      </c>
      <c r="B13" s="90"/>
      <c r="C13" s="89" t="s">
        <v>52</v>
      </c>
      <c r="D13" s="90"/>
      <c r="E13" s="90"/>
      <c r="F13" s="90" t="s">
        <v>45</v>
      </c>
      <c r="G13" s="90"/>
      <c r="H13" s="389" t="str">
        <f>"13-WorkCap, Line "&amp;'[16]13-WorkCap'!A51&amp;""</f>
        <v>13-WorkCap, Line 33</v>
      </c>
      <c r="I13" s="90"/>
      <c r="J13" s="187">
        <f>'[16]13-WorkCap'!F51</f>
        <v>4739146.5968116177</v>
      </c>
    </row>
    <row r="14" spans="1:10" x14ac:dyDescent="0.2">
      <c r="A14" s="93">
        <f>A13+1</f>
        <v>7</v>
      </c>
      <c r="B14" s="90"/>
      <c r="C14" s="391" t="s">
        <v>53</v>
      </c>
      <c r="D14" s="90"/>
      <c r="E14" s="90"/>
      <c r="F14" s="96" t="s">
        <v>54</v>
      </c>
      <c r="G14" s="90"/>
      <c r="H14" s="90" t="str">
        <f>"1-Base TRR Line "&amp;'[16]1-BaseTRR'!A17&amp;""</f>
        <v>1-Base TRR Line 7</v>
      </c>
      <c r="I14" s="90"/>
      <c r="J14" s="392">
        <f>'[16]1-BaseTRR'!K17</f>
        <v>8056123.2318254448</v>
      </c>
    </row>
    <row r="15" spans="1:10" x14ac:dyDescent="0.2">
      <c r="A15" s="93">
        <f>A14+1</f>
        <v>8</v>
      </c>
      <c r="B15" s="90"/>
      <c r="C15" s="391" t="s">
        <v>55</v>
      </c>
      <c r="D15" s="90"/>
      <c r="E15" s="90"/>
      <c r="F15" s="90"/>
      <c r="G15" s="90"/>
      <c r="H15" s="90" t="str">
        <f>"Line "&amp;A12&amp;" + Line "&amp;A13&amp;" + Line "&amp;A14&amp;""</f>
        <v>Line 5 + Line 6 + Line 7</v>
      </c>
      <c r="I15" s="90"/>
      <c r="J15" s="187">
        <f>SUM(J12:J14)</f>
        <v>27147276.798110396</v>
      </c>
    </row>
    <row r="16" spans="1:10" x14ac:dyDescent="0.2">
      <c r="A16" s="93"/>
      <c r="B16" s="90"/>
      <c r="C16" s="391"/>
      <c r="D16" s="90"/>
      <c r="E16" s="90"/>
      <c r="F16" s="90"/>
      <c r="G16" s="90"/>
      <c r="H16" s="90"/>
      <c r="I16" s="90"/>
      <c r="J16" s="86"/>
    </row>
    <row r="17" spans="1:10" x14ac:dyDescent="0.2">
      <c r="A17" s="93"/>
      <c r="B17" s="90"/>
      <c r="C17" s="393" t="s">
        <v>56</v>
      </c>
      <c r="D17" s="90"/>
      <c r="E17" s="90"/>
      <c r="F17" s="90"/>
      <c r="G17" s="90"/>
      <c r="H17" s="90"/>
      <c r="I17" s="90"/>
      <c r="J17" s="86"/>
    </row>
    <row r="18" spans="1:10" x14ac:dyDescent="0.2">
      <c r="A18" s="93">
        <f>A15+1</f>
        <v>9</v>
      </c>
      <c r="B18" s="90"/>
      <c r="C18" s="391" t="s">
        <v>57</v>
      </c>
      <c r="D18" s="90"/>
      <c r="E18" s="90"/>
      <c r="F18" s="90" t="s">
        <v>45</v>
      </c>
      <c r="G18" s="90" t="s">
        <v>58</v>
      </c>
      <c r="H18" s="389" t="str">
        <f>"8-AccDep, Line "&amp;'[16]8-AccDep'!A25&amp;", Col. 12"</f>
        <v>8-AccDep, Line 14, Col. 12</v>
      </c>
      <c r="I18" s="90"/>
      <c r="J18" s="86">
        <f>-'[16]8-AccDep'!N25</f>
        <v>-1388640790.6733401</v>
      </c>
    </row>
    <row r="19" spans="1:10" x14ac:dyDescent="0.2">
      <c r="A19" s="93">
        <f>A18+1</f>
        <v>10</v>
      </c>
      <c r="B19" s="90"/>
      <c r="C19" s="391" t="s">
        <v>59</v>
      </c>
      <c r="D19" s="90"/>
      <c r="E19" s="90"/>
      <c r="F19" s="90" t="s">
        <v>47</v>
      </c>
      <c r="G19" s="90" t="s">
        <v>58</v>
      </c>
      <c r="H19" s="389" t="str">
        <f>"8-AccDep, Line "&amp;'[16]8-AccDep'!A35&amp;", Col. 5"</f>
        <v>8-AccDep, Line 17, Col. 5</v>
      </c>
      <c r="I19" s="90"/>
      <c r="J19" s="86">
        <f>-'[16]8-AccDep'!G35</f>
        <v>0</v>
      </c>
    </row>
    <row r="20" spans="1:10" x14ac:dyDescent="0.2">
      <c r="A20" s="93">
        <f>A19+1</f>
        <v>11</v>
      </c>
      <c r="B20" s="90"/>
      <c r="C20" s="391" t="s">
        <v>60</v>
      </c>
      <c r="D20" s="47"/>
      <c r="E20" s="90"/>
      <c r="F20" s="90" t="s">
        <v>47</v>
      </c>
      <c r="G20" s="90" t="s">
        <v>58</v>
      </c>
      <c r="H20" s="389" t="str">
        <f>"8-AccDep, Line "&amp;'[16]8-AccDep'!A53&amp;""</f>
        <v>8-AccDep, Line 23</v>
      </c>
      <c r="I20" s="90"/>
      <c r="J20" s="392">
        <f>-'[16]8-AccDep'!F53</f>
        <v>-111020981.33803944</v>
      </c>
    </row>
    <row r="21" spans="1:10" x14ac:dyDescent="0.2">
      <c r="A21" s="93">
        <f>A20+1</f>
        <v>12</v>
      </c>
      <c r="B21" s="90"/>
      <c r="C21" s="48" t="s">
        <v>61</v>
      </c>
      <c r="D21" s="47"/>
      <c r="E21" s="90"/>
      <c r="F21" s="90"/>
      <c r="G21" s="90"/>
      <c r="H21" s="90" t="str">
        <f>"Line "&amp;A18&amp;" + Line "&amp;A19&amp;" + Line "&amp;A20&amp;""</f>
        <v>Line 9 + Line 10 + Line 11</v>
      </c>
      <c r="I21" s="90"/>
      <c r="J21" s="187">
        <f>SUM(J18:J20)</f>
        <v>-1499661772.0113795</v>
      </c>
    </row>
    <row r="22" spans="1:10" x14ac:dyDescent="0.2">
      <c r="A22" s="93"/>
      <c r="B22" s="90"/>
      <c r="C22" s="96"/>
      <c r="D22" s="90"/>
      <c r="E22" s="90"/>
      <c r="F22" s="90"/>
      <c r="G22" s="90"/>
      <c r="H22" s="90"/>
      <c r="I22" s="90"/>
      <c r="J22" s="86"/>
    </row>
    <row r="23" spans="1:10" x14ac:dyDescent="0.2">
      <c r="A23" s="93">
        <f>A21+1</f>
        <v>13</v>
      </c>
      <c r="B23" s="90"/>
      <c r="C23" s="99" t="s">
        <v>62</v>
      </c>
      <c r="D23" s="90"/>
      <c r="E23" s="90"/>
      <c r="F23" s="90" t="s">
        <v>47</v>
      </c>
      <c r="G23" s="90"/>
      <c r="H23" s="389" t="str">
        <f>"9-ADIT, Line "&amp;'[16]9-ADIT'!A23&amp;""</f>
        <v>9-ADIT, Line 14</v>
      </c>
      <c r="I23" s="90"/>
      <c r="J23" s="187">
        <f>'[16]9-ADIT'!D23</f>
        <v>-1431150165.2744904</v>
      </c>
    </row>
    <row r="24" spans="1:10" x14ac:dyDescent="0.2">
      <c r="A24" s="93">
        <f>A23+1</f>
        <v>14</v>
      </c>
      <c r="B24" s="90"/>
      <c r="C24" s="389" t="s">
        <v>63</v>
      </c>
      <c r="D24" s="90"/>
      <c r="E24" s="90"/>
      <c r="F24" s="90" t="s">
        <v>45</v>
      </c>
      <c r="G24" s="90"/>
      <c r="H24" s="389" t="str">
        <f>"14-IncentivePlant, L "&amp;'[16]14-IncentivePlant'!A37&amp;", C2"</f>
        <v>14-IncentivePlant, L 12, C2</v>
      </c>
      <c r="I24" s="90"/>
      <c r="J24" s="86">
        <f>'[16]14-IncentivePlant'!F37</f>
        <v>271933898.42538464</v>
      </c>
    </row>
    <row r="25" spans="1:10" x14ac:dyDescent="0.2">
      <c r="A25" s="93">
        <f>A24+1</f>
        <v>15</v>
      </c>
      <c r="B25" s="90"/>
      <c r="C25" s="99" t="s">
        <v>64</v>
      </c>
      <c r="D25" s="90"/>
      <c r="E25" s="90"/>
      <c r="F25" s="90" t="s">
        <v>47</v>
      </c>
      <c r="G25" s="90" t="s">
        <v>58</v>
      </c>
      <c r="H25" s="389" t="str">
        <f>"22-NUCs, Line "&amp;'[16]22-NUCs'!A17&amp;""</f>
        <v>22-NUCs, Line 9</v>
      </c>
      <c r="I25" s="90"/>
      <c r="J25" s="86">
        <f>-'[16]22-NUCs'!E17</f>
        <v>-73457041.180000007</v>
      </c>
    </row>
    <row r="26" spans="1:10" x14ac:dyDescent="0.2">
      <c r="A26" s="93" t="s">
        <v>65</v>
      </c>
      <c r="B26" s="90"/>
      <c r="C26" s="389" t="s">
        <v>66</v>
      </c>
      <c r="D26" s="90"/>
      <c r="E26" s="90"/>
      <c r="F26" s="90"/>
      <c r="G26" s="90"/>
      <c r="H26" s="96" t="str">
        <f>"34-UnfundedReserves, Line "&amp;'[16]34-UnfundedReserves'!A10&amp;""</f>
        <v>34-UnfundedReserves, Line 7</v>
      </c>
      <c r="I26" s="90"/>
      <c r="J26" s="187">
        <f>'[16]34-UnfundedReserves'!K10</f>
        <v>-11536540.975080583</v>
      </c>
    </row>
    <row r="27" spans="1:10" x14ac:dyDescent="0.2">
      <c r="A27" s="93">
        <v>16</v>
      </c>
      <c r="B27" s="90"/>
      <c r="C27" s="99" t="s">
        <v>67</v>
      </c>
      <c r="D27" s="90"/>
      <c r="E27" s="90"/>
      <c r="F27" s="90" t="s">
        <v>47</v>
      </c>
      <c r="G27" s="90"/>
      <c r="H27" s="389" t="str">
        <f>"23-RegAssets, Line "&amp;'[16]23-RegAssets'!A18&amp;""</f>
        <v>23-RegAssets, Line 15</v>
      </c>
      <c r="I27" s="90"/>
      <c r="J27" s="86">
        <f>'[16]23-RegAssets'!E18</f>
        <v>0</v>
      </c>
    </row>
    <row r="28" spans="1:10" x14ac:dyDescent="0.2">
      <c r="A28" s="93"/>
      <c r="B28" s="90"/>
      <c r="C28" s="99"/>
      <c r="D28" s="90"/>
      <c r="E28" s="90"/>
      <c r="F28" s="90"/>
      <c r="G28" s="90"/>
      <c r="H28" s="90"/>
      <c r="I28" s="90"/>
      <c r="J28" s="90"/>
    </row>
    <row r="29" spans="1:10" x14ac:dyDescent="0.2">
      <c r="A29" s="93">
        <v>17</v>
      </c>
      <c r="B29" s="90"/>
      <c r="C29" s="90" t="s">
        <v>68</v>
      </c>
      <c r="D29" s="90"/>
      <c r="E29" s="90"/>
      <c r="F29" s="90"/>
      <c r="G29" s="90"/>
      <c r="H29" s="90" t="str">
        <f>"L"&amp;A6&amp;"+L"&amp;A7&amp;"+L"&amp;A8&amp;"+L"&amp;A9&amp;"+L"&amp;A15&amp;"+L"&amp;A21&amp;"+"</f>
        <v>L1+L2+L3+L4+L8+L12+</v>
      </c>
      <c r="I29" s="90"/>
      <c r="J29" s="187">
        <f>J6+ J7+J8+J9+J15+J21+J23+J24+J25+J26+J27</f>
        <v>5470649503.7694578</v>
      </c>
    </row>
    <row r="30" spans="1:10" x14ac:dyDescent="0.2">
      <c r="A30" s="93"/>
      <c r="B30" s="90"/>
      <c r="C30" s="90"/>
      <c r="D30" s="90"/>
      <c r="E30" s="90"/>
      <c r="F30" s="90"/>
      <c r="G30" s="90"/>
      <c r="H30" s="90" t="str">
        <f>"L"&amp;A23&amp;"+L"&amp;A24&amp;"+L"&amp;A25&amp;"+L"&amp;A26&amp;"+L"&amp;A27&amp;""</f>
        <v>L13+L14+L15+L15a+L16</v>
      </c>
      <c r="I30" s="90"/>
      <c r="J30" s="86"/>
    </row>
    <row r="31" spans="1:10" x14ac:dyDescent="0.2">
      <c r="A31" s="93"/>
      <c r="B31" s="95" t="s">
        <v>69</v>
      </c>
      <c r="D31" s="90"/>
      <c r="E31" s="90"/>
      <c r="F31" s="90"/>
      <c r="G31" s="90"/>
      <c r="H31" s="90"/>
      <c r="I31" s="90"/>
      <c r="J31" s="86"/>
    </row>
    <row r="32" spans="1:10" x14ac:dyDescent="0.2">
      <c r="A32" s="100" t="s">
        <v>39</v>
      </c>
      <c r="B32" s="90"/>
      <c r="C32" s="95"/>
      <c r="D32" s="90"/>
      <c r="E32" s="90"/>
      <c r="F32" s="90"/>
      <c r="G32" s="90"/>
      <c r="H32" s="90"/>
      <c r="I32" s="90"/>
      <c r="J32" s="86"/>
    </row>
    <row r="33" spans="1:10" x14ac:dyDescent="0.2">
      <c r="A33" s="93">
        <f>A29+1</f>
        <v>18</v>
      </c>
      <c r="B33" s="90"/>
      <c r="C33" s="90" t="s">
        <v>70</v>
      </c>
      <c r="D33" s="90"/>
      <c r="E33" s="90"/>
      <c r="F33" s="90"/>
      <c r="G33" s="96" t="s">
        <v>71</v>
      </c>
      <c r="H33" s="96" t="str">
        <f>"Instruction 1, Line "&amp;B98&amp;""</f>
        <v>Instruction 1, Line j</v>
      </c>
      <c r="I33" s="90"/>
      <c r="J33" s="394">
        <f>E98</f>
        <v>7.2549257909103923E-2</v>
      </c>
    </row>
    <row r="34" spans="1:10" x14ac:dyDescent="0.2">
      <c r="A34" s="84">
        <f>A33+1</f>
        <v>19</v>
      </c>
      <c r="C34" s="96" t="s">
        <v>72</v>
      </c>
      <c r="D34" s="96"/>
      <c r="E34" s="96"/>
      <c r="F34" s="96"/>
      <c r="G34" s="96"/>
      <c r="H34" s="63" t="str">
        <f>"Line "&amp;A29&amp;" * Line "&amp;A33&amp;""</f>
        <v>Line 17 * Line 18</v>
      </c>
      <c r="J34" s="395">
        <f>J29*J33</f>
        <v>396891561.7792818</v>
      </c>
    </row>
    <row r="35" spans="1:10" x14ac:dyDescent="0.2">
      <c r="A35" s="84"/>
      <c r="B35" s="388"/>
    </row>
    <row r="36" spans="1:10" x14ac:dyDescent="0.2">
      <c r="A36" s="84"/>
      <c r="B36" s="92" t="s">
        <v>73</v>
      </c>
    </row>
    <row r="37" spans="1:10" x14ac:dyDescent="0.2">
      <c r="A37" s="93"/>
      <c r="B37" s="89"/>
      <c r="C37" s="90"/>
      <c r="D37" s="90"/>
      <c r="E37" s="90"/>
      <c r="F37" s="90"/>
      <c r="G37" s="90"/>
      <c r="H37" s="90"/>
      <c r="I37" s="90"/>
      <c r="J37" s="90"/>
    </row>
    <row r="38" spans="1:10" x14ac:dyDescent="0.2">
      <c r="A38" s="93">
        <f>A34+1</f>
        <v>20</v>
      </c>
      <c r="B38" s="90"/>
      <c r="C38" s="96" t="s">
        <v>74</v>
      </c>
      <c r="D38" s="90"/>
      <c r="E38" s="90"/>
      <c r="F38" s="90"/>
      <c r="G38" s="90"/>
      <c r="H38" s="90"/>
      <c r="I38" s="90"/>
      <c r="J38" s="187">
        <f>(((J29*J42) + J45) *(J43/(1-J43)))+(J44/(1-J43))</f>
        <v>203624211.01451424</v>
      </c>
    </row>
    <row r="39" spans="1:10" x14ac:dyDescent="0.2">
      <c r="A39" s="93"/>
      <c r="B39" s="90"/>
      <c r="C39" s="90"/>
      <c r="D39" s="90"/>
      <c r="E39" s="90"/>
      <c r="F39" s="90"/>
      <c r="G39" s="90"/>
      <c r="H39" s="90"/>
      <c r="I39" s="90"/>
      <c r="J39" s="96"/>
    </row>
    <row r="40" spans="1:10" x14ac:dyDescent="0.2">
      <c r="A40" s="93"/>
      <c r="B40" s="90"/>
      <c r="C40" s="90"/>
      <c r="D40" s="90" t="s">
        <v>75</v>
      </c>
      <c r="E40" s="90"/>
      <c r="F40" s="90"/>
      <c r="G40" s="90"/>
      <c r="H40" s="90"/>
      <c r="I40" s="90"/>
      <c r="J40" s="90"/>
    </row>
    <row r="41" spans="1:10" x14ac:dyDescent="0.2">
      <c r="A41" s="93">
        <f>A38+1</f>
        <v>21</v>
      </c>
      <c r="B41" s="90"/>
      <c r="C41" s="90"/>
      <c r="D41" s="89" t="s">
        <v>76</v>
      </c>
      <c r="E41" s="90"/>
      <c r="F41" s="90"/>
      <c r="G41" s="90"/>
      <c r="H41" s="90" t="str">
        <f>"Line "&amp;A29&amp;""</f>
        <v>Line 17</v>
      </c>
      <c r="I41" s="90"/>
      <c r="J41" s="187">
        <f>J29</f>
        <v>5470649503.7694578</v>
      </c>
    </row>
    <row r="42" spans="1:10" x14ac:dyDescent="0.2">
      <c r="A42" s="93">
        <f>A41+1</f>
        <v>22</v>
      </c>
      <c r="B42" s="90"/>
      <c r="C42" s="90"/>
      <c r="D42" s="391" t="s">
        <v>77</v>
      </c>
      <c r="E42" s="90"/>
      <c r="F42" s="90"/>
      <c r="G42" s="96" t="s">
        <v>78</v>
      </c>
      <c r="H42" s="96" t="str">
        <f>"Instruction 1, Line "&amp;B103&amp;""</f>
        <v>Instruction 1, Line k</v>
      </c>
      <c r="I42" s="90"/>
      <c r="J42" s="396">
        <f>E103</f>
        <v>5.2589644181994799E-2</v>
      </c>
    </row>
    <row r="43" spans="1:10" x14ac:dyDescent="0.2">
      <c r="A43" s="93">
        <f>A42+1</f>
        <v>23</v>
      </c>
      <c r="B43" s="90"/>
      <c r="C43" s="90"/>
      <c r="D43" s="89" t="s">
        <v>79</v>
      </c>
      <c r="E43" s="90"/>
      <c r="F43" s="90"/>
      <c r="G43" s="90"/>
      <c r="H43" s="90" t="str">
        <f>"1-Base TRR L "&amp;'[16]1-BaseTRR'!A102&amp;""</f>
        <v>1-Base TRR L 58</v>
      </c>
      <c r="I43" s="90"/>
      <c r="J43" s="396">
        <f>'[16]1-BaseTRR'!K102</f>
        <v>0.40745999999999999</v>
      </c>
    </row>
    <row r="44" spans="1:10" x14ac:dyDescent="0.2">
      <c r="A44" s="93">
        <f>A43+1</f>
        <v>24</v>
      </c>
      <c r="B44" s="90"/>
      <c r="C44" s="90"/>
      <c r="D44" s="89" t="s">
        <v>80</v>
      </c>
      <c r="E44" s="90"/>
      <c r="F44" s="90"/>
      <c r="G44" s="90"/>
      <c r="H44" s="90" t="str">
        <f>"1-Base TRR L "&amp;'[16]1-BaseTRR'!A108&amp;""</f>
        <v>1-Base TRR L 62</v>
      </c>
      <c r="I44" s="90"/>
      <c r="J44" s="86">
        <f>'[16]1-BaseTRR'!K108</f>
        <v>2086200</v>
      </c>
    </row>
    <row r="45" spans="1:10" x14ac:dyDescent="0.2">
      <c r="A45" s="93">
        <f>A44+1</f>
        <v>25</v>
      </c>
      <c r="B45" s="90"/>
      <c r="C45" s="90"/>
      <c r="D45" s="89" t="s">
        <v>81</v>
      </c>
      <c r="E45" s="90"/>
      <c r="F45" s="90"/>
      <c r="G45" s="90"/>
      <c r="H45" s="90" t="str">
        <f>"1-Base TRR L "&amp;'[16]1-BaseTRR'!A112&amp;""</f>
        <v>1-Base TRR L 64</v>
      </c>
      <c r="I45" s="90"/>
      <c r="J45" s="191">
        <f>'[16]1-BaseTRR'!K119</f>
        <v>3296636</v>
      </c>
    </row>
    <row r="46" spans="1:10" x14ac:dyDescent="0.2">
      <c r="A46" s="93"/>
      <c r="B46" s="89"/>
      <c r="C46" s="90"/>
      <c r="D46" s="90"/>
      <c r="E46" s="90"/>
      <c r="F46" s="90"/>
      <c r="G46" s="90"/>
      <c r="H46" s="90"/>
      <c r="I46" s="90"/>
      <c r="J46" s="90"/>
    </row>
    <row r="47" spans="1:10" x14ac:dyDescent="0.2">
      <c r="A47" s="93"/>
      <c r="B47" s="95" t="s">
        <v>82</v>
      </c>
      <c r="D47" s="90"/>
      <c r="E47" s="90"/>
      <c r="F47" s="90"/>
      <c r="G47" s="90"/>
      <c r="H47" s="90"/>
      <c r="I47" s="90"/>
      <c r="J47" s="90"/>
    </row>
    <row r="48" spans="1:10" x14ac:dyDescent="0.2">
      <c r="A48" s="93">
        <f>A45+1</f>
        <v>26</v>
      </c>
      <c r="B48" s="89"/>
      <c r="C48" s="90" t="s">
        <v>83</v>
      </c>
      <c r="D48" s="90"/>
      <c r="E48" s="90"/>
      <c r="F48" s="90"/>
      <c r="G48" s="90"/>
      <c r="H48" s="90" t="str">
        <f>"1-Base TRR L "&amp;'[16]1-BaseTRR'!A124&amp;""</f>
        <v>1-Base TRR L 65</v>
      </c>
      <c r="I48" s="90"/>
      <c r="J48" s="187">
        <f>'[16]1-BaseTRR'!K124</f>
        <v>82055346.087123767</v>
      </c>
    </row>
    <row r="49" spans="1:10" x14ac:dyDescent="0.2">
      <c r="A49" s="93">
        <f t="shared" ref="A49:A60" si="0">A48+1</f>
        <v>27</v>
      </c>
      <c r="B49" s="89"/>
      <c r="C49" s="96" t="s">
        <v>84</v>
      </c>
      <c r="D49" s="90"/>
      <c r="E49" s="90"/>
      <c r="F49" s="90"/>
      <c r="G49" s="90"/>
      <c r="H49" s="90" t="str">
        <f>"1-Base TRR L "&amp;'[16]1-BaseTRR'!A125&amp;""</f>
        <v>1-Base TRR L 66</v>
      </c>
      <c r="I49" s="90"/>
      <c r="J49" s="187">
        <f>'[16]1-BaseTRR'!K125</f>
        <v>46842625.622083358</v>
      </c>
    </row>
    <row r="50" spans="1:10" x14ac:dyDescent="0.2">
      <c r="A50" s="397" t="s">
        <v>154</v>
      </c>
      <c r="B50" s="398"/>
      <c r="C50" s="229" t="s">
        <v>155</v>
      </c>
      <c r="D50" s="399"/>
      <c r="E50" s="399"/>
      <c r="F50" s="399"/>
      <c r="G50" s="399"/>
      <c r="H50" s="399" t="str">
        <f>"35-PBOPs L "&amp;'[16]35-PBOPs'!A38&amp;""</f>
        <v>35-PBOPs L 14</v>
      </c>
      <c r="I50" s="399"/>
      <c r="J50" s="400">
        <f>'[16]35-PBOPs'!G38</f>
        <v>-134118.82469490985</v>
      </c>
    </row>
    <row r="51" spans="1:10" x14ac:dyDescent="0.2">
      <c r="A51" s="93">
        <f>A49+1</f>
        <v>28</v>
      </c>
      <c r="B51" s="89"/>
      <c r="C51" s="90" t="s">
        <v>85</v>
      </c>
      <c r="D51" s="90"/>
      <c r="E51" s="90"/>
      <c r="F51" s="90"/>
      <c r="G51" s="90"/>
      <c r="H51" s="90" t="str">
        <f>"1-Base TRR L "&amp;'[16]1-BaseTRR'!A126&amp;""</f>
        <v>1-Base TRR L 67</v>
      </c>
      <c r="I51" s="90"/>
      <c r="J51" s="86">
        <f>'[16]1-BaseTRR'!K126</f>
        <v>2616282.5299999998</v>
      </c>
    </row>
    <row r="52" spans="1:10" x14ac:dyDescent="0.2">
      <c r="A52" s="93">
        <f t="shared" si="0"/>
        <v>29</v>
      </c>
      <c r="B52" s="89"/>
      <c r="C52" s="96" t="s">
        <v>86</v>
      </c>
      <c r="D52" s="90"/>
      <c r="E52" s="90"/>
      <c r="F52" s="90"/>
      <c r="G52" s="90"/>
      <c r="H52" s="90" t="str">
        <f>"1-Base TRR L "&amp;'[16]1-BaseTRR'!A127&amp;""</f>
        <v>1-Base TRR L 68</v>
      </c>
      <c r="I52" s="90"/>
      <c r="J52" s="187">
        <f>'[16]1-BaseTRR'!K127</f>
        <v>228276528.67688429</v>
      </c>
    </row>
    <row r="53" spans="1:10" x14ac:dyDescent="0.2">
      <c r="A53" s="93">
        <f t="shared" si="0"/>
        <v>30</v>
      </c>
      <c r="B53" s="89"/>
      <c r="C53" s="96" t="s">
        <v>87</v>
      </c>
      <c r="D53" s="90"/>
      <c r="E53" s="90"/>
      <c r="F53" s="90"/>
      <c r="G53" s="90"/>
      <c r="H53" s="90" t="str">
        <f>"1-Base TRR L "&amp;'[16]1-BaseTRR'!A128&amp;""</f>
        <v>1-Base TRR L 69</v>
      </c>
      <c r="I53" s="90"/>
      <c r="J53" s="86">
        <f>'[16]1-BaseTRR'!K128</f>
        <v>37069049</v>
      </c>
    </row>
    <row r="54" spans="1:10" x14ac:dyDescent="0.2">
      <c r="A54" s="93">
        <f t="shared" si="0"/>
        <v>31</v>
      </c>
      <c r="B54" s="89"/>
      <c r="C54" s="96" t="s">
        <v>88</v>
      </c>
      <c r="D54" s="90"/>
      <c r="E54" s="90"/>
      <c r="F54" s="90"/>
      <c r="G54" s="90"/>
      <c r="H54" s="90" t="str">
        <f>"1-Base TRR L "&amp;'[16]1-BaseTRR'!A129&amp;""</f>
        <v>1-Base TRR L 70</v>
      </c>
      <c r="I54" s="90"/>
      <c r="J54" s="187">
        <f>'[16]1-BaseTRR'!K129</f>
        <v>58138922.660697684</v>
      </c>
    </row>
    <row r="55" spans="1:10" x14ac:dyDescent="0.2">
      <c r="A55" s="93">
        <f t="shared" si="0"/>
        <v>32</v>
      </c>
      <c r="B55" s="89"/>
      <c r="C55" s="90" t="s">
        <v>89</v>
      </c>
      <c r="D55" s="90"/>
      <c r="E55" s="90"/>
      <c r="F55" s="90"/>
      <c r="G55" s="96"/>
      <c r="H55" s="90" t="str">
        <f>"1-Base TRR L "&amp;'[16]1-BaseTRR'!A130&amp;""</f>
        <v>1-Base TRR L 71</v>
      </c>
      <c r="I55" s="90"/>
      <c r="J55" s="187">
        <f>'[16]1-BaseTRR'!K130</f>
        <v>-77887588.468262196</v>
      </c>
    </row>
    <row r="56" spans="1:10" x14ac:dyDescent="0.2">
      <c r="A56" s="93">
        <f t="shared" si="0"/>
        <v>33</v>
      </c>
      <c r="B56" s="89"/>
      <c r="C56" s="90" t="s">
        <v>90</v>
      </c>
      <c r="D56" s="90"/>
      <c r="E56" s="90"/>
      <c r="F56" s="90"/>
      <c r="G56" s="90"/>
      <c r="H56" s="90" t="str">
        <f>"Line "&amp;A34&amp;""</f>
        <v>Line 19</v>
      </c>
      <c r="I56" s="90"/>
      <c r="J56" s="187">
        <f>J34</f>
        <v>396891561.7792818</v>
      </c>
    </row>
    <row r="57" spans="1:10" x14ac:dyDescent="0.2">
      <c r="A57" s="93">
        <f t="shared" si="0"/>
        <v>34</v>
      </c>
      <c r="B57" s="89"/>
      <c r="C57" s="90" t="s">
        <v>91</v>
      </c>
      <c r="D57" s="90"/>
      <c r="E57" s="90"/>
      <c r="F57" s="90"/>
      <c r="G57" s="90"/>
      <c r="H57" s="90" t="str">
        <f>"Line "&amp;A38&amp;""</f>
        <v>Line 20</v>
      </c>
      <c r="I57" s="90"/>
      <c r="J57" s="395">
        <f>J38</f>
        <v>203624211.01451424</v>
      </c>
    </row>
    <row r="58" spans="1:10" x14ac:dyDescent="0.2">
      <c r="A58" s="93">
        <f t="shared" si="0"/>
        <v>35</v>
      </c>
      <c r="B58" s="89"/>
      <c r="C58" s="96" t="s">
        <v>92</v>
      </c>
      <c r="D58" s="90"/>
      <c r="E58" s="90"/>
      <c r="F58" s="90"/>
      <c r="G58" s="90"/>
      <c r="H58" s="90" t="str">
        <f>"1-Base TRR L "&amp;'[16]1-BaseTRR'!A133&amp;""</f>
        <v>1-Base TRR L 74</v>
      </c>
      <c r="I58" s="90"/>
      <c r="J58" s="191">
        <f>'[16]1-BaseTRR'!K133</f>
        <v>0</v>
      </c>
    </row>
    <row r="59" spans="1:10" x14ac:dyDescent="0.2">
      <c r="A59" s="93">
        <f t="shared" si="0"/>
        <v>36</v>
      </c>
      <c r="B59" s="89"/>
      <c r="C59" s="49" t="s">
        <v>93</v>
      </c>
      <c r="D59" s="50"/>
      <c r="E59" s="90"/>
      <c r="F59" s="90"/>
      <c r="G59" s="90"/>
      <c r="H59" s="90" t="str">
        <f>"1-Base TRR L "&amp;'[16]1-BaseTRR'!A134&amp;""</f>
        <v>1-Base TRR L 75</v>
      </c>
      <c r="I59" s="90"/>
      <c r="J59" s="401">
        <f>'[16]1-BaseTRR'!K134</f>
        <v>0</v>
      </c>
    </row>
    <row r="60" spans="1:10" x14ac:dyDescent="0.2">
      <c r="A60" s="93">
        <f t="shared" si="0"/>
        <v>37</v>
      </c>
      <c r="B60" s="89"/>
      <c r="C60" s="96" t="s">
        <v>94</v>
      </c>
      <c r="D60" s="90"/>
      <c r="E60" s="90"/>
      <c r="F60" s="90"/>
      <c r="G60" s="90"/>
      <c r="H60" s="90" t="str">
        <f>"Sum Line "&amp;A48&amp;" to Line "&amp;A59&amp;""</f>
        <v>Sum Line 26 to Line 36</v>
      </c>
      <c r="I60" s="90"/>
      <c r="J60" s="400">
        <f>SUM(J48:J59)</f>
        <v>977492820.07762802</v>
      </c>
    </row>
    <row r="61" spans="1:10" x14ac:dyDescent="0.2">
      <c r="A61" s="93"/>
      <c r="B61" s="89"/>
      <c r="C61" s="90"/>
      <c r="D61" s="90"/>
      <c r="E61" s="90"/>
      <c r="F61" s="90"/>
      <c r="G61" s="90"/>
      <c r="H61" s="90"/>
      <c r="I61" s="90"/>
      <c r="J61" s="86"/>
    </row>
    <row r="62" spans="1:10" ht="12.75" customHeight="1" x14ac:dyDescent="0.2">
      <c r="A62" s="93">
        <f>A60+1</f>
        <v>38</v>
      </c>
      <c r="B62" s="89"/>
      <c r="C62" s="96" t="s">
        <v>95</v>
      </c>
      <c r="D62" s="90"/>
      <c r="E62" s="90"/>
      <c r="F62" s="90"/>
      <c r="G62" s="90"/>
      <c r="H62" s="90" t="str">
        <f>"15-IncentiveAdder L "&amp;'[16]15-IncentiveAdder'!A59&amp;""</f>
        <v>15-IncentiveAdder L 20</v>
      </c>
      <c r="I62" s="90"/>
      <c r="J62" s="86">
        <f>'[16]15-IncentiveAdder'!G59</f>
        <v>35016998.566422842</v>
      </c>
    </row>
    <row r="63" spans="1:10" x14ac:dyDescent="0.2">
      <c r="A63" s="93"/>
      <c r="B63" s="89"/>
      <c r="C63" s="96"/>
      <c r="D63" s="90"/>
      <c r="E63" s="90"/>
      <c r="F63" s="90"/>
      <c r="G63" s="90"/>
      <c r="H63" s="90"/>
      <c r="I63" s="90"/>
      <c r="J63" s="86"/>
    </row>
    <row r="64" spans="1:10" x14ac:dyDescent="0.2">
      <c r="A64" s="93">
        <f>A62+1</f>
        <v>39</v>
      </c>
      <c r="B64" s="89"/>
      <c r="C64" s="96" t="s">
        <v>96</v>
      </c>
      <c r="D64" s="90"/>
      <c r="E64" s="90"/>
      <c r="F64" s="90"/>
      <c r="G64" s="90"/>
      <c r="H64" s="90" t="str">
        <f>"Line "&amp;A60&amp;" + Line "&amp;A62&amp;""</f>
        <v>Line 37 + Line 38</v>
      </c>
      <c r="I64" s="90"/>
      <c r="J64" s="187">
        <f>J60+J62</f>
        <v>1012509818.6440508</v>
      </c>
    </row>
    <row r="65" spans="1:10" x14ac:dyDescent="0.2">
      <c r="A65" s="93"/>
      <c r="B65" s="89"/>
      <c r="C65" s="96"/>
      <c r="D65" s="90"/>
      <c r="E65" s="90"/>
      <c r="F65" s="90"/>
      <c r="G65" s="90"/>
      <c r="H65" s="90"/>
      <c r="I65" s="90"/>
      <c r="J65" s="86"/>
    </row>
    <row r="66" spans="1:10" x14ac:dyDescent="0.2">
      <c r="A66" s="93"/>
      <c r="B66" s="402" t="s">
        <v>97</v>
      </c>
      <c r="C66" s="96"/>
      <c r="D66" s="90"/>
      <c r="E66" s="90"/>
      <c r="F66" s="90"/>
      <c r="G66" s="90"/>
      <c r="H66" s="90"/>
      <c r="I66" s="90"/>
      <c r="J66" s="86"/>
    </row>
    <row r="67" spans="1:10" ht="13.5" thickBot="1" x14ac:dyDescent="0.25">
      <c r="A67" s="387" t="s">
        <v>39</v>
      </c>
      <c r="B67" s="403"/>
      <c r="G67" s="97" t="s">
        <v>98</v>
      </c>
    </row>
    <row r="68" spans="1:10" x14ac:dyDescent="0.2">
      <c r="A68" s="93">
        <f>A64+1</f>
        <v>40</v>
      </c>
      <c r="B68" s="99"/>
      <c r="C68" s="90"/>
      <c r="D68" s="404" t="s">
        <v>99</v>
      </c>
      <c r="E68" s="187">
        <f>J64</f>
        <v>1012509818.6440508</v>
      </c>
      <c r="F68" s="90"/>
      <c r="G68" s="90" t="str">
        <f>"Line "&amp;A64&amp;""</f>
        <v>Line 39</v>
      </c>
      <c r="H68" s="90"/>
      <c r="I68" s="90"/>
      <c r="J68" s="405" t="s">
        <v>100</v>
      </c>
    </row>
    <row r="69" spans="1:10" x14ac:dyDescent="0.2">
      <c r="A69" s="93">
        <f>A68+1</f>
        <v>41</v>
      </c>
      <c r="B69" s="99"/>
      <c r="C69" s="90"/>
      <c r="D69" s="404" t="s">
        <v>101</v>
      </c>
      <c r="E69" s="406">
        <f>'[16]28-FFU'!D22</f>
        <v>9.2309210958904115E-3</v>
      </c>
      <c r="F69" s="90"/>
      <c r="G69" s="90" t="str">
        <f>"28-FFU, L "&amp;'[16]28-FFU'!A22&amp;""</f>
        <v>28-FFU, L 5</v>
      </c>
      <c r="H69" s="90"/>
      <c r="I69" s="90"/>
      <c r="J69" s="407" t="s">
        <v>964</v>
      </c>
    </row>
    <row r="70" spans="1:10" x14ac:dyDescent="0.2">
      <c r="A70" s="93">
        <f>A69+1</f>
        <v>42</v>
      </c>
      <c r="B70" s="99"/>
      <c r="C70" s="90"/>
      <c r="D70" s="91" t="s">
        <v>102</v>
      </c>
      <c r="E70" s="187">
        <f>E68*'[16]28-FFU'!D22</f>
        <v>9346398.2447175439</v>
      </c>
      <c r="F70" s="90"/>
      <c r="G70" s="90" t="str">
        <f>"Line "&amp;A68&amp;" * Line "&amp;A69&amp;""</f>
        <v>Line 40 * Line 41</v>
      </c>
      <c r="H70" s="90"/>
      <c r="I70" s="90"/>
      <c r="J70" s="408">
        <f>E73</f>
        <v>1024300614.2093396</v>
      </c>
    </row>
    <row r="71" spans="1:10" x14ac:dyDescent="0.2">
      <c r="A71" s="93">
        <f>A70+1</f>
        <v>43</v>
      </c>
      <c r="B71" s="99"/>
      <c r="C71" s="90"/>
      <c r="D71" s="404" t="s">
        <v>103</v>
      </c>
      <c r="E71" s="406">
        <f>'[16]28-FFU'!E22</f>
        <v>2.4141961643835618E-3</v>
      </c>
      <c r="F71" s="90"/>
      <c r="G71" s="90" t="str">
        <f>"28-FFU, L "&amp;'[16]28-FFU'!A22&amp;""</f>
        <v>28-FFU, L 5</v>
      </c>
      <c r="H71" s="90"/>
      <c r="I71" s="90"/>
      <c r="J71" s="409">
        <v>1024128577.9170675</v>
      </c>
    </row>
    <row r="72" spans="1:10" ht="13.5" thickBot="1" x14ac:dyDescent="0.25">
      <c r="A72" s="93">
        <f>A71+1</f>
        <v>44</v>
      </c>
      <c r="B72" s="99"/>
      <c r="C72" s="90"/>
      <c r="D72" s="404" t="s">
        <v>104</v>
      </c>
      <c r="E72" s="187">
        <f>E68*'[16]28-FFU'!E22</f>
        <v>2444397.3205711632</v>
      </c>
      <c r="F72" s="90"/>
      <c r="G72" s="90" t="str">
        <f>"Line "&amp;A70&amp;" * Line "&amp;A71&amp;""</f>
        <v>Line 42 * Line 43</v>
      </c>
      <c r="H72" s="90"/>
      <c r="I72" s="90"/>
      <c r="J72" s="410">
        <f>J70-J71</f>
        <v>172036.29227209091</v>
      </c>
    </row>
    <row r="73" spans="1:10" x14ac:dyDescent="0.2">
      <c r="A73" s="93">
        <f>A72+1</f>
        <v>45</v>
      </c>
      <c r="B73" s="99"/>
      <c r="C73" s="90"/>
      <c r="D73" s="404" t="s">
        <v>105</v>
      </c>
      <c r="E73" s="187">
        <f>E68+E70+E72</f>
        <v>1024300614.2093396</v>
      </c>
      <c r="F73" s="90"/>
      <c r="G73" s="90" t="str">
        <f>"L "&amp;A68&amp;" + L "&amp;A70&amp;" + L "&amp;A72&amp;""</f>
        <v>L 40 + L 42 + L 44</v>
      </c>
      <c r="H73" s="90"/>
      <c r="I73" s="90"/>
      <c r="J73" s="90"/>
    </row>
    <row r="74" spans="1:10" x14ac:dyDescent="0.2">
      <c r="A74" s="90"/>
      <c r="B74" s="411" t="s">
        <v>106</v>
      </c>
      <c r="C74" s="90"/>
      <c r="D74" s="91"/>
      <c r="E74" s="86"/>
      <c r="F74" s="90"/>
      <c r="G74" s="90"/>
      <c r="H74" s="51"/>
      <c r="I74" s="90"/>
      <c r="J74" s="90"/>
    </row>
    <row r="75" spans="1:10" x14ac:dyDescent="0.2">
      <c r="A75" s="93"/>
      <c r="B75" s="96" t="s">
        <v>107</v>
      </c>
      <c r="C75" s="402"/>
      <c r="D75" s="91"/>
      <c r="E75" s="86"/>
      <c r="F75" s="90"/>
      <c r="G75" s="90"/>
      <c r="H75" s="90"/>
      <c r="I75" s="90"/>
      <c r="J75" s="90"/>
    </row>
    <row r="76" spans="1:10" x14ac:dyDescent="0.2">
      <c r="A76" s="93"/>
      <c r="B76" s="96" t="s">
        <v>108</v>
      </c>
      <c r="C76" s="402"/>
      <c r="D76" s="91"/>
      <c r="E76" s="86"/>
      <c r="F76" s="90"/>
      <c r="G76" s="90"/>
      <c r="H76" s="90"/>
      <c r="I76" s="90"/>
      <c r="J76" s="90"/>
    </row>
    <row r="77" spans="1:10" x14ac:dyDescent="0.2">
      <c r="A77" s="93"/>
      <c r="B77" s="389" t="s">
        <v>109</v>
      </c>
      <c r="C77" s="96"/>
      <c r="D77" s="91"/>
      <c r="E77" s="86"/>
      <c r="F77" s="90"/>
      <c r="G77" s="90"/>
      <c r="H77" s="90"/>
      <c r="I77" s="90"/>
      <c r="J77" s="90"/>
    </row>
    <row r="78" spans="1:10" x14ac:dyDescent="0.2">
      <c r="A78" s="93"/>
      <c r="B78" s="389" t="s">
        <v>110</v>
      </c>
      <c r="C78" s="90"/>
      <c r="D78" s="91"/>
      <c r="E78" s="86"/>
      <c r="F78" s="90"/>
      <c r="G78" s="90"/>
      <c r="H78" s="90"/>
      <c r="I78" s="90"/>
      <c r="J78" s="90"/>
    </row>
    <row r="79" spans="1:10" x14ac:dyDescent="0.2">
      <c r="A79" s="93"/>
      <c r="B79" s="90"/>
      <c r="C79" s="90"/>
      <c r="D79" s="90"/>
      <c r="E79" s="90"/>
      <c r="F79" s="90"/>
      <c r="G79" s="90"/>
      <c r="H79" s="90"/>
      <c r="I79" s="90"/>
      <c r="J79" s="90"/>
    </row>
    <row r="80" spans="1:10" x14ac:dyDescent="0.2">
      <c r="A80" s="93"/>
      <c r="B80" s="96" t="s">
        <v>111</v>
      </c>
      <c r="C80" s="90"/>
      <c r="D80" s="90"/>
      <c r="E80" s="90"/>
      <c r="F80" s="90"/>
      <c r="G80" s="90"/>
      <c r="H80" s="90"/>
      <c r="I80" s="90"/>
      <c r="J80" s="90"/>
    </row>
    <row r="81" spans="1:12" x14ac:dyDescent="0.2">
      <c r="A81" s="93"/>
      <c r="B81" s="96"/>
      <c r="C81" s="96" t="s">
        <v>112</v>
      </c>
      <c r="D81" s="90"/>
      <c r="E81" s="90"/>
      <c r="F81" s="90"/>
      <c r="G81" s="90"/>
      <c r="H81" s="90"/>
      <c r="I81" s="90"/>
      <c r="J81" s="90"/>
    </row>
    <row r="82" spans="1:12" x14ac:dyDescent="0.2">
      <c r="A82" s="93"/>
      <c r="B82" s="96"/>
      <c r="C82" s="90"/>
      <c r="D82" s="90"/>
      <c r="E82" s="90"/>
      <c r="F82" s="90"/>
      <c r="G82" s="90"/>
      <c r="H82" s="90"/>
      <c r="I82" s="90"/>
      <c r="J82" s="93" t="s">
        <v>113</v>
      </c>
    </row>
    <row r="83" spans="1:12" x14ac:dyDescent="0.2">
      <c r="A83" s="93"/>
      <c r="B83" s="90"/>
      <c r="C83" s="90"/>
      <c r="D83" s="90"/>
      <c r="E83" s="62" t="s">
        <v>114</v>
      </c>
      <c r="F83" s="412" t="s">
        <v>98</v>
      </c>
      <c r="G83" s="62" t="s">
        <v>115</v>
      </c>
      <c r="H83" s="62" t="s">
        <v>116</v>
      </c>
      <c r="I83" s="90"/>
      <c r="J83" s="62" t="s">
        <v>117</v>
      </c>
    </row>
    <row r="84" spans="1:12" x14ac:dyDescent="0.2">
      <c r="B84" s="413" t="s">
        <v>118</v>
      </c>
      <c r="C84" s="96" t="s">
        <v>119</v>
      </c>
      <c r="D84" s="90"/>
      <c r="E84" s="414">
        <f>'[16]1-BaseTRR'!K85</f>
        <v>9.8000000000000004E-2</v>
      </c>
      <c r="F84" s="90" t="str">
        <f>"1-Base TRR L "&amp;'[16]1-BaseTRR'!A85&amp;""</f>
        <v>1-Base TRR L 49</v>
      </c>
      <c r="G84" s="415" t="s">
        <v>965</v>
      </c>
      <c r="H84" s="416" t="s">
        <v>966</v>
      </c>
      <c r="I84" s="96"/>
      <c r="J84" s="417">
        <v>366</v>
      </c>
      <c r="K84" s="96"/>
      <c r="L84" s="96"/>
    </row>
    <row r="85" spans="1:12" x14ac:dyDescent="0.2">
      <c r="B85" s="413" t="s">
        <v>120</v>
      </c>
      <c r="C85" s="96" t="s">
        <v>121</v>
      </c>
      <c r="D85" s="90"/>
      <c r="E85" s="418">
        <v>9.8000000000000004E-2</v>
      </c>
      <c r="F85" s="419" t="s">
        <v>122</v>
      </c>
      <c r="G85" s="415"/>
      <c r="H85" s="416"/>
      <c r="I85" s="96"/>
      <c r="J85" s="417"/>
      <c r="K85" s="96"/>
      <c r="L85" s="96"/>
    </row>
    <row r="86" spans="1:12" x14ac:dyDescent="0.2">
      <c r="B86" s="413" t="s">
        <v>123</v>
      </c>
      <c r="C86" s="96"/>
      <c r="D86" s="90"/>
      <c r="E86" s="420"/>
      <c r="F86" s="419"/>
      <c r="G86" s="421"/>
      <c r="H86" s="421"/>
      <c r="I86" s="404" t="s">
        <v>124</v>
      </c>
      <c r="J86" s="96">
        <f>SUM(J84:J85)</f>
        <v>366</v>
      </c>
      <c r="K86" s="96"/>
      <c r="L86" s="96"/>
    </row>
    <row r="87" spans="1:12" x14ac:dyDescent="0.2">
      <c r="A87" s="90"/>
      <c r="B87" s="413" t="s">
        <v>125</v>
      </c>
      <c r="C87" s="96" t="s">
        <v>126</v>
      </c>
      <c r="D87" s="90"/>
      <c r="E87" s="414">
        <f>((E84*J84) + (E85* J85)) / J86</f>
        <v>9.8000000000000004E-2</v>
      </c>
      <c r="F87" s="96" t="s">
        <v>127</v>
      </c>
      <c r="G87" s="90"/>
      <c r="H87" s="96"/>
      <c r="I87" s="96"/>
      <c r="J87" s="96"/>
      <c r="K87" s="96"/>
      <c r="L87" s="96"/>
    </row>
    <row r="88" spans="1:12" x14ac:dyDescent="0.2">
      <c r="A88" s="93"/>
      <c r="B88" s="96"/>
      <c r="C88" s="90"/>
      <c r="D88" s="90"/>
      <c r="E88" s="90"/>
      <c r="F88" s="90"/>
      <c r="G88" s="90"/>
      <c r="H88" s="96"/>
      <c r="I88" s="96"/>
      <c r="J88" s="96"/>
      <c r="K88" s="96"/>
      <c r="L88" s="96"/>
    </row>
    <row r="89" spans="1:12" x14ac:dyDescent="0.2">
      <c r="A89" s="93"/>
      <c r="B89" s="96" t="s">
        <v>128</v>
      </c>
      <c r="C89" s="90"/>
      <c r="D89" s="90"/>
      <c r="E89" s="90"/>
      <c r="F89" s="90"/>
      <c r="G89" s="90"/>
      <c r="H89" s="96"/>
      <c r="I89" s="96"/>
      <c r="J89" s="96"/>
      <c r="K89" s="96"/>
      <c r="L89" s="96"/>
    </row>
    <row r="90" spans="1:12" x14ac:dyDescent="0.2">
      <c r="A90" s="93"/>
      <c r="B90" s="96"/>
      <c r="C90" s="90"/>
      <c r="D90" s="90"/>
      <c r="E90" s="412" t="s">
        <v>98</v>
      </c>
      <c r="F90" s="90"/>
      <c r="G90" s="90"/>
      <c r="H90" s="96"/>
      <c r="I90" s="96"/>
      <c r="J90" s="96"/>
      <c r="K90" s="96"/>
      <c r="L90" s="96"/>
    </row>
    <row r="91" spans="1:12" x14ac:dyDescent="0.2">
      <c r="A91" s="90"/>
      <c r="B91" s="413" t="s">
        <v>129</v>
      </c>
      <c r="C91" s="96" t="s">
        <v>130</v>
      </c>
      <c r="D91" s="90"/>
      <c r="E91" s="83" t="s">
        <v>131</v>
      </c>
      <c r="F91" s="83"/>
      <c r="G91" s="83"/>
      <c r="H91" s="417"/>
      <c r="I91" s="417"/>
      <c r="J91" s="417"/>
      <c r="K91" s="96"/>
      <c r="L91" s="96"/>
    </row>
    <row r="92" spans="1:12" x14ac:dyDescent="0.2">
      <c r="B92" s="413" t="s">
        <v>132</v>
      </c>
      <c r="C92" s="96" t="s">
        <v>133</v>
      </c>
      <c r="D92" s="90"/>
      <c r="E92" s="83" t="s">
        <v>131</v>
      </c>
      <c r="F92" s="83"/>
      <c r="G92" s="83"/>
      <c r="H92" s="417"/>
      <c r="I92" s="417"/>
      <c r="J92" s="417"/>
      <c r="K92" s="96"/>
      <c r="L92" s="96"/>
    </row>
    <row r="93" spans="1:12" x14ac:dyDescent="0.2">
      <c r="B93" s="90"/>
      <c r="C93" s="96"/>
      <c r="D93" s="90"/>
      <c r="E93" s="421"/>
      <c r="F93" s="90"/>
      <c r="G93" s="90"/>
      <c r="H93" s="90"/>
      <c r="I93" s="96"/>
      <c r="J93" s="96"/>
      <c r="K93" s="96"/>
      <c r="L93" s="96"/>
    </row>
    <row r="94" spans="1:12" x14ac:dyDescent="0.2">
      <c r="B94" s="90"/>
      <c r="C94" s="90"/>
      <c r="D94" s="90"/>
      <c r="E94" s="62" t="s">
        <v>114</v>
      </c>
      <c r="F94" s="412" t="s">
        <v>98</v>
      </c>
      <c r="G94" s="90"/>
      <c r="H94" s="96"/>
      <c r="I94" s="96"/>
      <c r="J94" s="90"/>
    </row>
    <row r="95" spans="1:12" x14ac:dyDescent="0.2">
      <c r="B95" s="413" t="s">
        <v>134</v>
      </c>
      <c r="C95" s="96" t="s">
        <v>135</v>
      </c>
      <c r="D95" s="96"/>
      <c r="E95" s="396">
        <f>'[16]1-BaseTRR'!K88</f>
        <v>1.995961372710912E-2</v>
      </c>
      <c r="F95" s="90" t="str">
        <f>"1-Base TRR L "&amp;'[16]1-BaseTRR'!A88&amp;""</f>
        <v>1-Base TRR L 50</v>
      </c>
      <c r="G95" s="90"/>
      <c r="H95" s="96"/>
      <c r="I95" s="96"/>
      <c r="J95" s="90"/>
    </row>
    <row r="96" spans="1:12" x14ac:dyDescent="0.2">
      <c r="B96" s="413" t="s">
        <v>136</v>
      </c>
      <c r="C96" s="96" t="s">
        <v>137</v>
      </c>
      <c r="D96" s="90"/>
      <c r="E96" s="396">
        <f>'[16]1-BaseTRR'!K89</f>
        <v>5.136127971127352E-3</v>
      </c>
      <c r="F96" s="90" t="str">
        <f>"1-Base TRR L "&amp;'[16]1-BaseTRR'!A89&amp;""</f>
        <v>1-Base TRR L 51</v>
      </c>
      <c r="G96" s="90"/>
      <c r="H96" s="96"/>
      <c r="I96" s="96"/>
      <c r="J96" s="90"/>
    </row>
    <row r="97" spans="1:10" x14ac:dyDescent="0.2">
      <c r="B97" s="413" t="s">
        <v>138</v>
      </c>
      <c r="C97" s="96" t="s">
        <v>139</v>
      </c>
      <c r="D97" s="90"/>
      <c r="E97" s="422">
        <f>('[16]1-BaseTRR'!K80) * E87</f>
        <v>4.745351621086745E-2</v>
      </c>
      <c r="F97" s="90" t="str">
        <f>"1-Base TRR L "&amp;'[16]1-BaseTRR'!A80&amp;" * Line d"</f>
        <v>1-Base TRR L 46 * Line d</v>
      </c>
      <c r="G97" s="96"/>
      <c r="H97" s="96"/>
      <c r="I97" s="90"/>
      <c r="J97" s="90"/>
    </row>
    <row r="98" spans="1:10" x14ac:dyDescent="0.2">
      <c r="A98" s="90"/>
      <c r="B98" s="93" t="s">
        <v>140</v>
      </c>
      <c r="C98" s="391" t="s">
        <v>70</v>
      </c>
      <c r="D98" s="90"/>
      <c r="E98" s="394">
        <f>SUM(E95:E97)</f>
        <v>7.2549257909103923E-2</v>
      </c>
      <c r="F98" s="86" t="str">
        <f>"Sum of Lines "&amp;B92&amp;" to "&amp;B96&amp;""</f>
        <v>Sum of Lines f to h</v>
      </c>
      <c r="G98" s="101"/>
      <c r="H98" s="90"/>
      <c r="I98" s="90"/>
      <c r="J98" s="423"/>
    </row>
    <row r="99" spans="1:10" x14ac:dyDescent="0.2">
      <c r="A99" s="93"/>
      <c r="B99" s="90"/>
      <c r="C99" s="52"/>
      <c r="D99" s="53"/>
      <c r="E99" s="86"/>
      <c r="F99" s="86"/>
      <c r="G99" s="101"/>
      <c r="H99" s="86"/>
      <c r="I99" s="90"/>
      <c r="J99" s="423"/>
    </row>
    <row r="100" spans="1:10" x14ac:dyDescent="0.2">
      <c r="A100" s="93"/>
      <c r="B100" s="96" t="s">
        <v>141</v>
      </c>
      <c r="C100" s="90"/>
      <c r="D100" s="90"/>
      <c r="E100" s="90"/>
      <c r="F100" s="90"/>
      <c r="G100" s="90"/>
      <c r="H100" s="90"/>
      <c r="I100" s="90"/>
      <c r="J100" s="90"/>
    </row>
    <row r="101" spans="1:10" x14ac:dyDescent="0.2">
      <c r="A101" s="93"/>
      <c r="B101" s="90"/>
      <c r="C101" s="90"/>
      <c r="D101" s="90"/>
      <c r="E101" s="90"/>
      <c r="F101" s="90"/>
      <c r="G101" s="90"/>
      <c r="H101" s="90"/>
      <c r="I101" s="90"/>
      <c r="J101" s="90"/>
    </row>
    <row r="102" spans="1:10" x14ac:dyDescent="0.2">
      <c r="A102" s="93"/>
      <c r="B102" s="90"/>
      <c r="C102" s="90"/>
      <c r="D102" s="90"/>
      <c r="E102" s="62" t="s">
        <v>114</v>
      </c>
      <c r="F102" s="412" t="s">
        <v>98</v>
      </c>
      <c r="G102" s="90"/>
      <c r="H102" s="90"/>
      <c r="I102" s="90"/>
      <c r="J102" s="90"/>
    </row>
    <row r="103" spans="1:10" x14ac:dyDescent="0.2">
      <c r="A103" s="90"/>
      <c r="B103" s="413" t="s">
        <v>142</v>
      </c>
      <c r="C103" s="90"/>
      <c r="D103" s="90"/>
      <c r="E103" s="396">
        <f>E96+E97</f>
        <v>5.2589644181994799E-2</v>
      </c>
      <c r="F103" s="86" t="str">
        <f>"Sum of Lines "&amp;B95&amp;" to "&amp;B96&amp;""</f>
        <v>Sum of Lines g to h</v>
      </c>
      <c r="G103" s="90"/>
      <c r="H103" s="90"/>
      <c r="I103" s="90"/>
      <c r="J103" s="90"/>
    </row>
    <row r="104" spans="1:10" x14ac:dyDescent="0.2">
      <c r="A104" s="93"/>
      <c r="B104" s="90"/>
      <c r="C104" s="90"/>
      <c r="D104" s="90"/>
      <c r="E104" s="396"/>
      <c r="F104" s="86"/>
      <c r="G104" s="90"/>
      <c r="H104" s="90"/>
      <c r="I104" s="90"/>
      <c r="J104" s="90"/>
    </row>
    <row r="105" spans="1:10" x14ac:dyDescent="0.2">
      <c r="A105" s="93"/>
      <c r="B105" s="389" t="s">
        <v>143</v>
      </c>
      <c r="C105" s="90"/>
      <c r="D105" s="90"/>
      <c r="E105" s="101"/>
      <c r="F105" s="101"/>
      <c r="G105" s="101"/>
      <c r="H105" s="86"/>
      <c r="I105" s="90"/>
      <c r="J105" s="90"/>
    </row>
    <row r="106" spans="1:10" x14ac:dyDescent="0.2">
      <c r="A106" s="93"/>
      <c r="B106" s="419" t="s">
        <v>144</v>
      </c>
      <c r="C106" s="90"/>
      <c r="D106" s="90"/>
      <c r="E106" s="90"/>
      <c r="F106" s="90"/>
      <c r="G106" s="90"/>
      <c r="H106" s="90"/>
      <c r="I106" s="90"/>
      <c r="J106" s="90"/>
    </row>
    <row r="107" spans="1:10" x14ac:dyDescent="0.2">
      <c r="A107" s="84"/>
      <c r="B107" s="419" t="s">
        <v>145</v>
      </c>
      <c r="C107" s="90"/>
      <c r="D107" s="93"/>
      <c r="E107" s="93"/>
      <c r="F107" s="93"/>
      <c r="G107" s="93"/>
      <c r="H107" s="93"/>
      <c r="I107" s="90"/>
      <c r="J107" s="90"/>
    </row>
    <row r="108" spans="1:10" x14ac:dyDescent="0.2">
      <c r="A108" s="84"/>
      <c r="B108" s="389" t="s">
        <v>146</v>
      </c>
      <c r="C108" s="90"/>
      <c r="D108" s="93"/>
      <c r="E108" s="93"/>
      <c r="F108" s="93"/>
      <c r="G108" s="93"/>
      <c r="H108" s="93"/>
      <c r="I108" s="90"/>
      <c r="J108" s="90"/>
    </row>
    <row r="109" spans="1:10" x14ac:dyDescent="0.2">
      <c r="A109" s="84"/>
      <c r="B109" s="90" t="s">
        <v>147</v>
      </c>
      <c r="C109" s="54"/>
      <c r="D109" s="54"/>
      <c r="E109" s="62"/>
      <c r="F109" s="62"/>
      <c r="G109" s="62"/>
      <c r="H109" s="62"/>
      <c r="I109" s="90"/>
      <c r="J109" s="90"/>
    </row>
    <row r="110" spans="1:10" x14ac:dyDescent="0.2">
      <c r="A110" s="84"/>
    </row>
    <row r="111" spans="1:10" x14ac:dyDescent="0.2">
      <c r="A111" s="84"/>
    </row>
    <row r="112" spans="1:10" x14ac:dyDescent="0.2">
      <c r="A112" s="84"/>
    </row>
    <row r="113" spans="1:10" x14ac:dyDescent="0.2">
      <c r="A113" s="84"/>
      <c r="C113" s="52"/>
      <c r="E113" s="86"/>
      <c r="F113" s="86"/>
      <c r="H113" s="87"/>
      <c r="J113" s="424"/>
    </row>
    <row r="114" spans="1:10" x14ac:dyDescent="0.2">
      <c r="A114" s="84"/>
      <c r="C114" s="52"/>
      <c r="E114" s="86"/>
      <c r="F114" s="86"/>
      <c r="H114" s="87"/>
      <c r="J114" s="424"/>
    </row>
    <row r="115" spans="1:10" x14ac:dyDescent="0.2">
      <c r="A115" s="387"/>
      <c r="C115" s="52"/>
      <c r="E115" s="86"/>
      <c r="F115" s="86"/>
      <c r="H115" s="87"/>
      <c r="J115" s="424"/>
    </row>
    <row r="116" spans="1:10" x14ac:dyDescent="0.2">
      <c r="A116" s="84"/>
      <c r="D116" s="55"/>
      <c r="E116" s="86"/>
      <c r="F116" s="86"/>
      <c r="G116" s="88"/>
      <c r="H116" s="87"/>
      <c r="J116" s="424"/>
    </row>
    <row r="117" spans="1:10" x14ac:dyDescent="0.2">
      <c r="A117" s="84"/>
      <c r="C117" s="52"/>
      <c r="D117" s="425"/>
      <c r="E117" s="426"/>
      <c r="F117" s="87"/>
      <c r="G117" s="88"/>
      <c r="H117" s="87"/>
      <c r="J117" s="424"/>
    </row>
    <row r="118" spans="1:10" x14ac:dyDescent="0.2">
      <c r="A118" s="84"/>
      <c r="C118" s="52"/>
      <c r="D118" s="425"/>
      <c r="E118" s="87"/>
      <c r="F118" s="87"/>
      <c r="G118" s="88"/>
      <c r="H118" s="87"/>
      <c r="J118" s="424"/>
    </row>
    <row r="119" spans="1:10" x14ac:dyDescent="0.2">
      <c r="A119" s="84"/>
    </row>
    <row r="120" spans="1:10" x14ac:dyDescent="0.2">
      <c r="A120" s="84"/>
      <c r="B120" s="92"/>
    </row>
    <row r="121" spans="1:10" x14ac:dyDescent="0.2">
      <c r="A121" s="84"/>
    </row>
    <row r="122" spans="1:10" x14ac:dyDescent="0.2">
      <c r="A122" s="84"/>
    </row>
    <row r="123" spans="1:10" x14ac:dyDescent="0.2">
      <c r="A123" s="84"/>
      <c r="F123" s="84"/>
    </row>
    <row r="124" spans="1:10" x14ac:dyDescent="0.2">
      <c r="A124" s="84"/>
      <c r="F124" s="84"/>
    </row>
    <row r="125" spans="1:10" x14ac:dyDescent="0.2">
      <c r="A125" s="84"/>
      <c r="D125" s="84"/>
      <c r="E125" s="84"/>
      <c r="F125" s="84"/>
      <c r="H125" s="84"/>
    </row>
    <row r="126" spans="1:10" x14ac:dyDescent="0.2">
      <c r="A126" s="84"/>
      <c r="D126" s="84"/>
      <c r="E126" s="84"/>
      <c r="F126" s="84"/>
      <c r="G126" s="84"/>
      <c r="H126" s="102"/>
    </row>
    <row r="127" spans="1:10" x14ac:dyDescent="0.2">
      <c r="A127" s="387"/>
      <c r="C127" s="56"/>
      <c r="D127" s="56"/>
      <c r="E127" s="85"/>
      <c r="F127" s="427"/>
      <c r="G127" s="85"/>
      <c r="H127" s="102"/>
    </row>
    <row r="128" spans="1:10" x14ac:dyDescent="0.2">
      <c r="A128" s="84"/>
      <c r="C128" s="57"/>
      <c r="D128" s="53"/>
      <c r="E128" s="86"/>
      <c r="F128" s="86"/>
      <c r="G128" s="414"/>
      <c r="H128" s="87"/>
    </row>
    <row r="129" spans="1:8" x14ac:dyDescent="0.2">
      <c r="A129" s="84"/>
      <c r="C129" s="52"/>
      <c r="D129" s="53"/>
      <c r="E129" s="86"/>
      <c r="F129" s="86"/>
      <c r="G129" s="414"/>
      <c r="H129" s="87"/>
    </row>
    <row r="130" spans="1:8" x14ac:dyDescent="0.2">
      <c r="A130" s="84"/>
      <c r="C130" s="52"/>
      <c r="D130" s="53"/>
      <c r="E130" s="86"/>
      <c r="F130" s="86"/>
      <c r="G130" s="414"/>
      <c r="H130" s="87"/>
    </row>
    <row r="131" spans="1:8" x14ac:dyDescent="0.2">
      <c r="A131" s="84"/>
      <c r="C131" s="57"/>
      <c r="D131" s="53"/>
      <c r="E131" s="86"/>
      <c r="F131" s="86"/>
      <c r="G131" s="414"/>
      <c r="H131" s="87"/>
    </row>
    <row r="132" spans="1:8" x14ac:dyDescent="0.2">
      <c r="A132" s="84"/>
      <c r="C132" s="52"/>
      <c r="D132" s="53"/>
      <c r="E132" s="86"/>
      <c r="F132" s="86"/>
      <c r="G132" s="414"/>
      <c r="H132" s="87"/>
    </row>
    <row r="133" spans="1:8" x14ac:dyDescent="0.2">
      <c r="A133" s="84"/>
      <c r="C133" s="52"/>
      <c r="D133" s="53"/>
      <c r="E133" s="86"/>
      <c r="F133" s="86"/>
      <c r="G133" s="414"/>
      <c r="H133" s="87"/>
    </row>
    <row r="134" spans="1:8" x14ac:dyDescent="0.2">
      <c r="A134" s="84"/>
      <c r="C134" s="57"/>
      <c r="D134" s="53"/>
      <c r="E134" s="86"/>
      <c r="F134" s="86"/>
      <c r="G134" s="414"/>
      <c r="H134" s="87"/>
    </row>
    <row r="135" spans="1:8" x14ac:dyDescent="0.2">
      <c r="A135" s="84"/>
      <c r="C135" s="52"/>
      <c r="D135" s="53"/>
      <c r="E135" s="86"/>
      <c r="F135" s="86"/>
      <c r="G135" s="414"/>
      <c r="H135" s="87"/>
    </row>
    <row r="136" spans="1:8" x14ac:dyDescent="0.2">
      <c r="A136" s="84"/>
      <c r="C136" s="52"/>
      <c r="D136" s="53"/>
      <c r="E136" s="86"/>
      <c r="F136" s="86"/>
      <c r="G136" s="414"/>
      <c r="H136" s="87"/>
    </row>
    <row r="137" spans="1:8" x14ac:dyDescent="0.2">
      <c r="A137" s="84"/>
      <c r="C137" s="57"/>
      <c r="D137" s="53"/>
      <c r="E137" s="86"/>
      <c r="F137" s="86"/>
      <c r="G137" s="414"/>
      <c r="H137" s="87"/>
    </row>
    <row r="138" spans="1:8" x14ac:dyDescent="0.2">
      <c r="A138" s="84"/>
      <c r="C138" s="57"/>
      <c r="D138" s="53"/>
      <c r="E138" s="86"/>
      <c r="F138" s="86"/>
      <c r="G138" s="414"/>
      <c r="H138" s="87"/>
    </row>
    <row r="139" spans="1:8" x14ac:dyDescent="0.2">
      <c r="A139" s="84"/>
      <c r="C139" s="52"/>
      <c r="D139" s="53"/>
      <c r="E139" s="86"/>
      <c r="F139" s="86"/>
      <c r="G139" s="414"/>
      <c r="H139" s="426"/>
    </row>
    <row r="140" spans="1:8" x14ac:dyDescent="0.2">
      <c r="A140" s="84"/>
      <c r="E140" s="90"/>
      <c r="F140" s="90"/>
      <c r="G140" s="90"/>
      <c r="H140" s="87"/>
    </row>
    <row r="141" spans="1:8" x14ac:dyDescent="0.2">
      <c r="A141" s="84"/>
      <c r="C141" s="52"/>
      <c r="D141" s="53"/>
      <c r="E141" s="90"/>
      <c r="F141" s="428"/>
      <c r="G141" s="414"/>
      <c r="H141" s="429"/>
    </row>
    <row r="142" spans="1:8" x14ac:dyDescent="0.2">
      <c r="A142" s="84"/>
      <c r="B142" s="92"/>
      <c r="C142" s="52"/>
      <c r="D142" s="53"/>
      <c r="E142" s="90"/>
      <c r="F142" s="428"/>
      <c r="G142" s="414"/>
      <c r="H142" s="429"/>
    </row>
    <row r="143" spans="1:8" x14ac:dyDescent="0.2">
      <c r="A143" s="387"/>
      <c r="B143" s="92"/>
      <c r="C143" s="52"/>
      <c r="D143" s="53"/>
      <c r="E143" s="90"/>
      <c r="F143" s="428"/>
      <c r="G143" s="414"/>
      <c r="H143" s="429"/>
    </row>
    <row r="144" spans="1:8" x14ac:dyDescent="0.2">
      <c r="A144" s="84"/>
      <c r="C144" s="52"/>
      <c r="D144" s="58"/>
      <c r="E144" s="86"/>
      <c r="F144" s="430"/>
      <c r="G144" s="414"/>
      <c r="H144" s="429"/>
    </row>
    <row r="145" spans="1:10" x14ac:dyDescent="0.2">
      <c r="A145" s="84"/>
      <c r="C145" s="52"/>
      <c r="D145" s="431"/>
      <c r="E145" s="86"/>
      <c r="F145" s="430"/>
      <c r="G145" s="414"/>
      <c r="H145" s="429"/>
    </row>
    <row r="146" spans="1:10" x14ac:dyDescent="0.2">
      <c r="A146" s="84"/>
      <c r="C146" s="52"/>
      <c r="D146" s="431"/>
      <c r="E146" s="426"/>
      <c r="F146" s="432"/>
      <c r="G146" s="414"/>
      <c r="H146" s="429"/>
    </row>
    <row r="147" spans="1:10" x14ac:dyDescent="0.2">
      <c r="A147" s="84"/>
      <c r="C147" s="52"/>
      <c r="D147" s="58"/>
      <c r="E147" s="87"/>
      <c r="F147" s="429"/>
      <c r="G147" s="414"/>
      <c r="H147" s="429"/>
    </row>
    <row r="148" spans="1:10" x14ac:dyDescent="0.2">
      <c r="A148" s="84"/>
      <c r="C148" s="52"/>
      <c r="D148" s="53"/>
      <c r="F148" s="429"/>
      <c r="G148" s="414"/>
      <c r="H148" s="429"/>
    </row>
    <row r="149" spans="1:10" x14ac:dyDescent="0.2">
      <c r="A149" s="84"/>
    </row>
    <row r="150" spans="1:10" x14ac:dyDescent="0.2">
      <c r="A150" s="84"/>
    </row>
    <row r="151" spans="1:10" x14ac:dyDescent="0.2">
      <c r="A151" s="84"/>
    </row>
    <row r="152" spans="1:10" x14ac:dyDescent="0.2">
      <c r="A152" s="84"/>
      <c r="B152" s="92"/>
    </row>
    <row r="153" spans="1:10" x14ac:dyDescent="0.2">
      <c r="A153" s="84"/>
      <c r="B153" s="88"/>
    </row>
    <row r="154" spans="1:10" x14ac:dyDescent="0.2">
      <c r="A154" s="84"/>
      <c r="B154" s="88"/>
    </row>
    <row r="155" spans="1:10" x14ac:dyDescent="0.2">
      <c r="A155" s="84"/>
      <c r="B155" s="88"/>
    </row>
    <row r="156" spans="1:10" x14ac:dyDescent="0.2">
      <c r="A156" s="84"/>
    </row>
    <row r="157" spans="1:10" x14ac:dyDescent="0.2">
      <c r="A157" s="84"/>
      <c r="B157" s="92"/>
    </row>
    <row r="158" spans="1:10" x14ac:dyDescent="0.2">
      <c r="A158" s="84"/>
    </row>
    <row r="159" spans="1:10" x14ac:dyDescent="0.2">
      <c r="A159" s="387"/>
      <c r="C159" s="56"/>
      <c r="D159" s="85"/>
      <c r="G159" s="90"/>
      <c r="H159" s="90"/>
      <c r="I159" s="90"/>
      <c r="J159" s="90"/>
    </row>
    <row r="160" spans="1:10" x14ac:dyDescent="0.2">
      <c r="A160" s="84"/>
      <c r="C160" s="57"/>
      <c r="D160" s="433"/>
      <c r="F160" s="103"/>
      <c r="G160" s="90"/>
      <c r="H160" s="90"/>
      <c r="I160" s="90"/>
      <c r="J160" s="90"/>
    </row>
    <row r="161" spans="1:10" x14ac:dyDescent="0.2">
      <c r="A161" s="84"/>
      <c r="C161" s="52"/>
      <c r="D161" s="433"/>
      <c r="F161" s="103"/>
      <c r="G161" s="90"/>
      <c r="H161" s="90"/>
      <c r="I161" s="90"/>
      <c r="J161" s="90"/>
    </row>
    <row r="162" spans="1:10" x14ac:dyDescent="0.2">
      <c r="A162" s="84"/>
      <c r="C162" s="52"/>
      <c r="D162" s="433"/>
      <c r="F162" s="103"/>
      <c r="G162" s="90"/>
      <c r="H162" s="90"/>
      <c r="I162" s="90"/>
      <c r="J162" s="90"/>
    </row>
    <row r="163" spans="1:10" x14ac:dyDescent="0.2">
      <c r="A163" s="84"/>
      <c r="C163" s="57"/>
      <c r="D163" s="433"/>
      <c r="F163" s="103"/>
      <c r="G163" s="90"/>
      <c r="H163" s="90"/>
      <c r="I163" s="90"/>
      <c r="J163" s="90"/>
    </row>
    <row r="164" spans="1:10" x14ac:dyDescent="0.2">
      <c r="A164" s="84"/>
      <c r="C164" s="52"/>
      <c r="D164" s="433"/>
      <c r="F164" s="103"/>
      <c r="G164" s="90"/>
      <c r="H164" s="90"/>
      <c r="I164" s="90"/>
      <c r="J164" s="90"/>
    </row>
    <row r="165" spans="1:10" x14ac:dyDescent="0.2">
      <c r="A165" s="84"/>
      <c r="C165" s="52"/>
      <c r="D165" s="433"/>
      <c r="F165" s="103"/>
      <c r="G165" s="90"/>
      <c r="H165" s="90"/>
      <c r="I165" s="90"/>
      <c r="J165" s="90"/>
    </row>
    <row r="166" spans="1:10" x14ac:dyDescent="0.2">
      <c r="A166" s="84"/>
      <c r="C166" s="57"/>
      <c r="D166" s="433"/>
      <c r="F166" s="103"/>
      <c r="G166" s="90"/>
      <c r="H166" s="90"/>
      <c r="I166" s="90"/>
      <c r="J166" s="90"/>
    </row>
    <row r="167" spans="1:10" x14ac:dyDescent="0.2">
      <c r="A167" s="84"/>
      <c r="C167" s="52"/>
      <c r="D167" s="433"/>
      <c r="F167" s="103"/>
      <c r="G167" s="90"/>
      <c r="H167" s="90"/>
      <c r="I167" s="90"/>
      <c r="J167" s="90"/>
    </row>
    <row r="168" spans="1:10" x14ac:dyDescent="0.2">
      <c r="A168" s="84"/>
      <c r="C168" s="52"/>
      <c r="D168" s="433"/>
      <c r="F168" s="103"/>
      <c r="G168" s="90"/>
      <c r="H168" s="90"/>
      <c r="I168" s="90"/>
      <c r="J168" s="90"/>
    </row>
    <row r="169" spans="1:10" x14ac:dyDescent="0.2">
      <c r="A169" s="84"/>
      <c r="C169" s="57"/>
      <c r="D169" s="433"/>
      <c r="F169" s="103"/>
      <c r="G169" s="90"/>
      <c r="H169" s="90"/>
      <c r="I169" s="90"/>
      <c r="J169" s="90"/>
    </row>
    <row r="170" spans="1:10" x14ac:dyDescent="0.2">
      <c r="A170" s="84"/>
      <c r="C170" s="57"/>
      <c r="D170" s="433"/>
      <c r="F170" s="103"/>
    </row>
    <row r="171" spans="1:10" x14ac:dyDescent="0.2">
      <c r="A171" s="84"/>
      <c r="C171" s="52"/>
      <c r="D171" s="434"/>
      <c r="F171" s="435"/>
    </row>
    <row r="172" spans="1:10" x14ac:dyDescent="0.2">
      <c r="A172" s="84"/>
      <c r="C172" s="55"/>
      <c r="D172" s="433"/>
    </row>
  </sheetData>
  <pageMargins left="0.75" right="0.75" top="1" bottom="1" header="0.5" footer="0.5"/>
  <pageSetup scale="80" orientation="landscape" cellComments="asDisplayed" r:id="rId1"/>
  <headerFooter alignWithMargins="0">
    <oddHeader>&amp;CSchedule 4
True Up TRR
(Revised 2016 True Up TRR)
&amp;RExhibit SCE-29
TO2019A
WP-Schedule 3-One Time Adj Prior Period
Page &amp;P of &amp;N</oddHeader>
    <oddFooter>&amp;R&amp;A</oddFooter>
  </headerFooter>
  <rowBreaks count="4" manualBreakCount="4">
    <brk id="46" max="9" man="1"/>
    <brk id="73" max="16383" man="1"/>
    <brk id="119" max="9" man="1"/>
    <brk id="1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120" zoomScaleNormal="120" workbookViewId="0"/>
  </sheetViews>
  <sheetFormatPr defaultRowHeight="12.75" x14ac:dyDescent="0.2"/>
  <cols>
    <col min="1" max="1" width="4.7109375" style="63" customWidth="1"/>
    <col min="2" max="2" width="2.7109375" style="63" customWidth="1"/>
    <col min="3" max="3" width="6.7109375" style="63" customWidth="1"/>
    <col min="4" max="4" width="32.5703125" style="63" customWidth="1"/>
    <col min="5" max="5" width="14.7109375" style="63" customWidth="1"/>
    <col min="6" max="6" width="15.7109375" style="63" customWidth="1"/>
    <col min="7" max="8" width="14.7109375" style="63" customWidth="1"/>
    <col min="9" max="9" width="20" style="63" customWidth="1"/>
    <col min="10" max="10" width="18" style="63" customWidth="1"/>
    <col min="11" max="11" width="11" style="63" bestFit="1" customWidth="1"/>
    <col min="12" max="16384" width="9.140625" style="63"/>
  </cols>
  <sheetData>
    <row r="1" spans="1:24" x14ac:dyDescent="0.2">
      <c r="A1" s="92" t="s">
        <v>159</v>
      </c>
      <c r="F1" s="437" t="s">
        <v>156</v>
      </c>
      <c r="G1" s="83"/>
      <c r="H1" s="438"/>
      <c r="I1" s="438"/>
    </row>
    <row r="2" spans="1:24" x14ac:dyDescent="0.2">
      <c r="E2" s="427" t="s">
        <v>148</v>
      </c>
      <c r="F2" s="427" t="s">
        <v>149</v>
      </c>
      <c r="G2" s="427" t="s">
        <v>150</v>
      </c>
      <c r="H2" s="427" t="s">
        <v>151</v>
      </c>
      <c r="I2" s="438"/>
    </row>
    <row r="3" spans="1:24" x14ac:dyDescent="0.2">
      <c r="G3" s="438" t="s">
        <v>160</v>
      </c>
    </row>
    <row r="4" spans="1:24" x14ac:dyDescent="0.2">
      <c r="E4" s="84" t="s">
        <v>161</v>
      </c>
      <c r="F4" s="61" t="s">
        <v>157</v>
      </c>
      <c r="G4" s="84" t="s">
        <v>162</v>
      </c>
      <c r="I4" s="84"/>
    </row>
    <row r="5" spans="1:24" x14ac:dyDescent="0.2">
      <c r="A5" s="387" t="s">
        <v>39</v>
      </c>
      <c r="B5" s="85"/>
      <c r="C5" s="85" t="s">
        <v>163</v>
      </c>
      <c r="D5" s="85" t="s">
        <v>31</v>
      </c>
      <c r="E5" s="85" t="s">
        <v>32</v>
      </c>
      <c r="F5" s="56" t="s">
        <v>33</v>
      </c>
      <c r="G5" s="85" t="s">
        <v>164</v>
      </c>
      <c r="H5" s="85" t="s">
        <v>84</v>
      </c>
      <c r="I5" s="85" t="s">
        <v>42</v>
      </c>
      <c r="K5" s="85"/>
      <c r="L5" s="85"/>
      <c r="M5" s="85"/>
      <c r="N5" s="85"/>
      <c r="O5" s="85"/>
      <c r="P5" s="85"/>
      <c r="Q5" s="85"/>
      <c r="R5" s="85"/>
      <c r="S5" s="85"/>
      <c r="T5" s="85"/>
      <c r="U5" s="85"/>
      <c r="V5" s="85"/>
      <c r="W5" s="85"/>
      <c r="X5" s="85"/>
    </row>
    <row r="6" spans="1:24" x14ac:dyDescent="0.2">
      <c r="A6" s="84">
        <v>1</v>
      </c>
      <c r="C6" s="438">
        <v>920</v>
      </c>
      <c r="D6" s="63" t="s">
        <v>165</v>
      </c>
      <c r="E6" s="439">
        <v>370948767</v>
      </c>
      <c r="F6" s="438" t="s">
        <v>166</v>
      </c>
      <c r="G6" s="187">
        <f>D37</f>
        <v>72999158.595756173</v>
      </c>
      <c r="H6" s="187">
        <f t="shared" ref="H6:H19" si="0">E6-G6</f>
        <v>297949608.40424383</v>
      </c>
      <c r="J6" s="88"/>
    </row>
    <row r="7" spans="1:24" x14ac:dyDescent="0.2">
      <c r="A7" s="84">
        <f>A6+1</f>
        <v>2</v>
      </c>
      <c r="C7" s="438">
        <v>921</v>
      </c>
      <c r="D7" s="63" t="s">
        <v>167</v>
      </c>
      <c r="E7" s="439">
        <v>213803210</v>
      </c>
      <c r="F7" s="438" t="s">
        <v>168</v>
      </c>
      <c r="G7" s="86">
        <f t="shared" ref="G7:G19" si="1">D38</f>
        <v>441758.91968707397</v>
      </c>
      <c r="H7" s="87">
        <f t="shared" si="0"/>
        <v>213361451.08031294</v>
      </c>
      <c r="J7" s="88"/>
    </row>
    <row r="8" spans="1:24" x14ac:dyDescent="0.2">
      <c r="A8" s="84">
        <f>A7+1</f>
        <v>3</v>
      </c>
      <c r="C8" s="438">
        <v>922</v>
      </c>
      <c r="D8" s="63" t="s">
        <v>169</v>
      </c>
      <c r="E8" s="439">
        <v>-119273668</v>
      </c>
      <c r="F8" s="438" t="s">
        <v>170</v>
      </c>
      <c r="G8" s="86">
        <f t="shared" si="1"/>
        <v>-29401382</v>
      </c>
      <c r="H8" s="87">
        <f t="shared" si="0"/>
        <v>-89872286</v>
      </c>
      <c r="I8" s="89" t="s">
        <v>171</v>
      </c>
      <c r="J8" s="88"/>
    </row>
    <row r="9" spans="1:24" x14ac:dyDescent="0.2">
      <c r="A9" s="84">
        <f t="shared" ref="A9:A20" si="2">A8+1</f>
        <v>4</v>
      </c>
      <c r="B9" s="84"/>
      <c r="C9" s="438">
        <v>923</v>
      </c>
      <c r="D9" s="63" t="s">
        <v>172</v>
      </c>
      <c r="E9" s="439">
        <v>60667969</v>
      </c>
      <c r="F9" s="438" t="s">
        <v>173</v>
      </c>
      <c r="G9" s="86">
        <f t="shared" si="1"/>
        <v>7725398.1400000006</v>
      </c>
      <c r="H9" s="87">
        <f t="shared" si="0"/>
        <v>52942570.859999999</v>
      </c>
      <c r="J9" s="88"/>
    </row>
    <row r="10" spans="1:24" x14ac:dyDescent="0.2">
      <c r="A10" s="84">
        <f t="shared" si="2"/>
        <v>5</v>
      </c>
      <c r="B10" s="84"/>
      <c r="C10" s="438">
        <v>924</v>
      </c>
      <c r="D10" s="63" t="s">
        <v>174</v>
      </c>
      <c r="E10" s="439">
        <v>14124920</v>
      </c>
      <c r="F10" s="438" t="s">
        <v>175</v>
      </c>
      <c r="G10" s="86">
        <f t="shared" si="1"/>
        <v>0</v>
      </c>
      <c r="H10" s="87">
        <f t="shared" si="0"/>
        <v>14124920</v>
      </c>
      <c r="J10" s="88"/>
    </row>
    <row r="11" spans="1:24" x14ac:dyDescent="0.2">
      <c r="A11" s="84">
        <f t="shared" si="2"/>
        <v>6</v>
      </c>
      <c r="B11" s="84"/>
      <c r="C11" s="438">
        <v>925</v>
      </c>
      <c r="D11" s="63" t="s">
        <v>176</v>
      </c>
      <c r="E11" s="439">
        <v>90935394</v>
      </c>
      <c r="F11" s="438" t="s">
        <v>177</v>
      </c>
      <c r="G11" s="86">
        <f t="shared" si="1"/>
        <v>0</v>
      </c>
      <c r="H11" s="87">
        <f t="shared" si="0"/>
        <v>90935394</v>
      </c>
      <c r="J11" s="88"/>
    </row>
    <row r="12" spans="1:24" x14ac:dyDescent="0.2">
      <c r="A12" s="84">
        <f t="shared" si="2"/>
        <v>7</v>
      </c>
      <c r="B12" s="84"/>
      <c r="C12" s="438">
        <v>926</v>
      </c>
      <c r="D12" s="63" t="s">
        <v>178</v>
      </c>
      <c r="E12" s="439">
        <v>169577000</v>
      </c>
      <c r="F12" s="438" t="s">
        <v>179</v>
      </c>
      <c r="G12" s="187">
        <f t="shared" si="1"/>
        <v>-4337968.4582647402</v>
      </c>
      <c r="H12" s="187">
        <f t="shared" si="0"/>
        <v>173914968.45826474</v>
      </c>
      <c r="J12" s="88"/>
    </row>
    <row r="13" spans="1:24" x14ac:dyDescent="0.2">
      <c r="A13" s="84">
        <f t="shared" si="2"/>
        <v>8</v>
      </c>
      <c r="B13" s="84"/>
      <c r="C13" s="438">
        <v>927</v>
      </c>
      <c r="D13" s="63" t="s">
        <v>152</v>
      </c>
      <c r="E13" s="439">
        <v>104853533</v>
      </c>
      <c r="F13" s="438" t="s">
        <v>180</v>
      </c>
      <c r="G13" s="86">
        <f t="shared" si="1"/>
        <v>104853533</v>
      </c>
      <c r="H13" s="87">
        <f t="shared" si="0"/>
        <v>0</v>
      </c>
      <c r="J13" s="88"/>
    </row>
    <row r="14" spans="1:24" x14ac:dyDescent="0.2">
      <c r="A14" s="84">
        <f t="shared" si="2"/>
        <v>9</v>
      </c>
      <c r="B14" s="84"/>
      <c r="C14" s="438">
        <v>928</v>
      </c>
      <c r="D14" s="88" t="s">
        <v>181</v>
      </c>
      <c r="E14" s="439">
        <v>39330186</v>
      </c>
      <c r="F14" s="438" t="s">
        <v>182</v>
      </c>
      <c r="G14" s="86">
        <f t="shared" si="1"/>
        <v>40447590.189999998</v>
      </c>
      <c r="H14" s="87">
        <f t="shared" si="0"/>
        <v>-1117404.1899999976</v>
      </c>
      <c r="J14" s="88"/>
    </row>
    <row r="15" spans="1:24" x14ac:dyDescent="0.2">
      <c r="A15" s="84">
        <f t="shared" si="2"/>
        <v>10</v>
      </c>
      <c r="B15" s="84"/>
      <c r="C15" s="438">
        <v>929</v>
      </c>
      <c r="D15" s="63" t="s">
        <v>183</v>
      </c>
      <c r="E15" s="439">
        <v>0</v>
      </c>
      <c r="F15" s="438" t="s">
        <v>184</v>
      </c>
      <c r="G15" s="86">
        <f t="shared" si="1"/>
        <v>0</v>
      </c>
      <c r="H15" s="87">
        <f t="shared" si="0"/>
        <v>0</v>
      </c>
      <c r="J15" s="88"/>
    </row>
    <row r="16" spans="1:24" x14ac:dyDescent="0.2">
      <c r="A16" s="84">
        <f t="shared" si="2"/>
        <v>11</v>
      </c>
      <c r="B16" s="84"/>
      <c r="C16" s="438">
        <v>930.1</v>
      </c>
      <c r="D16" s="63" t="s">
        <v>185</v>
      </c>
      <c r="E16" s="439">
        <v>4740534</v>
      </c>
      <c r="F16" s="438" t="s">
        <v>186</v>
      </c>
      <c r="G16" s="86">
        <f t="shared" si="1"/>
        <v>0</v>
      </c>
      <c r="H16" s="87">
        <f t="shared" si="0"/>
        <v>4740534</v>
      </c>
      <c r="J16" s="88"/>
    </row>
    <row r="17" spans="1:11" x14ac:dyDescent="0.2">
      <c r="A17" s="84">
        <f t="shared" si="2"/>
        <v>12</v>
      </c>
      <c r="B17" s="84"/>
      <c r="C17" s="438">
        <v>930.2</v>
      </c>
      <c r="D17" s="63" t="s">
        <v>187</v>
      </c>
      <c r="E17" s="439">
        <v>18871749</v>
      </c>
      <c r="F17" s="438" t="s">
        <v>188</v>
      </c>
      <c r="G17" s="86">
        <f t="shared" si="1"/>
        <v>22065925.93</v>
      </c>
      <c r="H17" s="87">
        <f>E17-G17</f>
        <v>-3194176.9299999997</v>
      </c>
      <c r="J17" s="88"/>
    </row>
    <row r="18" spans="1:11" x14ac:dyDescent="0.2">
      <c r="A18" s="84">
        <f t="shared" si="2"/>
        <v>13</v>
      </c>
      <c r="B18" s="84"/>
      <c r="C18" s="438">
        <v>931</v>
      </c>
      <c r="D18" s="63" t="s">
        <v>189</v>
      </c>
      <c r="E18" s="439">
        <v>17771530</v>
      </c>
      <c r="F18" s="438" t="s">
        <v>190</v>
      </c>
      <c r="G18" s="86">
        <f t="shared" si="1"/>
        <v>0</v>
      </c>
      <c r="H18" s="87">
        <f t="shared" si="0"/>
        <v>17771530</v>
      </c>
      <c r="J18" s="88"/>
    </row>
    <row r="19" spans="1:11" x14ac:dyDescent="0.2">
      <c r="A19" s="84">
        <f t="shared" si="2"/>
        <v>14</v>
      </c>
      <c r="B19" s="84"/>
      <c r="C19" s="438">
        <v>935</v>
      </c>
      <c r="D19" s="63" t="s">
        <v>191</v>
      </c>
      <c r="E19" s="440">
        <v>13400370</v>
      </c>
      <c r="F19" s="438" t="s">
        <v>192</v>
      </c>
      <c r="G19" s="86">
        <f t="shared" si="1"/>
        <v>718532</v>
      </c>
      <c r="H19" s="426">
        <f t="shared" si="0"/>
        <v>12681838</v>
      </c>
      <c r="J19" s="88"/>
    </row>
    <row r="20" spans="1:11" x14ac:dyDescent="0.2">
      <c r="A20" s="84">
        <f t="shared" si="2"/>
        <v>15</v>
      </c>
      <c r="E20" s="87">
        <f>SUM(E6:E19)</f>
        <v>999751494</v>
      </c>
      <c r="G20" s="431" t="s">
        <v>193</v>
      </c>
      <c r="H20" s="395">
        <f>SUM(H6:H19)</f>
        <v>784238947.68282163</v>
      </c>
    </row>
    <row r="22" spans="1:11" x14ac:dyDescent="0.2">
      <c r="F22" s="85" t="s">
        <v>32</v>
      </c>
      <c r="G22" s="85" t="s">
        <v>33</v>
      </c>
    </row>
    <row r="23" spans="1:11" x14ac:dyDescent="0.2">
      <c r="A23" s="84">
        <f>A20+1</f>
        <v>16</v>
      </c>
      <c r="E23" s="404" t="s">
        <v>194</v>
      </c>
      <c r="F23" s="187">
        <f>H20</f>
        <v>784238947.68282163</v>
      </c>
      <c r="G23" s="391" t="str">
        <f>"Line "&amp;A20&amp;""</f>
        <v>Line 15</v>
      </c>
      <c r="H23" s="90"/>
      <c r="I23" s="90"/>
      <c r="J23" s="90"/>
      <c r="K23" s="90"/>
    </row>
    <row r="24" spans="1:11" x14ac:dyDescent="0.2">
      <c r="A24" s="84">
        <f t="shared" ref="A24:A30" si="3">A23+1</f>
        <v>17</v>
      </c>
      <c r="E24" s="404" t="s">
        <v>195</v>
      </c>
      <c r="F24" s="401">
        <f>E10</f>
        <v>14124920</v>
      </c>
      <c r="G24" s="391" t="str">
        <f>"Line "&amp;A10&amp;""</f>
        <v>Line 5</v>
      </c>
      <c r="H24" s="90"/>
      <c r="I24" s="90"/>
      <c r="J24" s="90"/>
      <c r="K24" s="90"/>
    </row>
    <row r="25" spans="1:11" x14ac:dyDescent="0.2">
      <c r="A25" s="84">
        <f t="shared" si="3"/>
        <v>18</v>
      </c>
      <c r="E25" s="404" t="s">
        <v>196</v>
      </c>
      <c r="F25" s="187">
        <f>F23-F24</f>
        <v>770114027.68282163</v>
      </c>
      <c r="G25" s="391" t="str">
        <f>"Line "&amp;A23&amp;" - Line "&amp;A24&amp;""</f>
        <v>Line 16 - Line 17</v>
      </c>
      <c r="H25" s="90"/>
      <c r="I25" s="90"/>
      <c r="J25" s="90"/>
      <c r="K25" s="90"/>
    </row>
    <row r="26" spans="1:11" x14ac:dyDescent="0.2">
      <c r="A26" s="84">
        <f t="shared" si="3"/>
        <v>19</v>
      </c>
      <c r="E26" s="91" t="s">
        <v>197</v>
      </c>
      <c r="F26" s="441">
        <f>'[16]27-Allocators'!G15</f>
        <v>5.7291253607394212E-2</v>
      </c>
      <c r="G26" s="391" t="str">
        <f>"27-Allocators, Line "&amp;'[16]27-Allocators'!A15&amp;""</f>
        <v>27-Allocators, Line 9</v>
      </c>
      <c r="H26" s="90"/>
      <c r="I26" s="90"/>
      <c r="J26" s="90"/>
      <c r="K26" s="90"/>
    </row>
    <row r="27" spans="1:11" x14ac:dyDescent="0.2">
      <c r="A27" s="84">
        <f t="shared" si="3"/>
        <v>20</v>
      </c>
      <c r="E27" s="404" t="s">
        <v>198</v>
      </c>
      <c r="F27" s="187">
        <f>F25*F26</f>
        <v>44120798.066588342</v>
      </c>
      <c r="G27" s="391" t="str">
        <f>"Line "&amp;A25&amp;" * Line "&amp;A26&amp;""</f>
        <v>Line 18 * Line 19</v>
      </c>
      <c r="H27" s="90"/>
      <c r="I27" s="90"/>
      <c r="J27" s="90"/>
      <c r="K27" s="90"/>
    </row>
    <row r="28" spans="1:11" x14ac:dyDescent="0.2">
      <c r="A28" s="84">
        <f t="shared" si="3"/>
        <v>21</v>
      </c>
      <c r="E28" s="404" t="s">
        <v>199</v>
      </c>
      <c r="F28" s="396">
        <f>'[16]27-Allocators'!G28</f>
        <v>0.19269684752161567</v>
      </c>
      <c r="G28" s="89" t="str">
        <f>"27-Allocators, Line "&amp;'[16]27-Allocators'!A28&amp;""</f>
        <v>27-Allocators, Line 22</v>
      </c>
      <c r="H28" s="90"/>
      <c r="I28" s="90"/>
      <c r="J28" s="90"/>
      <c r="K28" s="90"/>
    </row>
    <row r="29" spans="1:11" x14ac:dyDescent="0.2">
      <c r="A29" s="84">
        <f t="shared" si="3"/>
        <v>22</v>
      </c>
      <c r="E29" s="404" t="s">
        <v>200</v>
      </c>
      <c r="F29" s="392">
        <f>H10*F28</f>
        <v>2721827.5554950195</v>
      </c>
      <c r="G29" s="391" t="str">
        <f>"Line "&amp;A10&amp;" Col 4 * Line "&amp;A28&amp;""</f>
        <v>Line 5 Col 4 * Line 21</v>
      </c>
      <c r="H29" s="90"/>
      <c r="I29" s="90"/>
      <c r="J29" s="90"/>
      <c r="K29" s="90"/>
    </row>
    <row r="30" spans="1:11" x14ac:dyDescent="0.2">
      <c r="A30" s="84">
        <f t="shared" si="3"/>
        <v>23</v>
      </c>
      <c r="E30" s="404" t="s">
        <v>201</v>
      </c>
      <c r="F30" s="395">
        <f>F27+F29</f>
        <v>46842625.622083358</v>
      </c>
      <c r="G30" s="391" t="str">
        <f>"Line "&amp;A27&amp;" + Line "&amp;A29&amp;""</f>
        <v>Line 20 + Line 22</v>
      </c>
      <c r="H30" s="90"/>
      <c r="I30" s="90"/>
      <c r="J30" s="90"/>
      <c r="K30" s="90"/>
    </row>
    <row r="31" spans="1:11" x14ac:dyDescent="0.2">
      <c r="E31" s="90"/>
      <c r="F31" s="90"/>
      <c r="G31" s="90"/>
      <c r="H31" s="90"/>
      <c r="I31" s="90"/>
      <c r="J31" s="90"/>
      <c r="K31" s="90"/>
    </row>
    <row r="32" spans="1:11" x14ac:dyDescent="0.2">
      <c r="B32" s="92" t="s">
        <v>202</v>
      </c>
      <c r="E32" s="442" t="s">
        <v>148</v>
      </c>
      <c r="F32" s="442" t="s">
        <v>149</v>
      </c>
      <c r="G32" s="442" t="s">
        <v>150</v>
      </c>
      <c r="H32" s="442" t="s">
        <v>151</v>
      </c>
      <c r="I32" s="90"/>
      <c r="J32" s="90"/>
      <c r="K32" s="90"/>
    </row>
    <row r="33" spans="1:11" x14ac:dyDescent="0.2">
      <c r="B33" s="92"/>
      <c r="E33" s="93" t="s">
        <v>203</v>
      </c>
      <c r="F33" s="442"/>
      <c r="G33" s="442"/>
      <c r="H33" s="442"/>
      <c r="I33" s="90"/>
      <c r="J33" s="90"/>
      <c r="K33" s="90"/>
    </row>
    <row r="34" spans="1:11" x14ac:dyDescent="0.2">
      <c r="E34" s="93" t="s">
        <v>204</v>
      </c>
      <c r="F34" s="90"/>
      <c r="G34" s="90"/>
      <c r="H34" s="90"/>
      <c r="I34" s="90"/>
      <c r="J34" s="90"/>
      <c r="K34" s="90"/>
    </row>
    <row r="35" spans="1:11" x14ac:dyDescent="0.2">
      <c r="D35" s="84" t="s">
        <v>205</v>
      </c>
      <c r="E35" s="93" t="s">
        <v>206</v>
      </c>
      <c r="F35" s="93" t="s">
        <v>207</v>
      </c>
      <c r="G35" s="93"/>
      <c r="H35" s="93"/>
      <c r="I35" s="90"/>
      <c r="J35" s="90"/>
      <c r="K35" s="90"/>
    </row>
    <row r="36" spans="1:11" ht="13.5" thickBot="1" x14ac:dyDescent="0.25">
      <c r="C36" s="85" t="s">
        <v>163</v>
      </c>
      <c r="D36" s="427" t="s">
        <v>208</v>
      </c>
      <c r="E36" s="62" t="s">
        <v>209</v>
      </c>
      <c r="F36" s="62" t="s">
        <v>210</v>
      </c>
      <c r="G36" s="62" t="s">
        <v>211</v>
      </c>
      <c r="H36" s="62" t="s">
        <v>212</v>
      </c>
      <c r="I36" s="62" t="s">
        <v>42</v>
      </c>
      <c r="J36" s="90"/>
      <c r="K36" s="90"/>
    </row>
    <row r="37" spans="1:11" ht="13.5" thickBot="1" x14ac:dyDescent="0.25">
      <c r="A37" s="84">
        <f>A30+1</f>
        <v>24</v>
      </c>
      <c r="C37" s="438">
        <v>920</v>
      </c>
      <c r="D37" s="443">
        <f>SUM(E37:H37)</f>
        <v>72999158.595756173</v>
      </c>
      <c r="E37" s="444">
        <v>-12148358.639687069</v>
      </c>
      <c r="F37" s="94"/>
      <c r="G37" s="86">
        <f>G58</f>
        <v>85147517.235443234</v>
      </c>
      <c r="H37" s="94"/>
      <c r="I37" s="391" t="s">
        <v>213</v>
      </c>
      <c r="J37" s="90"/>
    </row>
    <row r="38" spans="1:11" x14ac:dyDescent="0.2">
      <c r="A38" s="84">
        <f>A37+1</f>
        <v>25</v>
      </c>
      <c r="C38" s="438">
        <v>921</v>
      </c>
      <c r="D38" s="445">
        <f t="shared" ref="D38:D50" si="4">SUM(E38:H38)</f>
        <v>441758.91968707397</v>
      </c>
      <c r="E38" s="446">
        <v>441758.91968707397</v>
      </c>
      <c r="F38" s="94"/>
      <c r="G38" s="94">
        <v>0</v>
      </c>
      <c r="H38" s="94"/>
      <c r="I38" s="388"/>
    </row>
    <row r="39" spans="1:11" x14ac:dyDescent="0.2">
      <c r="A39" s="84">
        <f t="shared" ref="A39:A50" si="5">A38+1</f>
        <v>26</v>
      </c>
      <c r="C39" s="438">
        <v>922</v>
      </c>
      <c r="D39" s="445">
        <f t="shared" si="4"/>
        <v>-29401382</v>
      </c>
      <c r="E39" s="446">
        <v>-7665955</v>
      </c>
      <c r="F39" s="94"/>
      <c r="G39" s="59">
        <v>-21735427</v>
      </c>
      <c r="H39" s="94"/>
      <c r="I39" s="388"/>
    </row>
    <row r="40" spans="1:11" x14ac:dyDescent="0.2">
      <c r="A40" s="84">
        <f t="shared" si="5"/>
        <v>27</v>
      </c>
      <c r="C40" s="438">
        <v>923</v>
      </c>
      <c r="D40" s="445">
        <f t="shared" si="4"/>
        <v>7725398.1400000006</v>
      </c>
      <c r="E40" s="447">
        <v>7725398.1400000006</v>
      </c>
      <c r="F40" s="94"/>
      <c r="G40" s="94">
        <v>0</v>
      </c>
      <c r="H40" s="94"/>
      <c r="I40" s="388"/>
      <c r="J40" s="85"/>
      <c r="K40" s="85"/>
    </row>
    <row r="41" spans="1:11" x14ac:dyDescent="0.2">
      <c r="A41" s="84">
        <f t="shared" si="5"/>
        <v>28</v>
      </c>
      <c r="C41" s="438">
        <v>924</v>
      </c>
      <c r="D41" s="445">
        <f t="shared" si="4"/>
        <v>0</v>
      </c>
      <c r="E41" s="446">
        <v>0</v>
      </c>
      <c r="F41" s="94"/>
      <c r="G41" s="94">
        <v>0</v>
      </c>
      <c r="H41" s="94"/>
      <c r="I41" s="388"/>
      <c r="K41" s="87"/>
    </row>
    <row r="42" spans="1:11" x14ac:dyDescent="0.2">
      <c r="A42" s="84">
        <f t="shared" si="5"/>
        <v>29</v>
      </c>
      <c r="C42" s="438">
        <v>925</v>
      </c>
      <c r="D42" s="445">
        <f t="shared" si="4"/>
        <v>0</v>
      </c>
      <c r="E42" s="446">
        <v>0</v>
      </c>
      <c r="F42" s="94"/>
      <c r="G42" s="94">
        <v>0</v>
      </c>
      <c r="H42" s="94"/>
      <c r="I42" s="448"/>
      <c r="K42" s="87"/>
    </row>
    <row r="43" spans="1:11" x14ac:dyDescent="0.2">
      <c r="A43" s="84">
        <f t="shared" si="5"/>
        <v>30</v>
      </c>
      <c r="C43" s="438">
        <v>926</v>
      </c>
      <c r="D43" s="443">
        <f t="shared" si="4"/>
        <v>-4337968.4582647402</v>
      </c>
      <c r="E43" s="446">
        <v>14829570.54173526</v>
      </c>
      <c r="F43" s="94"/>
      <c r="G43" s="94">
        <v>0</v>
      </c>
      <c r="H43" s="187">
        <f>E70</f>
        <v>-19167539</v>
      </c>
      <c r="I43" s="448" t="s">
        <v>153</v>
      </c>
      <c r="K43" s="87"/>
    </row>
    <row r="44" spans="1:11" x14ac:dyDescent="0.2">
      <c r="A44" s="84">
        <f t="shared" si="5"/>
        <v>31</v>
      </c>
      <c r="C44" s="438">
        <v>927</v>
      </c>
      <c r="D44" s="445">
        <f t="shared" si="4"/>
        <v>104853533</v>
      </c>
      <c r="E44" s="86">
        <v>0</v>
      </c>
      <c r="F44" s="449">
        <f>E13</f>
        <v>104853533</v>
      </c>
      <c r="G44" s="86">
        <v>0</v>
      </c>
      <c r="H44" s="86">
        <v>0</v>
      </c>
      <c r="I44" s="388" t="s">
        <v>214</v>
      </c>
      <c r="K44" s="87"/>
    </row>
    <row r="45" spans="1:11" x14ac:dyDescent="0.2">
      <c r="A45" s="84">
        <f t="shared" si="5"/>
        <v>32</v>
      </c>
      <c r="C45" s="438">
        <v>928</v>
      </c>
      <c r="D45" s="445">
        <f t="shared" si="4"/>
        <v>40447590.189999998</v>
      </c>
      <c r="E45" s="447">
        <v>40447590.189999998</v>
      </c>
      <c r="F45" s="94"/>
      <c r="G45" s="94">
        <v>0</v>
      </c>
      <c r="H45" s="94"/>
      <c r="I45" s="388"/>
      <c r="K45" s="87"/>
    </row>
    <row r="46" spans="1:11" x14ac:dyDescent="0.2">
      <c r="A46" s="84">
        <f t="shared" si="5"/>
        <v>33</v>
      </c>
      <c r="C46" s="438">
        <v>929</v>
      </c>
      <c r="D46" s="445">
        <f t="shared" si="4"/>
        <v>0</v>
      </c>
      <c r="E46" s="446">
        <v>0</v>
      </c>
      <c r="F46" s="94"/>
      <c r="G46" s="94">
        <v>0</v>
      </c>
      <c r="H46" s="94"/>
      <c r="I46" s="388"/>
      <c r="K46" s="87"/>
    </row>
    <row r="47" spans="1:11" x14ac:dyDescent="0.2">
      <c r="A47" s="84">
        <f t="shared" si="5"/>
        <v>34</v>
      </c>
      <c r="C47" s="438">
        <v>930.1</v>
      </c>
      <c r="D47" s="445">
        <f t="shared" si="4"/>
        <v>0</v>
      </c>
      <c r="E47" s="446">
        <v>0</v>
      </c>
      <c r="F47" s="94"/>
      <c r="G47" s="94">
        <v>0</v>
      </c>
      <c r="H47" s="94"/>
      <c r="I47" s="388"/>
      <c r="K47" s="87"/>
    </row>
    <row r="48" spans="1:11" x14ac:dyDescent="0.2">
      <c r="A48" s="84">
        <f t="shared" si="5"/>
        <v>35</v>
      </c>
      <c r="C48" s="438">
        <v>930.2</v>
      </c>
      <c r="D48" s="445">
        <f t="shared" si="4"/>
        <v>22065925.93</v>
      </c>
      <c r="E48" s="446">
        <v>22065925.93</v>
      </c>
      <c r="F48" s="94"/>
      <c r="G48" s="94">
        <v>0</v>
      </c>
      <c r="H48" s="94"/>
      <c r="I48" s="388"/>
      <c r="J48" s="450"/>
    </row>
    <row r="49" spans="1:10" x14ac:dyDescent="0.2">
      <c r="A49" s="84">
        <f t="shared" si="5"/>
        <v>36</v>
      </c>
      <c r="C49" s="438">
        <v>931</v>
      </c>
      <c r="D49" s="445">
        <f t="shared" si="4"/>
        <v>0</v>
      </c>
      <c r="E49" s="446">
        <v>0</v>
      </c>
      <c r="F49" s="94"/>
      <c r="G49" s="94">
        <v>0</v>
      </c>
      <c r="H49" s="94"/>
      <c r="I49" s="388"/>
      <c r="J49" s="87"/>
    </row>
    <row r="50" spans="1:10" x14ac:dyDescent="0.2">
      <c r="A50" s="84">
        <f t="shared" si="5"/>
        <v>37</v>
      </c>
      <c r="C50" s="438">
        <v>935</v>
      </c>
      <c r="D50" s="445">
        <f t="shared" si="4"/>
        <v>718532</v>
      </c>
      <c r="E50" s="446">
        <v>718532</v>
      </c>
      <c r="F50" s="94"/>
      <c r="G50" s="94">
        <v>0</v>
      </c>
      <c r="H50" s="94"/>
      <c r="I50" s="388"/>
    </row>
    <row r="51" spans="1:10" x14ac:dyDescent="0.2">
      <c r="B51" s="95" t="s">
        <v>215</v>
      </c>
      <c r="C51" s="90"/>
      <c r="D51" s="90"/>
      <c r="E51" s="90"/>
      <c r="F51" s="90"/>
      <c r="G51" s="90"/>
      <c r="H51" s="90"/>
    </row>
    <row r="52" spans="1:10" x14ac:dyDescent="0.2">
      <c r="B52" s="95"/>
      <c r="C52" s="90" t="s">
        <v>216</v>
      </c>
      <c r="D52" s="90"/>
      <c r="E52" s="90"/>
      <c r="F52" s="90"/>
      <c r="G52" s="90"/>
      <c r="H52" s="90"/>
    </row>
    <row r="53" spans="1:10" x14ac:dyDescent="0.2">
      <c r="B53" s="95"/>
      <c r="C53" s="96" t="s">
        <v>217</v>
      </c>
      <c r="D53" s="90"/>
      <c r="E53" s="90"/>
      <c r="F53" s="90"/>
      <c r="G53" s="93"/>
      <c r="H53" s="93"/>
    </row>
    <row r="54" spans="1:10" x14ac:dyDescent="0.2">
      <c r="B54" s="95"/>
      <c r="C54" s="60" t="s">
        <v>218</v>
      </c>
      <c r="D54" s="51"/>
      <c r="E54" s="51"/>
      <c r="F54" s="90"/>
      <c r="G54" s="93"/>
      <c r="H54" s="93"/>
    </row>
    <row r="55" spans="1:10" x14ac:dyDescent="0.2">
      <c r="B55" s="95"/>
      <c r="C55" s="90"/>
      <c r="D55" s="90"/>
      <c r="E55" s="90"/>
      <c r="F55" s="90"/>
      <c r="G55" s="62" t="s">
        <v>32</v>
      </c>
      <c r="H55" s="62" t="s">
        <v>33</v>
      </c>
    </row>
    <row r="56" spans="1:10" x14ac:dyDescent="0.2">
      <c r="A56" s="84"/>
      <c r="B56" s="84" t="s">
        <v>118</v>
      </c>
      <c r="E56" s="90"/>
      <c r="F56" s="404" t="s">
        <v>219</v>
      </c>
      <c r="G56" s="446">
        <v>108677132.81</v>
      </c>
      <c r="H56" s="391" t="s">
        <v>220</v>
      </c>
    </row>
    <row r="57" spans="1:10" x14ac:dyDescent="0.2">
      <c r="A57" s="84"/>
      <c r="B57" s="84" t="s">
        <v>120</v>
      </c>
      <c r="C57" s="88"/>
      <c r="E57" s="90"/>
      <c r="F57" s="404" t="s">
        <v>221</v>
      </c>
      <c r="G57" s="401">
        <f>E61</f>
        <v>23529615.574556775</v>
      </c>
      <c r="H57" s="448" t="str">
        <f>"Note 2, "&amp;B61&amp;""</f>
        <v>Note 2, d</v>
      </c>
    </row>
    <row r="58" spans="1:10" x14ac:dyDescent="0.2">
      <c r="A58" s="84"/>
      <c r="B58" s="84" t="s">
        <v>123</v>
      </c>
      <c r="F58" s="425" t="s">
        <v>222</v>
      </c>
      <c r="G58" s="87">
        <f>G56-G57</f>
        <v>85147517.235443234</v>
      </c>
    </row>
    <row r="59" spans="1:10" x14ac:dyDescent="0.2">
      <c r="A59" s="84"/>
      <c r="C59" s="60" t="s">
        <v>223</v>
      </c>
      <c r="D59" s="51"/>
      <c r="E59" s="51"/>
      <c r="G59" s="87"/>
    </row>
    <row r="60" spans="1:10" x14ac:dyDescent="0.2">
      <c r="A60" s="84"/>
      <c r="D60" s="97" t="s">
        <v>224</v>
      </c>
      <c r="E60" s="85" t="s">
        <v>32</v>
      </c>
      <c r="F60" s="451" t="s">
        <v>33</v>
      </c>
      <c r="G60" s="87"/>
    </row>
    <row r="61" spans="1:10" x14ac:dyDescent="0.2">
      <c r="A61" s="84"/>
      <c r="B61" s="84" t="s">
        <v>125</v>
      </c>
      <c r="D61" s="63" t="s">
        <v>225</v>
      </c>
      <c r="E61" s="59">
        <v>23529615.574556775</v>
      </c>
      <c r="F61" s="391" t="s">
        <v>226</v>
      </c>
      <c r="G61" s="86"/>
      <c r="I61" s="90"/>
    </row>
    <row r="62" spans="1:10" x14ac:dyDescent="0.2">
      <c r="A62" s="84"/>
      <c r="B62" s="93" t="s">
        <v>129</v>
      </c>
      <c r="C62" s="90"/>
      <c r="D62" s="96" t="s">
        <v>227</v>
      </c>
      <c r="E62" s="59">
        <v>11215512.300168265</v>
      </c>
      <c r="F62" s="391" t="s">
        <v>226</v>
      </c>
      <c r="G62" s="86"/>
      <c r="I62" s="64"/>
    </row>
    <row r="63" spans="1:10" x14ac:dyDescent="0.2">
      <c r="A63" s="84"/>
      <c r="B63" s="93" t="s">
        <v>132</v>
      </c>
      <c r="C63" s="90"/>
      <c r="D63" s="96" t="s">
        <v>228</v>
      </c>
      <c r="E63" s="65">
        <v>37246762.125275001</v>
      </c>
      <c r="F63" s="391" t="s">
        <v>226</v>
      </c>
      <c r="G63" s="86"/>
      <c r="I63" s="86"/>
    </row>
    <row r="64" spans="1:10" x14ac:dyDescent="0.2">
      <c r="A64" s="84"/>
      <c r="B64" s="93" t="s">
        <v>134</v>
      </c>
      <c r="C64" s="90"/>
      <c r="D64" s="404" t="s">
        <v>158</v>
      </c>
      <c r="E64" s="87">
        <f>SUM(E61:E63)</f>
        <v>71991890.000000045</v>
      </c>
      <c r="F64" s="391" t="str">
        <f>"Sum of "&amp;B61&amp;" to "&amp;B63&amp;""</f>
        <v>Sum of d to f</v>
      </c>
      <c r="G64" s="86"/>
      <c r="I64" s="90"/>
    </row>
    <row r="65" spans="1:10" x14ac:dyDescent="0.2">
      <c r="F65" s="90"/>
      <c r="G65" s="90"/>
    </row>
    <row r="66" spans="1:10" x14ac:dyDescent="0.2">
      <c r="B66" s="452" t="s">
        <v>229</v>
      </c>
      <c r="C66" s="453"/>
      <c r="D66" s="453"/>
      <c r="E66" s="453"/>
      <c r="F66" s="399"/>
      <c r="G66" s="399"/>
    </row>
    <row r="67" spans="1:10" x14ac:dyDescent="0.2">
      <c r="B67" s="453"/>
      <c r="C67" s="453"/>
      <c r="D67" s="453"/>
      <c r="E67" s="451" t="s">
        <v>32</v>
      </c>
      <c r="F67" s="454" t="s">
        <v>230</v>
      </c>
      <c r="G67" s="399"/>
    </row>
    <row r="68" spans="1:10" ht="13.5" thickBot="1" x14ac:dyDescent="0.25">
      <c r="A68" s="84"/>
      <c r="B68" s="276" t="s">
        <v>118</v>
      </c>
      <c r="C68" s="453"/>
      <c r="D68" s="455" t="s">
        <v>231</v>
      </c>
      <c r="E68" s="456">
        <v>40055779</v>
      </c>
      <c r="F68" s="201" t="s">
        <v>232</v>
      </c>
      <c r="G68" s="399"/>
    </row>
    <row r="69" spans="1:10" ht="13.5" thickBot="1" x14ac:dyDescent="0.25">
      <c r="A69" s="84"/>
      <c r="B69" s="276" t="s">
        <v>120</v>
      </c>
      <c r="C69" s="453"/>
      <c r="D69" s="455" t="s">
        <v>233</v>
      </c>
      <c r="E69" s="457">
        <v>20888240</v>
      </c>
      <c r="F69" s="201" t="s">
        <v>220</v>
      </c>
      <c r="G69" s="399"/>
    </row>
    <row r="70" spans="1:10" x14ac:dyDescent="0.2">
      <c r="A70" s="84"/>
      <c r="B70" s="276" t="s">
        <v>123</v>
      </c>
      <c r="C70" s="453"/>
      <c r="D70" s="455" t="s">
        <v>234</v>
      </c>
      <c r="E70" s="458">
        <f>E69-E68</f>
        <v>-19167539</v>
      </c>
      <c r="F70" s="459" t="str">
        <f>""&amp;B69&amp;" - "&amp;B68&amp;""</f>
        <v>b - a</v>
      </c>
      <c r="G70" s="453"/>
    </row>
    <row r="71" spans="1:10" x14ac:dyDescent="0.2">
      <c r="A71" s="84"/>
      <c r="B71" s="92" t="s">
        <v>235</v>
      </c>
      <c r="D71" s="425"/>
      <c r="E71" s="460"/>
      <c r="F71" s="448"/>
    </row>
    <row r="72" spans="1:10" x14ac:dyDescent="0.2">
      <c r="A72" s="84"/>
      <c r="B72" s="92"/>
      <c r="C72" s="63" t="str">
        <f>"Amount in Line "&amp;A44&amp;", column 2 equals amount in Line "&amp;A13&amp;", column 1 because all Franchise Requirements Expenses are excluded"</f>
        <v>Amount in Line 31, column 2 equals amount in Line 8, column 1 because all Franchise Requirements Expenses are excluded</v>
      </c>
      <c r="D72" s="425"/>
      <c r="E72" s="460"/>
      <c r="F72" s="448"/>
    </row>
    <row r="73" spans="1:10" x14ac:dyDescent="0.2">
      <c r="A73" s="84"/>
      <c r="B73" s="92"/>
      <c r="C73" s="88" t="s">
        <v>236</v>
      </c>
      <c r="D73" s="425"/>
      <c r="E73" s="460"/>
      <c r="F73" s="448"/>
    </row>
    <row r="75" spans="1:10" x14ac:dyDescent="0.2">
      <c r="B75" s="92" t="s">
        <v>106</v>
      </c>
    </row>
    <row r="76" spans="1:10" x14ac:dyDescent="0.2">
      <c r="C76" s="96" t="str">
        <f>"1) Enter amounts of A&amp;G expenses from FERC Form 1 in Lines "&amp;A6&amp;" to "&amp;A19&amp;"."</f>
        <v>1) Enter amounts of A&amp;G expenses from FERC Form 1 in Lines 1 to 14.</v>
      </c>
      <c r="D76" s="90"/>
      <c r="E76" s="90"/>
      <c r="F76" s="90"/>
      <c r="G76" s="90"/>
      <c r="H76" s="90"/>
      <c r="I76" s="90"/>
      <c r="J76" s="90"/>
    </row>
    <row r="77" spans="1:10" x14ac:dyDescent="0.2">
      <c r="C77" s="96" t="s">
        <v>237</v>
      </c>
      <c r="D77" s="90"/>
      <c r="E77" s="90"/>
      <c r="F77" s="90"/>
      <c r="G77" s="90" t="str">
        <f>"Column 3, Line "&amp;A37&amp;""</f>
        <v>Column 3, Line 24</v>
      </c>
      <c r="H77" s="90"/>
      <c r="I77" s="90"/>
      <c r="J77" s="90"/>
    </row>
    <row r="78" spans="1:10" x14ac:dyDescent="0.2">
      <c r="C78" s="391" t="str">
        <f>"is calculated in Note 2.  The PBOPs exclusion in Column 4, Line "&amp;A43&amp;" is calculated in Note 3."</f>
        <v>is calculated in Note 2.  The PBOPs exclusion in Column 4, Line 30 is calculated in Note 3.</v>
      </c>
      <c r="D78" s="90"/>
      <c r="E78" s="90"/>
      <c r="F78" s="90"/>
      <c r="G78" s="96"/>
      <c r="H78" s="90"/>
      <c r="I78" s="90"/>
      <c r="J78" s="90"/>
    </row>
    <row r="79" spans="1:10" x14ac:dyDescent="0.2">
      <c r="C79" s="391" t="s">
        <v>238</v>
      </c>
      <c r="D79" s="90"/>
      <c r="E79" s="90"/>
      <c r="F79" s="90"/>
      <c r="G79" s="90"/>
      <c r="H79" s="90"/>
      <c r="I79" s="90"/>
      <c r="J79" s="90"/>
    </row>
    <row r="80" spans="1:10" x14ac:dyDescent="0.2">
      <c r="C80" s="391" t="s">
        <v>239</v>
      </c>
      <c r="D80" s="404"/>
      <c r="E80" s="449"/>
      <c r="F80" s="391"/>
      <c r="G80" s="90"/>
      <c r="H80" s="90"/>
      <c r="I80" s="90"/>
      <c r="J80" s="90"/>
    </row>
    <row r="81" spans="3:10" x14ac:dyDescent="0.2">
      <c r="C81" s="391" t="s">
        <v>240</v>
      </c>
      <c r="D81" s="404"/>
      <c r="E81" s="449"/>
      <c r="F81" s="391"/>
      <c r="G81" s="90"/>
      <c r="H81" s="90"/>
      <c r="I81" s="90"/>
      <c r="J81" s="90"/>
    </row>
    <row r="82" spans="3:10" x14ac:dyDescent="0.2">
      <c r="C82" s="391" t="s">
        <v>241</v>
      </c>
      <c r="D82" s="90"/>
      <c r="E82" s="90"/>
      <c r="F82" s="90"/>
      <c r="G82" s="90"/>
      <c r="H82" s="90"/>
      <c r="I82" s="90"/>
      <c r="J82" s="90"/>
    </row>
    <row r="83" spans="3:10" x14ac:dyDescent="0.2">
      <c r="C83" s="391" t="s">
        <v>242</v>
      </c>
      <c r="D83" s="90"/>
      <c r="E83" s="90"/>
      <c r="F83" s="90"/>
      <c r="G83" s="90"/>
      <c r="H83" s="90"/>
      <c r="I83" s="90"/>
      <c r="J83" s="90"/>
    </row>
    <row r="84" spans="3:10" x14ac:dyDescent="0.2">
      <c r="C84" s="391" t="s">
        <v>243</v>
      </c>
      <c r="D84" s="90"/>
      <c r="E84" s="90"/>
      <c r="F84" s="90"/>
      <c r="G84" s="90"/>
      <c r="H84" s="90"/>
      <c r="I84" s="90"/>
      <c r="J84" s="90"/>
    </row>
    <row r="85" spans="3:10" x14ac:dyDescent="0.2">
      <c r="C85" s="391" t="s">
        <v>244</v>
      </c>
      <c r="D85" s="90"/>
      <c r="E85" s="90"/>
      <c r="F85" s="90"/>
      <c r="G85" s="90"/>
      <c r="H85" s="90"/>
      <c r="I85" s="90"/>
      <c r="J85" s="90"/>
    </row>
    <row r="86" spans="3:10" x14ac:dyDescent="0.2">
      <c r="C86" s="391" t="s">
        <v>245</v>
      </c>
      <c r="D86" s="90"/>
      <c r="E86" s="90"/>
      <c r="F86" s="90"/>
      <c r="G86" s="90"/>
      <c r="H86" s="90"/>
      <c r="I86" s="90"/>
      <c r="J86" s="90"/>
    </row>
    <row r="87" spans="3:10" x14ac:dyDescent="0.2">
      <c r="C87" s="391" t="s">
        <v>246</v>
      </c>
      <c r="D87" s="96"/>
      <c r="E87" s="461"/>
      <c r="F87" s="461"/>
      <c r="G87" s="461"/>
      <c r="H87" s="90"/>
      <c r="I87" s="90"/>
      <c r="J87" s="90"/>
    </row>
    <row r="88" spans="3:10" x14ac:dyDescent="0.2">
      <c r="C88" s="462" t="s">
        <v>247</v>
      </c>
      <c r="D88" s="96"/>
      <c r="E88" s="461"/>
      <c r="F88" s="461"/>
      <c r="G88" s="461"/>
      <c r="H88" s="90"/>
      <c r="I88" s="90"/>
      <c r="J88" s="90"/>
    </row>
    <row r="89" spans="3:10" x14ac:dyDescent="0.2">
      <c r="C89" s="462" t="s">
        <v>248</v>
      </c>
      <c r="D89" s="96"/>
      <c r="E89" s="461"/>
      <c r="F89" s="461"/>
      <c r="G89" s="461"/>
      <c r="H89" s="90"/>
      <c r="I89" s="90"/>
      <c r="J89" s="90"/>
    </row>
    <row r="90" spans="3:10" x14ac:dyDescent="0.2">
      <c r="C90" s="462" t="s">
        <v>249</v>
      </c>
      <c r="D90" s="96"/>
      <c r="E90" s="461"/>
      <c r="F90" s="461"/>
      <c r="G90" s="461"/>
      <c r="H90" s="90"/>
      <c r="I90" s="90"/>
      <c r="J90" s="90"/>
    </row>
    <row r="91" spans="3:10" x14ac:dyDescent="0.2">
      <c r="C91" s="391" t="s">
        <v>250</v>
      </c>
      <c r="D91" s="96"/>
      <c r="E91" s="461"/>
      <c r="F91" s="461"/>
      <c r="G91" s="461"/>
      <c r="H91" s="90"/>
      <c r="I91" s="90"/>
      <c r="J91" s="90"/>
    </row>
    <row r="92" spans="3:10" x14ac:dyDescent="0.2">
      <c r="C92" s="462" t="s">
        <v>251</v>
      </c>
      <c r="D92" s="96"/>
      <c r="E92" s="461"/>
      <c r="F92" s="461"/>
      <c r="G92" s="461"/>
      <c r="H92" s="90"/>
      <c r="I92" s="90"/>
      <c r="J92" s="90"/>
    </row>
    <row r="93" spans="3:10" x14ac:dyDescent="0.2">
      <c r="C93" s="462" t="s">
        <v>252</v>
      </c>
      <c r="D93" s="96"/>
      <c r="E93" s="461"/>
      <c r="F93" s="461"/>
      <c r="G93" s="461"/>
      <c r="H93" s="90"/>
      <c r="I93" s="90"/>
      <c r="J93" s="90"/>
    </row>
    <row r="94" spans="3:10" x14ac:dyDescent="0.2">
      <c r="C94" s="462" t="s">
        <v>253</v>
      </c>
      <c r="D94" s="96"/>
      <c r="E94" s="461"/>
      <c r="F94" s="461"/>
      <c r="G94" s="461"/>
      <c r="H94" s="90"/>
      <c r="I94" s="90"/>
      <c r="J94" s="90"/>
    </row>
    <row r="95" spans="3:10" x14ac:dyDescent="0.2">
      <c r="C95" s="462" t="s">
        <v>254</v>
      </c>
      <c r="D95" s="96"/>
      <c r="E95" s="461"/>
      <c r="F95" s="461"/>
      <c r="G95" s="461"/>
      <c r="H95" s="90"/>
      <c r="I95" s="90"/>
      <c r="J95" s="90"/>
    </row>
    <row r="96" spans="3:10" x14ac:dyDescent="0.2">
      <c r="C96" s="391" t="s">
        <v>255</v>
      </c>
      <c r="D96" s="96"/>
      <c r="E96" s="461"/>
      <c r="F96" s="461"/>
      <c r="G96" s="461"/>
      <c r="H96" s="461"/>
      <c r="I96" s="90"/>
      <c r="J96" s="90"/>
    </row>
    <row r="97" spans="3:10" x14ac:dyDescent="0.2">
      <c r="C97" s="462" t="s">
        <v>256</v>
      </c>
      <c r="D97" s="96"/>
      <c r="E97" s="461"/>
      <c r="F97" s="461"/>
      <c r="G97" s="461"/>
      <c r="H97" s="90"/>
      <c r="I97" s="90"/>
      <c r="J97" s="90"/>
    </row>
    <row r="98" spans="3:10" x14ac:dyDescent="0.2">
      <c r="C98" s="66" t="s">
        <v>257</v>
      </c>
      <c r="D98" s="96"/>
      <c r="E98" s="461"/>
      <c r="F98" s="461"/>
      <c r="G98" s="461"/>
      <c r="H98" s="90"/>
      <c r="I98" s="90"/>
      <c r="J98" s="90"/>
    </row>
    <row r="99" spans="3:10" x14ac:dyDescent="0.2">
      <c r="C99" s="66" t="s">
        <v>258</v>
      </c>
      <c r="D99" s="96"/>
      <c r="E99" s="461"/>
      <c r="F99" s="461"/>
      <c r="G99" s="461"/>
      <c r="H99" s="90"/>
      <c r="I99" s="90"/>
      <c r="J99" s="90"/>
    </row>
    <row r="100" spans="3:10" x14ac:dyDescent="0.2">
      <c r="C100" s="66" t="s">
        <v>259</v>
      </c>
      <c r="D100" s="96"/>
      <c r="E100" s="461"/>
      <c r="F100" s="461"/>
      <c r="G100" s="461"/>
      <c r="H100" s="90"/>
      <c r="I100" s="90"/>
      <c r="J100" s="90"/>
    </row>
    <row r="101" spans="3:10" x14ac:dyDescent="0.2">
      <c r="C101" s="66" t="s">
        <v>258</v>
      </c>
      <c r="D101" s="96"/>
      <c r="E101" s="461"/>
      <c r="F101" s="461"/>
      <c r="G101" s="461"/>
      <c r="H101" s="90"/>
      <c r="I101" s="90"/>
      <c r="J101" s="90"/>
    </row>
    <row r="102" spans="3:10" x14ac:dyDescent="0.2">
      <c r="C102" s="66" t="s">
        <v>260</v>
      </c>
      <c r="D102" s="96"/>
      <c r="E102" s="461"/>
      <c r="F102" s="461"/>
      <c r="G102" s="461"/>
      <c r="H102" s="90"/>
      <c r="I102" s="90"/>
      <c r="J102" s="90"/>
    </row>
    <row r="103" spans="3:10" x14ac:dyDescent="0.2">
      <c r="C103" s="462" t="s">
        <v>261</v>
      </c>
      <c r="D103" s="96"/>
      <c r="E103" s="461"/>
      <c r="F103" s="461"/>
      <c r="G103" s="461"/>
      <c r="H103" s="90"/>
      <c r="I103" s="90"/>
      <c r="J103" s="90"/>
    </row>
    <row r="104" spans="3:10" x14ac:dyDescent="0.2">
      <c r="C104" s="462" t="s">
        <v>262</v>
      </c>
      <c r="D104" s="96"/>
      <c r="E104" s="461"/>
      <c r="F104" s="461"/>
      <c r="G104" s="461"/>
      <c r="H104" s="90"/>
      <c r="I104" s="90"/>
      <c r="J104" s="90"/>
    </row>
    <row r="105" spans="3:10" x14ac:dyDescent="0.2">
      <c r="C105" s="67" t="s">
        <v>263</v>
      </c>
      <c r="D105" s="51"/>
      <c r="E105" s="51"/>
      <c r="F105" s="51"/>
      <c r="G105" s="51"/>
      <c r="H105" s="51"/>
      <c r="I105" s="51"/>
      <c r="J105" s="51"/>
    </row>
    <row r="106" spans="3:10" x14ac:dyDescent="0.2">
      <c r="C106" s="96" t="s">
        <v>264</v>
      </c>
      <c r="D106" s="90"/>
      <c r="E106" s="90"/>
      <c r="F106" s="90"/>
      <c r="G106" s="90"/>
      <c r="H106" s="90"/>
      <c r="I106" s="90"/>
      <c r="J106" s="90"/>
    </row>
    <row r="107" spans="3:10" x14ac:dyDescent="0.2">
      <c r="C107" s="67" t="s">
        <v>265</v>
      </c>
      <c r="D107" s="60"/>
      <c r="E107" s="60"/>
      <c r="F107" s="60"/>
      <c r="G107" s="60"/>
      <c r="H107" s="60"/>
      <c r="I107" s="60"/>
      <c r="J107" s="90"/>
    </row>
    <row r="108" spans="3:10" x14ac:dyDescent="0.2">
      <c r="C108" s="96" t="str">
        <f>"4) Determine the PBOPs exclusion.  The authorized amount of PBOPs expense (line "&amp;B68&amp;") may only be revised"</f>
        <v>4) Determine the PBOPs exclusion.  The authorized amount of PBOPs expense (line a) may only be revised</v>
      </c>
      <c r="D108" s="90"/>
      <c r="E108" s="90"/>
      <c r="F108" s="90"/>
      <c r="G108" s="90"/>
      <c r="H108" s="90"/>
      <c r="I108" s="90"/>
      <c r="J108" s="90"/>
    </row>
    <row r="109" spans="3:10" x14ac:dyDescent="0.2">
      <c r="C109" s="96" t="s">
        <v>266</v>
      </c>
      <c r="D109" s="90"/>
      <c r="E109" s="90"/>
      <c r="F109" s="90"/>
      <c r="G109" s="90"/>
      <c r="H109" s="90"/>
      <c r="I109" s="90"/>
      <c r="J109" s="90"/>
    </row>
    <row r="110" spans="3:10" x14ac:dyDescent="0.2">
      <c r="C110" s="96" t="s">
        <v>267</v>
      </c>
      <c r="D110" s="90"/>
      <c r="E110" s="90"/>
      <c r="F110" s="90"/>
      <c r="G110" s="90"/>
      <c r="H110" s="90"/>
      <c r="I110" s="90"/>
      <c r="J110" s="90"/>
    </row>
    <row r="111" spans="3:10" x14ac:dyDescent="0.2">
      <c r="C111" s="96" t="s">
        <v>268</v>
      </c>
      <c r="D111" s="90"/>
      <c r="E111" s="90"/>
      <c r="F111" s="90"/>
      <c r="G111" s="90"/>
      <c r="H111" s="90"/>
      <c r="I111" s="463" t="s">
        <v>422</v>
      </c>
      <c r="J111" s="464"/>
    </row>
    <row r="112" spans="3:10" x14ac:dyDescent="0.2">
      <c r="C112" s="96" t="s">
        <v>269</v>
      </c>
      <c r="D112" s="90"/>
      <c r="E112" s="90"/>
      <c r="F112" s="90"/>
      <c r="G112" s="90"/>
      <c r="H112" s="90"/>
      <c r="I112" s="90"/>
    </row>
  </sheetData>
  <pageMargins left="0.75" right="0.75" top="1" bottom="1" header="0.5" footer="0.5"/>
  <pageSetup scale="75" orientation="landscape" cellComments="asDisplayed" r:id="rId1"/>
  <headerFooter alignWithMargins="0">
    <oddHeader>&amp;CSchedule 20
Administrative and General Expenses
(Revised 2016 True Up TRR)&amp;RExhibit SCE-29
TO2019A
WP-Schedule 3-One Time Adj Prior Period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One Time Adj Explanation</vt:lpstr>
      <vt:lpstr>WP-Total Adj with Int</vt:lpstr>
      <vt:lpstr>WP-2015 True Up TRR Adj</vt:lpstr>
      <vt:lpstr>WP-2015 Sch4-TUTRR</vt:lpstr>
      <vt:lpstr>WP-2015 Sch21-RevenueCredits</vt:lpstr>
      <vt:lpstr>WP-2015 Sch27-Allocators</vt:lpstr>
      <vt:lpstr>WP-2016 True Up TRR Adj</vt:lpstr>
      <vt:lpstr>WP-2016 Sch 4-TUTRR</vt:lpstr>
      <vt:lpstr>WP-2016 Sch20-AandG</vt:lpstr>
      <vt:lpstr>WP-2016 Sch21-RevenueCredits</vt:lpstr>
      <vt:lpstr>WP-2016 Sch27-Allocators</vt:lpstr>
      <vt:lpstr>'One Time Adj Explanation'!Print_Area</vt:lpstr>
      <vt:lpstr>'WP-2015 Sch21-RevenueCredits'!Print_Area</vt:lpstr>
      <vt:lpstr>'WP-2015 Sch27-Allocators'!Print_Area</vt:lpstr>
      <vt:lpstr>'WP-2015 Sch4-TUTRR'!Print_Area</vt:lpstr>
      <vt:lpstr>'WP-2015 True Up TRR Adj'!Print_Area</vt:lpstr>
      <vt:lpstr>'WP-2016 Sch 4-TUTRR'!Print_Area</vt:lpstr>
      <vt:lpstr>'WP-2016 Sch20-AandG'!Print_Area</vt:lpstr>
      <vt:lpstr>'WP-2016 Sch21-RevenueCredits'!Print_Area</vt:lpstr>
      <vt:lpstr>'WP-2016 Sch27-Allocators'!Print_Area</vt:lpstr>
      <vt:lpstr>'WP-2016 True Up TRR Adj'!Print_Area</vt:lpstr>
      <vt:lpstr>'WP-Total Adj with Int'!Print_Area</vt:lpstr>
      <vt:lpstr>'WP-2015 Sch21-RevenueCredits'!Print_Titles</vt:lpstr>
      <vt:lpstr>'WP-2016 Sch21-RevenueCredits'!Print_Titles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2019-04-05T21:23:54Z</cp:lastPrinted>
  <dcterms:created xsi:type="dcterms:W3CDTF">2009-02-27T16:01:11Z</dcterms:created>
  <dcterms:modified xsi:type="dcterms:W3CDTF">2019-04-05T21:26:28Z</dcterms:modified>
</cp:coreProperties>
</file>