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2017 ADIT NOL Filing\2 - Tariffs\Clean and Redline Tariffs\"/>
    </mc:Choice>
  </mc:AlternateContent>
  <bookViews>
    <workbookView xWindow="-120" yWindow="-48" windowWidth="13560" windowHeight="11916" activeTab="3"/>
  </bookViews>
  <sheets>
    <sheet name="Heading" sheetId="76" r:id="rId1"/>
    <sheet name="Contents" sheetId="68" r:id="rId2"/>
    <sheet name="Overview" sheetId="9" r:id="rId3"/>
    <sheet name="1-BaseTRR" sheetId="1" r:id="rId4"/>
    <sheet name="2-IFPTRR" sheetId="7" r:id="rId5"/>
    <sheet name="3-TrueUpAdjust" sheetId="65" r:id="rId6"/>
    <sheet name="4-TUTRR" sheetId="8" r:id="rId7"/>
    <sheet name="5-ROR-1" sheetId="28" r:id="rId8"/>
    <sheet name="5-ROR-2" sheetId="72" r:id="rId9"/>
    <sheet name="6-PlantInService" sheetId="4" r:id="rId10"/>
    <sheet name="7-PlantStudy" sheetId="56" r:id="rId11"/>
    <sheet name="8-AccDep" sheetId="21" r:id="rId12"/>
    <sheet name="9-ADIT" sheetId="15" r:id="rId13"/>
    <sheet name="10-CWIP" sheetId="49" r:id="rId14"/>
    <sheet name="11-PHFU" sheetId="54" r:id="rId15"/>
    <sheet name="12-AbandonedPlant" sheetId="45" r:id="rId16"/>
    <sheet name="13-WorkCap" sheetId="22" r:id="rId17"/>
    <sheet name="14-IncentivePlant" sheetId="11" r:id="rId18"/>
    <sheet name="15-IncentiveAdder" sheetId="12" r:id="rId19"/>
    <sheet name="16-PlantAdditions" sheetId="48" r:id="rId20"/>
    <sheet name="17-Depreciation" sheetId="64" r:id="rId21"/>
    <sheet name="18-DepRates" sheetId="63" r:id="rId22"/>
    <sheet name="19-OandM" sheetId="46" r:id="rId23"/>
    <sheet name="20-AandG" sheetId="26" r:id="rId24"/>
    <sheet name="21-RevenueCredits" sheetId="61" r:id="rId25"/>
    <sheet name="22-NUCs" sheetId="66" r:id="rId26"/>
    <sheet name="23-RegAssets" sheetId="55" r:id="rId27"/>
    <sheet name="24-CWIPTRR" sheetId="71" r:id="rId28"/>
    <sheet name="25-WholesaleDifference" sheetId="44" r:id="rId29"/>
    <sheet name="26-TaxRates" sheetId="17" r:id="rId30"/>
    <sheet name="27-Allocators" sheetId="2" r:id="rId31"/>
    <sheet name="28-FFU" sheetId="30" r:id="rId32"/>
    <sheet name="29-WholesaleTRRs" sheetId="31" r:id="rId33"/>
    <sheet name="30-WholesaleRates" sheetId="32" r:id="rId34"/>
    <sheet name="31-HVLV" sheetId="57" r:id="rId35"/>
    <sheet name="32-GrossLoad" sheetId="42" r:id="rId36"/>
    <sheet name="33-RetailRates" sheetId="53" r:id="rId37"/>
    <sheet name="34-UnfundedReserves" sheetId="79" r:id="rId38"/>
    <sheet name="35-PBOPs" sheetId="78" r:id="rId39"/>
  </sheets>
  <externalReferences>
    <externalReference r:id="rId40"/>
    <externalReference r:id="rId41"/>
  </externalReferences>
  <definedNames>
    <definedName name="_xlnm._FilterDatabase" localSheetId="24" hidden="1">'21-RevenueCredits'!$A$1:$O$237</definedName>
    <definedName name="_xlnm.Print_Area" localSheetId="13">'10-CWIP'!$A$1:$K$412</definedName>
    <definedName name="_xlnm.Print_Area" localSheetId="14">'11-PHFU'!$A$1:$F$61</definedName>
    <definedName name="_xlnm.Print_Area" localSheetId="15">'12-AbandonedPlant'!$A$1:$J$69</definedName>
    <definedName name="_xlnm.Print_Area" localSheetId="16">'13-WorkCap'!$A$1:$G$69</definedName>
    <definedName name="_xlnm.Print_Area" localSheetId="17">'14-IncentivePlant'!$A$1:$J$372</definedName>
    <definedName name="_xlnm.Print_Area" localSheetId="18">'15-IncentiveAdder'!$A$1:$J$112</definedName>
    <definedName name="_xlnm.Print_Area" localSheetId="19">'16-PlantAdditions'!$A$1:$P$137</definedName>
    <definedName name="_xlnm.Print_Area" localSheetId="20">'17-Depreciation'!$A$1:$M$107</definedName>
    <definedName name="_xlnm.Print_Area" localSheetId="21">'18-DepRates'!$A$1:$G$66</definedName>
    <definedName name="_xlnm.Print_Area" localSheetId="22">'19-OandM'!$A$1:$L$216</definedName>
    <definedName name="_xlnm.Print_Area" localSheetId="3">'1-BaseTRR'!$A$1:$K$167</definedName>
    <definedName name="_xlnm.Print_Area" localSheetId="23">'20-AandG'!$A$1:$J$112</definedName>
    <definedName name="_xlnm.Print_Area" localSheetId="24">'21-RevenueCredits'!$A$1:$O$241</definedName>
    <definedName name="_xlnm.Print_Area" localSheetId="25">'22-NUCs'!$A$1:$F$30</definedName>
    <definedName name="_xlnm.Print_Area" localSheetId="26">'23-RegAssets'!$A$1:$I$37</definedName>
    <definedName name="_xlnm.Print_Area" localSheetId="27">'24-CWIPTRR'!$A$1:$J$195</definedName>
    <definedName name="_xlnm.Print_Area" localSheetId="28">'25-WholesaleDifference'!$A$1:$J$101</definedName>
    <definedName name="_xlnm.Print_Area" localSheetId="29">'26-TaxRates'!$A$1:$F$79</definedName>
    <definedName name="_xlnm.Print_Area" localSheetId="30">'27-Allocators'!$A$1:$K$126</definedName>
    <definedName name="_xlnm.Print_Area" localSheetId="31">'28-FFU'!$A$1:$J$46</definedName>
    <definedName name="_xlnm.Print_Area" localSheetId="32">'29-WholesaleTRRs'!$A$1:$I$41</definedName>
    <definedName name="_xlnm.Print_Area" localSheetId="4">'2-IFPTRR'!$A$1:$G$91</definedName>
    <definedName name="_xlnm.Print_Area" localSheetId="33">'30-WholesaleRates'!$A$1:$J$47</definedName>
    <definedName name="_xlnm.Print_Area" localSheetId="34">'31-HVLV'!$A$1:$L$51</definedName>
    <definedName name="_xlnm.Print_Area" localSheetId="35">'32-GrossLoad'!$A$1:$I$19</definedName>
    <definedName name="_xlnm.Print_Area" localSheetId="36">'33-RetailRates'!$A$1:$P$128</definedName>
    <definedName name="_xlnm.Print_Area" localSheetId="37">'34-UnfundedReserves'!$A$1:$K$39</definedName>
    <definedName name="_xlnm.Print_Area" localSheetId="38">'35-PBOPs'!$A$1:$N$107</definedName>
    <definedName name="_xlnm.Print_Area" localSheetId="5">'3-TrueUpAdjust'!$A$1:$L$179</definedName>
    <definedName name="_xlnm.Print_Area" localSheetId="6">'4-TUTRR'!$A$1:$J$109</definedName>
    <definedName name="_xlnm.Print_Area" localSheetId="7">'5-ROR-1'!$A$1:$L$57</definedName>
    <definedName name="_xlnm.Print_Area" localSheetId="8">'5-ROR-2'!$A$1:$P$75</definedName>
    <definedName name="_xlnm.Print_Area" localSheetId="9">'6-PlantInService'!$A$1:$M$181</definedName>
    <definedName name="_xlnm.Print_Area" localSheetId="10">'7-PlantStudy'!$A$1:$G$54</definedName>
    <definedName name="_xlnm.Print_Area" localSheetId="11">'8-AccDep'!$A$1:$N$181</definedName>
    <definedName name="_xlnm.Print_Area" localSheetId="12">'9-ADIT'!$A$1:$J$314</definedName>
    <definedName name="_xlnm.Print_Area" localSheetId="1">Contents!$A$1:$D$39</definedName>
    <definedName name="_xlnm.Print_Area" localSheetId="2">Overview!$A$1:$I$24</definedName>
    <definedName name="_xlnm.Print_Titles" localSheetId="3">'1-BaseTRR'!$1:$6</definedName>
    <definedName name="_xlnm.Print_Titles" localSheetId="24">'21-RevenueCredits'!$1:$3</definedName>
  </definedNames>
  <calcPr calcId="152511"/>
</workbook>
</file>

<file path=xl/calcChain.xml><?xml version="1.0" encoding="utf-8"?>
<calcChain xmlns="http://schemas.openxmlformats.org/spreadsheetml/2006/main">
  <c r="B126" i="53" l="1"/>
  <c r="B125" i="53"/>
  <c r="B124" i="53"/>
  <c r="B123" i="53"/>
  <c r="B122" i="53"/>
  <c r="B121" i="53"/>
  <c r="B120" i="53"/>
  <c r="B119" i="53"/>
  <c r="B118" i="53"/>
  <c r="B117" i="53"/>
  <c r="B116" i="53"/>
  <c r="B115" i="53"/>
  <c r="B114" i="53"/>
  <c r="B113" i="53"/>
  <c r="B112" i="53"/>
  <c r="A108" i="53"/>
  <c r="A109" i="53" s="1"/>
  <c r="A110" i="53" s="1"/>
  <c r="A111" i="53" s="1"/>
  <c r="A112" i="53" s="1"/>
  <c r="A107" i="53"/>
  <c r="A106" i="53"/>
  <c r="B88" i="53"/>
  <c r="B59" i="53"/>
  <c r="B58" i="53"/>
  <c r="B57" i="53"/>
  <c r="B56" i="53"/>
  <c r="B55" i="53"/>
  <c r="B54" i="53"/>
  <c r="B53" i="53"/>
  <c r="B52" i="53"/>
  <c r="B51" i="53"/>
  <c r="B50" i="53"/>
  <c r="B49" i="53"/>
  <c r="B48" i="53"/>
  <c r="B47" i="53"/>
  <c r="B46" i="53"/>
  <c r="B45" i="53"/>
  <c r="A30" i="53"/>
  <c r="A31" i="53" s="1"/>
  <c r="A32" i="53" s="1"/>
  <c r="A33" i="53" s="1"/>
  <c r="A34" i="53" s="1"/>
  <c r="A29" i="53"/>
  <c r="A47" i="63" l="1"/>
  <c r="A48" i="63" s="1"/>
  <c r="A49" i="63" s="1"/>
  <c r="A50" i="63" s="1"/>
  <c r="A51" i="63" s="1"/>
  <c r="A52" i="63" s="1"/>
  <c r="A53" i="63" s="1"/>
  <c r="A43" i="63"/>
  <c r="A44" i="63" s="1"/>
  <c r="A45" i="63" s="1"/>
  <c r="A46" i="63" s="1"/>
  <c r="B2" i="72" l="1"/>
  <c r="I38" i="78" l="1"/>
  <c r="I37" i="78"/>
  <c r="I36" i="78"/>
  <c r="K108" i="1" l="1"/>
  <c r="C34" i="48" l="1"/>
  <c r="C35" i="48"/>
  <c r="C36" i="48"/>
  <c r="C97" i="48"/>
  <c r="C98" i="48"/>
  <c r="C99" i="48"/>
  <c r="L14" i="53" l="1"/>
  <c r="F212" i="61"/>
  <c r="K57" i="53" l="1"/>
  <c r="B98" i="64"/>
  <c r="H68" i="64"/>
  <c r="H67" i="64"/>
  <c r="A44" i="64"/>
  <c r="A45" i="64" s="1"/>
  <c r="A46" i="64" s="1"/>
  <c r="A47" i="64" s="1"/>
  <c r="A48" i="64" s="1"/>
  <c r="A49" i="64" s="1"/>
  <c r="A13" i="64"/>
  <c r="A14" i="64" s="1"/>
  <c r="A15" i="64" s="1"/>
  <c r="A16" i="64" s="1"/>
  <c r="A17" i="64" s="1"/>
  <c r="A18" i="64" s="1"/>
  <c r="A19" i="64" s="1"/>
  <c r="A20" i="64" s="1"/>
  <c r="A21" i="64" s="1"/>
  <c r="A22" i="64" s="1"/>
  <c r="A23" i="64" s="1"/>
  <c r="A24" i="64" s="1"/>
  <c r="A25" i="64" s="1"/>
  <c r="A26" i="64" s="1"/>
  <c r="A29" i="64" s="1"/>
  <c r="A50" i="64" l="1"/>
  <c r="A51" i="64" s="1"/>
  <c r="A52" i="64" s="1"/>
  <c r="A53" i="64" s="1"/>
  <c r="A54" i="64" s="1"/>
  <c r="A55" i="64" s="1"/>
  <c r="A56" i="64" s="1"/>
  <c r="A57" i="64" s="1"/>
  <c r="A58" i="64" s="1"/>
  <c r="A59" i="64" s="1"/>
  <c r="A60" i="64" s="1"/>
  <c r="A61" i="64" s="1"/>
  <c r="A62" i="64" s="1"/>
  <c r="A63" i="64" s="1"/>
  <c r="A64" i="64" s="1"/>
  <c r="A65" i="64" s="1"/>
  <c r="A66" i="64" s="1"/>
  <c r="A67" i="64" s="1"/>
  <c r="A68" i="64" s="1"/>
  <c r="A69" i="64" s="1"/>
  <c r="B174" i="21"/>
  <c r="G92" i="64" l="1"/>
  <c r="B99" i="64"/>
  <c r="A70" i="64"/>
  <c r="A71" i="64" s="1"/>
  <c r="A72" i="64" s="1"/>
  <c r="A73" i="64" s="1"/>
  <c r="B100" i="64" l="1"/>
  <c r="A74" i="64"/>
  <c r="A75" i="64" s="1"/>
  <c r="A76" i="64" s="1"/>
  <c r="A77" i="64" s="1"/>
  <c r="A78" i="64" s="1"/>
  <c r="B107" i="64" l="1"/>
  <c r="G93" i="64"/>
  <c r="A79" i="64"/>
  <c r="A80" i="64" s="1"/>
  <c r="A81" i="64" s="1"/>
  <c r="A82" i="64" s="1"/>
  <c r="A83" i="64" s="1"/>
  <c r="A84" i="64" l="1"/>
  <c r="A85" i="64" s="1"/>
  <c r="A86" i="64" l="1"/>
  <c r="A87" i="64" s="1"/>
  <c r="I85" i="64"/>
  <c r="I87" i="64" l="1"/>
  <c r="G94" i="64"/>
  <c r="A88" i="64"/>
  <c r="A89" i="64" s="1"/>
  <c r="A90" i="64" s="1"/>
  <c r="A91" i="64" s="1"/>
  <c r="A92" i="64" s="1"/>
  <c r="A93" i="64" l="1"/>
  <c r="A94" i="64" s="1"/>
  <c r="A95" i="64" s="1"/>
  <c r="I127" i="1" s="1"/>
  <c r="G95" i="64" l="1"/>
  <c r="C117" i="48" l="1"/>
  <c r="H26" i="8" l="1"/>
  <c r="I31" i="1"/>
  <c r="C131" i="48" l="1"/>
  <c r="C96" i="48"/>
  <c r="C95" i="48"/>
  <c r="C94" i="48"/>
  <c r="C93" i="48"/>
  <c r="C92" i="48"/>
  <c r="C91" i="48"/>
  <c r="C90" i="48"/>
  <c r="C89" i="48"/>
  <c r="C88" i="48"/>
  <c r="C87" i="48"/>
  <c r="C86" i="48"/>
  <c r="C85" i="48"/>
  <c r="C84" i="48"/>
  <c r="C83" i="48"/>
  <c r="C82" i="48"/>
  <c r="C81" i="48"/>
  <c r="C80" i="48"/>
  <c r="C79" i="48"/>
  <c r="C78" i="48"/>
  <c r="C77" i="48"/>
  <c r="C76" i="48"/>
  <c r="P75" i="48"/>
  <c r="O75" i="48"/>
  <c r="N75" i="48"/>
  <c r="M75" i="48"/>
  <c r="L75" i="48"/>
  <c r="K75" i="48"/>
  <c r="J75" i="48"/>
  <c r="I75" i="48"/>
  <c r="H75" i="48"/>
  <c r="D75" i="48"/>
  <c r="C75" i="48"/>
  <c r="P74" i="48"/>
  <c r="O74" i="48"/>
  <c r="M74" i="48"/>
  <c r="L74" i="48"/>
  <c r="K74" i="48"/>
  <c r="I74" i="48"/>
  <c r="H74" i="48"/>
  <c r="C74" i="48"/>
  <c r="P73" i="48"/>
  <c r="O73" i="48"/>
  <c r="I73" i="48"/>
  <c r="C73" i="48"/>
  <c r="N72" i="48"/>
  <c r="I72" i="48"/>
  <c r="P44" i="48"/>
  <c r="O44" i="48"/>
  <c r="N44" i="48"/>
  <c r="M44" i="48"/>
  <c r="L44" i="48"/>
  <c r="K44" i="48"/>
  <c r="J44" i="48"/>
  <c r="I44" i="48"/>
  <c r="H44" i="48"/>
  <c r="D44" i="48"/>
  <c r="C44" i="48"/>
  <c r="P43" i="48"/>
  <c r="O43" i="48"/>
  <c r="L43" i="48"/>
  <c r="K43" i="48"/>
  <c r="I43" i="48"/>
  <c r="H43" i="48"/>
  <c r="C43" i="48"/>
  <c r="P42" i="48"/>
  <c r="O42" i="48"/>
  <c r="I42" i="48"/>
  <c r="C42" i="48"/>
  <c r="C33" i="48"/>
  <c r="C32" i="48"/>
  <c r="C31" i="48"/>
  <c r="C30" i="48"/>
  <c r="C29" i="48"/>
  <c r="C28" i="48"/>
  <c r="C27" i="48"/>
  <c r="C26" i="48"/>
  <c r="C25" i="48"/>
  <c r="C24" i="48"/>
  <c r="C23" i="48"/>
  <c r="C22" i="48"/>
  <c r="C21" i="48"/>
  <c r="C20" i="48"/>
  <c r="C19" i="48"/>
  <c r="C18" i="48"/>
  <c r="C17" i="48"/>
  <c r="C16" i="48"/>
  <c r="C15" i="48"/>
  <c r="C14" i="48"/>
  <c r="A14" i="48"/>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35" i="48" s="1"/>
  <c r="A36" i="48" s="1"/>
  <c r="A37" i="48" s="1"/>
  <c r="C13" i="48"/>
  <c r="G75" i="48"/>
  <c r="E75" i="48"/>
  <c r="G74" i="48"/>
  <c r="F43" i="48"/>
  <c r="E73" i="48"/>
  <c r="K376" i="49"/>
  <c r="J376" i="49"/>
  <c r="I376" i="49"/>
  <c r="H376" i="49"/>
  <c r="G376" i="49"/>
  <c r="F376" i="49"/>
  <c r="E376" i="49"/>
  <c r="D376" i="49"/>
  <c r="K375" i="49"/>
  <c r="J375" i="49"/>
  <c r="I375" i="49"/>
  <c r="H375" i="49"/>
  <c r="G375" i="49"/>
  <c r="F375" i="49"/>
  <c r="E375" i="49"/>
  <c r="D375" i="49"/>
  <c r="G374" i="49"/>
  <c r="J344" i="49"/>
  <c r="K343" i="49"/>
  <c r="J343" i="49"/>
  <c r="I343" i="49"/>
  <c r="H343" i="49"/>
  <c r="G343" i="49"/>
  <c r="F343" i="49"/>
  <c r="E343" i="49"/>
  <c r="D343" i="49"/>
  <c r="K342" i="49"/>
  <c r="J342" i="49"/>
  <c r="I342" i="49"/>
  <c r="H342" i="49"/>
  <c r="G342" i="49"/>
  <c r="F342" i="49"/>
  <c r="E342" i="49"/>
  <c r="D342" i="49"/>
  <c r="G341" i="49"/>
  <c r="J313" i="49"/>
  <c r="K312" i="49"/>
  <c r="J312" i="49"/>
  <c r="I312" i="49"/>
  <c r="H312" i="49"/>
  <c r="G312" i="49"/>
  <c r="F312" i="49"/>
  <c r="E312" i="49"/>
  <c r="D312" i="49"/>
  <c r="K311" i="49"/>
  <c r="J311" i="49"/>
  <c r="I311" i="49"/>
  <c r="H311" i="49"/>
  <c r="G311" i="49"/>
  <c r="F311" i="49"/>
  <c r="E311" i="49"/>
  <c r="D311" i="49"/>
  <c r="G310" i="49"/>
  <c r="J280" i="49"/>
  <c r="K279" i="49"/>
  <c r="J279" i="49"/>
  <c r="I279" i="49"/>
  <c r="H279" i="49"/>
  <c r="G279" i="49"/>
  <c r="F279" i="49"/>
  <c r="E279" i="49"/>
  <c r="D279" i="49"/>
  <c r="K278" i="49"/>
  <c r="J278" i="49"/>
  <c r="I278" i="49"/>
  <c r="H278" i="49"/>
  <c r="G278" i="49"/>
  <c r="F278" i="49"/>
  <c r="E278" i="49"/>
  <c r="D278" i="49"/>
  <c r="G277" i="49"/>
  <c r="J249" i="49"/>
  <c r="K248" i="49"/>
  <c r="J248" i="49"/>
  <c r="I248" i="49"/>
  <c r="H248" i="49"/>
  <c r="F248" i="49"/>
  <c r="E248" i="49"/>
  <c r="D248" i="49"/>
  <c r="K247" i="49"/>
  <c r="J247" i="49"/>
  <c r="I247" i="49"/>
  <c r="H247" i="49"/>
  <c r="F247" i="49"/>
  <c r="E247" i="49"/>
  <c r="D247" i="49"/>
  <c r="J216" i="49"/>
  <c r="K215" i="49"/>
  <c r="J215" i="49"/>
  <c r="I215" i="49"/>
  <c r="H215" i="49"/>
  <c r="G215" i="49"/>
  <c r="F215" i="49"/>
  <c r="E215" i="49"/>
  <c r="D215" i="49"/>
  <c r="K214" i="49"/>
  <c r="J214" i="49"/>
  <c r="I214" i="49"/>
  <c r="H214" i="49"/>
  <c r="G214" i="49"/>
  <c r="F214" i="49"/>
  <c r="E214" i="49"/>
  <c r="D214" i="49"/>
  <c r="G213" i="49"/>
  <c r="J185" i="49"/>
  <c r="K184" i="49"/>
  <c r="J184" i="49"/>
  <c r="I184" i="49"/>
  <c r="H184" i="49"/>
  <c r="G184" i="49"/>
  <c r="F184" i="49"/>
  <c r="E184" i="49"/>
  <c r="D184" i="49"/>
  <c r="K183" i="49"/>
  <c r="J183" i="49"/>
  <c r="I183" i="49"/>
  <c r="H183" i="49"/>
  <c r="G183" i="49"/>
  <c r="F183" i="49"/>
  <c r="E183" i="49"/>
  <c r="D183" i="49"/>
  <c r="G182" i="49"/>
  <c r="J152" i="49"/>
  <c r="K151" i="49"/>
  <c r="J151" i="49"/>
  <c r="I151" i="49"/>
  <c r="H151" i="49"/>
  <c r="G151" i="49"/>
  <c r="F151" i="49"/>
  <c r="E151" i="49"/>
  <c r="D151" i="49"/>
  <c r="K150" i="49"/>
  <c r="J150" i="49"/>
  <c r="I150" i="49"/>
  <c r="H150" i="49"/>
  <c r="G150" i="49"/>
  <c r="F150" i="49"/>
  <c r="E150" i="49"/>
  <c r="D150" i="49"/>
  <c r="G149" i="49"/>
  <c r="J121" i="49"/>
  <c r="K120" i="49"/>
  <c r="J120" i="49"/>
  <c r="I120" i="49"/>
  <c r="H120" i="49"/>
  <c r="G120" i="49"/>
  <c r="F120" i="49"/>
  <c r="E120" i="49"/>
  <c r="D120" i="49"/>
  <c r="K119" i="49"/>
  <c r="J119" i="49"/>
  <c r="I119" i="49"/>
  <c r="H119" i="49"/>
  <c r="G119" i="49"/>
  <c r="F119" i="49"/>
  <c r="E119" i="49"/>
  <c r="D119" i="49"/>
  <c r="G118" i="49"/>
  <c r="K87" i="49"/>
  <c r="J87" i="49"/>
  <c r="I87" i="49"/>
  <c r="H87" i="49"/>
  <c r="G87" i="49"/>
  <c r="F87" i="49"/>
  <c r="E87" i="49"/>
  <c r="D87" i="49"/>
  <c r="K86" i="49"/>
  <c r="J86" i="49"/>
  <c r="I86" i="49"/>
  <c r="H86" i="49"/>
  <c r="G86" i="49"/>
  <c r="F86" i="49"/>
  <c r="E86" i="49"/>
  <c r="D86" i="49"/>
  <c r="G85" i="49"/>
  <c r="A14" i="49"/>
  <c r="A15" i="49" s="1"/>
  <c r="A16" i="49" s="1"/>
  <c r="A17" i="49" s="1"/>
  <c r="A18" i="49" s="1"/>
  <c r="A19" i="49" s="1"/>
  <c r="A20" i="49" s="1"/>
  <c r="A21" i="49" s="1"/>
  <c r="A22" i="49" s="1"/>
  <c r="A23" i="49" s="1"/>
  <c r="A24" i="49" s="1"/>
  <c r="A25" i="49" s="1"/>
  <c r="A45" i="48" l="1"/>
  <c r="A46" i="48" s="1"/>
  <c r="A47" i="48" s="1"/>
  <c r="A48" i="48" s="1"/>
  <c r="A49" i="48" s="1"/>
  <c r="A50" i="48" s="1"/>
  <c r="A51" i="48" s="1"/>
  <c r="A52" i="48" s="1"/>
  <c r="A53" i="48" s="1"/>
  <c r="A54" i="48" s="1"/>
  <c r="A55" i="48" s="1"/>
  <c r="A56" i="48" s="1"/>
  <c r="A57" i="48" s="1"/>
  <c r="A58" i="48" s="1"/>
  <c r="A59" i="48" s="1"/>
  <c r="A60" i="48" s="1"/>
  <c r="A61" i="48" s="1"/>
  <c r="A62" i="48" s="1"/>
  <c r="A63" i="48" s="1"/>
  <c r="A64" i="48" s="1"/>
  <c r="A65" i="48" s="1"/>
  <c r="G41" i="57"/>
  <c r="E78" i="7"/>
  <c r="A26" i="49"/>
  <c r="A33" i="49" s="1"/>
  <c r="A34" i="49" s="1"/>
  <c r="A35" i="49" s="1"/>
  <c r="A36" i="49" s="1"/>
  <c r="A37" i="49" s="1"/>
  <c r="A38" i="49" s="1"/>
  <c r="A39" i="49" s="1"/>
  <c r="A40" i="49" s="1"/>
  <c r="A41" i="49" s="1"/>
  <c r="A42" i="49" s="1"/>
  <c r="A43" i="49" s="1"/>
  <c r="A44" i="49" s="1"/>
  <c r="A45" i="49" s="1"/>
  <c r="E57" i="7"/>
  <c r="E46" i="7"/>
  <c r="E53" i="7"/>
  <c r="F74" i="48"/>
  <c r="E44" i="48"/>
  <c r="G44" i="48"/>
  <c r="F75" i="48"/>
  <c r="F44" i="48"/>
  <c r="E42" i="48"/>
  <c r="E74" i="48"/>
  <c r="E43" i="48"/>
  <c r="G43" i="48"/>
  <c r="A66" i="48" l="1"/>
  <c r="A67" i="48" s="1"/>
  <c r="A68" i="48" s="1"/>
  <c r="A76" i="48" s="1"/>
  <c r="A77" i="48" s="1"/>
  <c r="A78" i="48" s="1"/>
  <c r="A79" i="48" s="1"/>
  <c r="A80" i="48" s="1"/>
  <c r="A81" i="48" s="1"/>
  <c r="A82" i="48" s="1"/>
  <c r="A83" i="48" s="1"/>
  <c r="A84" i="48" s="1"/>
  <c r="A85" i="48" s="1"/>
  <c r="A86" i="48" s="1"/>
  <c r="A87" i="48" s="1"/>
  <c r="A88" i="48" s="1"/>
  <c r="A89" i="48" s="1"/>
  <c r="A90" i="48" s="1"/>
  <c r="A91" i="48" s="1"/>
  <c r="A92" i="48" s="1"/>
  <c r="A93" i="48" s="1"/>
  <c r="A94" i="48" s="1"/>
  <c r="A95" i="48" s="1"/>
  <c r="A96" i="48" s="1"/>
  <c r="A97" i="48" s="1"/>
  <c r="A98" i="48" s="1"/>
  <c r="A99" i="48" s="1"/>
  <c r="A103" i="48" s="1"/>
  <c r="A46" i="49"/>
  <c r="A54" i="49" s="1"/>
  <c r="A55" i="49" s="1"/>
  <c r="A56" i="49" s="1"/>
  <c r="A57" i="49" s="1"/>
  <c r="A58" i="49" s="1"/>
  <c r="A59" i="49" s="1"/>
  <c r="A60" i="49" s="1"/>
  <c r="A61" i="49" s="1"/>
  <c r="A62" i="49" s="1"/>
  <c r="A63" i="49" s="1"/>
  <c r="A64" i="49" s="1"/>
  <c r="A65" i="49" s="1"/>
  <c r="A66" i="49" s="1"/>
  <c r="A67" i="49" s="1"/>
  <c r="A68" i="49" s="1"/>
  <c r="A69" i="49" s="1"/>
  <c r="A70" i="49" s="1"/>
  <c r="A71" i="49" s="1"/>
  <c r="A72" i="49" s="1"/>
  <c r="A73" i="49" s="1"/>
  <c r="A74" i="49" s="1"/>
  <c r="A75" i="49" s="1"/>
  <c r="A76" i="49" s="1"/>
  <c r="A77" i="49" s="1"/>
  <c r="A78" i="49" s="1"/>
  <c r="A79" i="49" s="1"/>
  <c r="A107" i="48" l="1"/>
  <c r="A111" i="48" s="1"/>
  <c r="G72" i="48"/>
  <c r="G19" i="71"/>
  <c r="A88" i="49"/>
  <c r="A89" i="49" s="1"/>
  <c r="A90" i="49" s="1"/>
  <c r="A91" i="49" s="1"/>
  <c r="A92" i="49" s="1"/>
  <c r="A93" i="49" s="1"/>
  <c r="A94" i="49" s="1"/>
  <c r="A95" i="49" s="1"/>
  <c r="A96" i="49" s="1"/>
  <c r="A97" i="49" s="1"/>
  <c r="A98" i="49" s="1"/>
  <c r="A99" i="49" s="1"/>
  <c r="A100" i="49" s="1"/>
  <c r="A101" i="49" s="1"/>
  <c r="A102" i="49" s="1"/>
  <c r="A103" i="49" s="1"/>
  <c r="A104" i="49" s="1"/>
  <c r="A105" i="49" s="1"/>
  <c r="A106" i="49" s="1"/>
  <c r="A107" i="49" s="1"/>
  <c r="A108" i="49" s="1"/>
  <c r="A109" i="49" s="1"/>
  <c r="A110" i="49" s="1"/>
  <c r="A111" i="49" s="1"/>
  <c r="A112" i="49" s="1"/>
  <c r="A113" i="49" s="1"/>
  <c r="G42" i="57"/>
  <c r="E82" i="7"/>
  <c r="A121" i="49" l="1"/>
  <c r="A122" i="49" s="1"/>
  <c r="A123" i="49" s="1"/>
  <c r="A124" i="49" s="1"/>
  <c r="A125" i="49" s="1"/>
  <c r="A126" i="49" s="1"/>
  <c r="A127" i="49" s="1"/>
  <c r="A128" i="49" s="1"/>
  <c r="A129" i="49" s="1"/>
  <c r="A130" i="49" s="1"/>
  <c r="A131" i="49" s="1"/>
  <c r="A132" i="49" s="1"/>
  <c r="A133" i="49" s="1"/>
  <c r="A134" i="49" s="1"/>
  <c r="A135" i="49" s="1"/>
  <c r="A136" i="49" s="1"/>
  <c r="A137" i="49" s="1"/>
  <c r="A138" i="49" s="1"/>
  <c r="A139" i="49" s="1"/>
  <c r="A140" i="49" s="1"/>
  <c r="A141" i="49" s="1"/>
  <c r="A142" i="49" s="1"/>
  <c r="A143" i="49" s="1"/>
  <c r="A144" i="49" s="1"/>
  <c r="A145" i="49" s="1"/>
  <c r="A146" i="49" s="1"/>
  <c r="G9" i="71"/>
  <c r="H26" i="11"/>
  <c r="H72" i="48"/>
  <c r="A152" i="49" l="1"/>
  <c r="A153" i="49" s="1"/>
  <c r="A154" i="49" s="1"/>
  <c r="A155" i="49" s="1"/>
  <c r="A156" i="49" s="1"/>
  <c r="A157" i="49" s="1"/>
  <c r="A158" i="49" s="1"/>
  <c r="A159" i="49" s="1"/>
  <c r="A160" i="49" s="1"/>
  <c r="A161" i="49" s="1"/>
  <c r="A162" i="49" s="1"/>
  <c r="A163" i="49" s="1"/>
  <c r="A164" i="49" s="1"/>
  <c r="A165" i="49" s="1"/>
  <c r="A166" i="49" s="1"/>
  <c r="A167" i="49" s="1"/>
  <c r="A168" i="49" s="1"/>
  <c r="A169" i="49" s="1"/>
  <c r="A170" i="49" s="1"/>
  <c r="A171" i="49" s="1"/>
  <c r="A172" i="49" s="1"/>
  <c r="A173" i="49" s="1"/>
  <c r="A174" i="49" s="1"/>
  <c r="A175" i="49" s="1"/>
  <c r="A176" i="49" s="1"/>
  <c r="A177" i="49" s="1"/>
  <c r="H27" i="11"/>
  <c r="G10" i="71"/>
  <c r="A185" i="49" l="1"/>
  <c r="A186" i="49" s="1"/>
  <c r="A187" i="49" s="1"/>
  <c r="A188" i="49" s="1"/>
  <c r="A189" i="49" s="1"/>
  <c r="A190" i="49" s="1"/>
  <c r="A191" i="49" s="1"/>
  <c r="A192" i="49" s="1"/>
  <c r="A193" i="49" s="1"/>
  <c r="A194" i="49" s="1"/>
  <c r="A195" i="49" s="1"/>
  <c r="A196" i="49" s="1"/>
  <c r="A197" i="49" s="1"/>
  <c r="A198" i="49" s="1"/>
  <c r="A199" i="49" s="1"/>
  <c r="A200" i="49" s="1"/>
  <c r="A201" i="49" s="1"/>
  <c r="A202" i="49" s="1"/>
  <c r="A203" i="49" s="1"/>
  <c r="A204" i="49" s="1"/>
  <c r="A205" i="49" s="1"/>
  <c r="A206" i="49" s="1"/>
  <c r="A207" i="49" s="1"/>
  <c r="A208" i="49" s="1"/>
  <c r="A209" i="49" s="1"/>
  <c r="A210" i="49" s="1"/>
  <c r="G11" i="71"/>
  <c r="H28" i="11"/>
  <c r="A119" i="48"/>
  <c r="J72" i="48"/>
  <c r="A216" i="49" l="1"/>
  <c r="A217" i="49" s="1"/>
  <c r="A218" i="49" s="1"/>
  <c r="A219" i="49" s="1"/>
  <c r="A220" i="49" s="1"/>
  <c r="A221" i="49" s="1"/>
  <c r="A222" i="49" s="1"/>
  <c r="A223" i="49" s="1"/>
  <c r="A224" i="49" s="1"/>
  <c r="A225" i="49" s="1"/>
  <c r="A226" i="49" s="1"/>
  <c r="A227" i="49" s="1"/>
  <c r="A228" i="49" s="1"/>
  <c r="A229" i="49" s="1"/>
  <c r="A230" i="49" s="1"/>
  <c r="A231" i="49" s="1"/>
  <c r="A232" i="49" s="1"/>
  <c r="A233" i="49" s="1"/>
  <c r="A234" i="49" s="1"/>
  <c r="A235" i="49" s="1"/>
  <c r="A236" i="49" s="1"/>
  <c r="A237" i="49" s="1"/>
  <c r="G12" i="71"/>
  <c r="H29" i="11"/>
  <c r="A120" i="48"/>
  <c r="A121" i="48" s="1"/>
  <c r="A122" i="48" s="1"/>
  <c r="A123" i="48" s="1"/>
  <c r="A124" i="48" s="1"/>
  <c r="A125" i="48" s="1"/>
  <c r="A126" i="48" s="1"/>
  <c r="A127" i="48" s="1"/>
  <c r="A128" i="48" s="1"/>
  <c r="A129" i="48" s="1"/>
  <c r="A130" i="48" s="1"/>
  <c r="A238" i="49" l="1"/>
  <c r="A239" i="49" s="1"/>
  <c r="A240" i="49" s="1"/>
  <c r="A241" i="49" s="1"/>
  <c r="A249" i="49" s="1"/>
  <c r="A250" i="49" s="1"/>
  <c r="A251" i="49" s="1"/>
  <c r="A252" i="49" s="1"/>
  <c r="A253" i="49" s="1"/>
  <c r="A254" i="49" s="1"/>
  <c r="A255" i="49" s="1"/>
  <c r="A256" i="49" s="1"/>
  <c r="A257" i="49" s="1"/>
  <c r="A258" i="49" s="1"/>
  <c r="A259" i="49" s="1"/>
  <c r="A260" i="49" s="1"/>
  <c r="A261" i="49" s="1"/>
  <c r="A262" i="49" s="1"/>
  <c r="A263" i="49" s="1"/>
  <c r="A264" i="49" s="1"/>
  <c r="A265" i="49" s="1"/>
  <c r="A266" i="49" s="1"/>
  <c r="A267" i="49" s="1"/>
  <c r="A268" i="49" s="1"/>
  <c r="A269" i="49" s="1"/>
  <c r="A270" i="49" s="1"/>
  <c r="A271" i="49" s="1"/>
  <c r="F130" i="48"/>
  <c r="A131" i="48"/>
  <c r="A132" i="48" s="1"/>
  <c r="A133" i="48" s="1"/>
  <c r="F131" i="48"/>
  <c r="F133" i="48" l="1"/>
  <c r="H30" i="11"/>
  <c r="A272" i="49"/>
  <c r="A273" i="49" s="1"/>
  <c r="A274" i="49" s="1"/>
  <c r="A280" i="49" s="1"/>
  <c r="A281" i="49" s="1"/>
  <c r="A282" i="49" s="1"/>
  <c r="A283" i="49" s="1"/>
  <c r="A284" i="49" s="1"/>
  <c r="A285" i="49" s="1"/>
  <c r="A286" i="49" s="1"/>
  <c r="A287" i="49" s="1"/>
  <c r="A288" i="49" s="1"/>
  <c r="A289" i="49" s="1"/>
  <c r="A290" i="49" s="1"/>
  <c r="A291" i="49" s="1"/>
  <c r="A292" i="49" s="1"/>
  <c r="A293" i="49" s="1"/>
  <c r="A294" i="49" s="1"/>
  <c r="A295" i="49" s="1"/>
  <c r="A296" i="49" s="1"/>
  <c r="A297" i="49" s="1"/>
  <c r="A298" i="49" s="1"/>
  <c r="A299" i="49" s="1"/>
  <c r="A300" i="49" s="1"/>
  <c r="A301" i="49" s="1"/>
  <c r="A302" i="49" s="1"/>
  <c r="A303" i="49" s="1"/>
  <c r="A304" i="49" s="1"/>
  <c r="A305" i="49" s="1"/>
  <c r="G13" i="71"/>
  <c r="H31" i="11" l="1"/>
  <c r="G14" i="71"/>
  <c r="A313" i="49"/>
  <c r="A314" i="49" s="1"/>
  <c r="A315" i="49" s="1"/>
  <c r="A316" i="49" s="1"/>
  <c r="A317" i="49" s="1"/>
  <c r="A318" i="49" s="1"/>
  <c r="A319" i="49" s="1"/>
  <c r="A320" i="49" s="1"/>
  <c r="A321" i="49" s="1"/>
  <c r="A322" i="49" s="1"/>
  <c r="A323" i="49" s="1"/>
  <c r="A324" i="49" s="1"/>
  <c r="A325" i="49" s="1"/>
  <c r="A326" i="49" s="1"/>
  <c r="A327" i="49" s="1"/>
  <c r="A328" i="49" s="1"/>
  <c r="A329" i="49" s="1"/>
  <c r="A330" i="49" s="1"/>
  <c r="A331" i="49" s="1"/>
  <c r="A332" i="49" s="1"/>
  <c r="A333" i="49" s="1"/>
  <c r="A334" i="49" s="1"/>
  <c r="G15" i="71"/>
  <c r="H32" i="11"/>
  <c r="A335" i="49" l="1"/>
  <c r="A336" i="49" s="1"/>
  <c r="A337" i="49" s="1"/>
  <c r="A338" i="49" s="1"/>
  <c r="A344" i="49" s="1"/>
  <c r="A345" i="49" s="1"/>
  <c r="A346" i="49" s="1"/>
  <c r="A347" i="49" s="1"/>
  <c r="A348" i="49" s="1"/>
  <c r="A349" i="49" s="1"/>
  <c r="A350" i="49" s="1"/>
  <c r="A351" i="49" s="1"/>
  <c r="A352" i="49" s="1"/>
  <c r="A353" i="49" s="1"/>
  <c r="A354" i="49" s="1"/>
  <c r="A355" i="49" s="1"/>
  <c r="A356" i="49" s="1"/>
  <c r="A357" i="49" s="1"/>
  <c r="A358" i="49" s="1"/>
  <c r="A359" i="49" s="1"/>
  <c r="A360" i="49" s="1"/>
  <c r="A361" i="49" s="1"/>
  <c r="A362" i="49" s="1"/>
  <c r="A363" i="49" s="1"/>
  <c r="A364" i="49" s="1"/>
  <c r="A365" i="49" s="1"/>
  <c r="H33" i="11" l="1"/>
  <c r="A366" i="49"/>
  <c r="A367" i="49" s="1"/>
  <c r="A368" i="49" s="1"/>
  <c r="A369" i="49" s="1"/>
  <c r="G17" i="71" s="1"/>
  <c r="G16" i="71"/>
  <c r="H34" i="11" l="1"/>
  <c r="A377" i="49"/>
  <c r="A378" i="49" s="1"/>
  <c r="A379" i="49" s="1"/>
  <c r="A380" i="49" s="1"/>
  <c r="A381" i="49" s="1"/>
  <c r="A382" i="49" s="1"/>
  <c r="A383" i="49" s="1"/>
  <c r="A384" i="49" s="1"/>
  <c r="A385" i="49" s="1"/>
  <c r="A386" i="49" s="1"/>
  <c r="A387" i="49" s="1"/>
  <c r="A388" i="49" s="1"/>
  <c r="A389" i="49" s="1"/>
  <c r="A390" i="49" s="1"/>
  <c r="A391" i="49" s="1"/>
  <c r="A392" i="49" s="1"/>
  <c r="A393" i="49" s="1"/>
  <c r="A394" i="49" s="1"/>
  <c r="A395" i="49" s="1"/>
  <c r="A396" i="49" s="1"/>
  <c r="A397" i="49" s="1"/>
  <c r="A398" i="49" s="1"/>
  <c r="A399" i="49" l="1"/>
  <c r="A400" i="49" s="1"/>
  <c r="A401" i="49" s="1"/>
  <c r="A402" i="49" s="1"/>
  <c r="G18" i="71" s="1"/>
  <c r="I282" i="15" l="1"/>
  <c r="A282" i="15"/>
  <c r="I280" i="15"/>
  <c r="A265" i="15"/>
  <c r="A266" i="15" s="1"/>
  <c r="A267" i="15" s="1"/>
  <c r="A268" i="15" s="1"/>
  <c r="A269" i="15" s="1"/>
  <c r="A270" i="15" s="1"/>
  <c r="A271" i="15" s="1"/>
  <c r="A272" i="15" s="1"/>
  <c r="A273" i="15" s="1"/>
  <c r="A274" i="15" s="1"/>
  <c r="A275" i="15" s="1"/>
  <c r="A276" i="15" s="1"/>
  <c r="A277" i="15" s="1"/>
  <c r="I260" i="15"/>
  <c r="A184" i="15"/>
  <c r="A185" i="15" s="1"/>
  <c r="A186" i="15" s="1"/>
  <c r="A187" i="15" s="1"/>
  <c r="A188" i="15" s="1"/>
  <c r="A189" i="15" s="1"/>
  <c r="A190" i="15" s="1"/>
  <c r="A191" i="15" s="1"/>
  <c r="A192" i="15" s="1"/>
  <c r="A193" i="15" s="1"/>
  <c r="A194" i="15" s="1"/>
  <c r="A195" i="15" s="1"/>
  <c r="A196" i="15" s="1"/>
  <c r="A197" i="15" s="1"/>
  <c r="A198" i="15" s="1"/>
  <c r="A199" i="15" s="1"/>
  <c r="A200" i="15" s="1"/>
  <c r="A201" i="15" s="1"/>
  <c r="A202" i="15" s="1"/>
  <c r="A203" i="15" s="1"/>
  <c r="A204" i="15" s="1"/>
  <c r="A205" i="15" s="1"/>
  <c r="A206" i="15" s="1"/>
  <c r="A207" i="15" s="1"/>
  <c r="A208" i="15" s="1"/>
  <c r="A209" i="15" s="1"/>
  <c r="A210" i="15" s="1"/>
  <c r="A211" i="15" s="1"/>
  <c r="A212" i="15" s="1"/>
  <c r="A213" i="15" s="1"/>
  <c r="A214" i="15" s="1"/>
  <c r="A215" i="15" s="1"/>
  <c r="A216" i="15" s="1"/>
  <c r="A217" i="15" s="1"/>
  <c r="A218" i="15" s="1"/>
  <c r="A219" i="15" s="1"/>
  <c r="A220" i="15" s="1"/>
  <c r="A221" i="15" s="1"/>
  <c r="A222" i="15" s="1"/>
  <c r="A229" i="15" s="1"/>
  <c r="A230" i="15" s="1"/>
  <c r="A231" i="15" s="1"/>
  <c r="A232" i="15" s="1"/>
  <c r="A233" i="15" s="1"/>
  <c r="A234" i="15" s="1"/>
  <c r="A235" i="15" s="1"/>
  <c r="A236" i="15" s="1"/>
  <c r="A237" i="15" s="1"/>
  <c r="A238" i="15" s="1"/>
  <c r="A239" i="15" s="1"/>
  <c r="A240" i="15" s="1"/>
  <c r="A241" i="15" s="1"/>
  <c r="A242" i="15" s="1"/>
  <c r="A243" i="15" s="1"/>
  <c r="A244" i="15" s="1"/>
  <c r="A245" i="15" s="1"/>
  <c r="A246" i="15" s="1"/>
  <c r="A247" i="15" s="1"/>
  <c r="A248" i="15" s="1"/>
  <c r="A249" i="15" s="1"/>
  <c r="A250" i="15" s="1"/>
  <c r="A251" i="15" s="1"/>
  <c r="A252" i="15" s="1"/>
  <c r="A253" i="15" s="1"/>
  <c r="A254" i="15" s="1"/>
  <c r="A255" i="15" s="1"/>
  <c r="A256" i="15" s="1"/>
  <c r="A257" i="15" s="1"/>
  <c r="A258" i="15" s="1"/>
  <c r="E175" i="15"/>
  <c r="A171" i="15"/>
  <c r="A172" i="15" s="1"/>
  <c r="I170" i="15"/>
  <c r="A148" i="15"/>
  <c r="A149" i="15" s="1"/>
  <c r="A150" i="15" s="1"/>
  <c r="A151" i="15" s="1"/>
  <c r="A152" i="15" s="1"/>
  <c r="A153" i="15" s="1"/>
  <c r="A154" i="15" s="1"/>
  <c r="A155" i="15" s="1"/>
  <c r="A156" i="15" s="1"/>
  <c r="A157" i="15" s="1"/>
  <c r="A158" i="15" s="1"/>
  <c r="A159" i="15" s="1"/>
  <c r="A160" i="15" s="1"/>
  <c r="A161" i="15" s="1"/>
  <c r="A162" i="15" s="1"/>
  <c r="A163" i="15" s="1"/>
  <c r="A164" i="15" s="1"/>
  <c r="A165" i="15" s="1"/>
  <c r="A166" i="15" s="1"/>
  <c r="A167" i="15" s="1"/>
  <c r="I136" i="15"/>
  <c r="A136" i="15"/>
  <c r="E141" i="15" s="1"/>
  <c r="I134" i="15"/>
  <c r="A118" i="15"/>
  <c r="A119" i="15" s="1"/>
  <c r="A120" i="15" s="1"/>
  <c r="A121" i="15" s="1"/>
  <c r="A122" i="15" s="1"/>
  <c r="A123" i="15" s="1"/>
  <c r="A124" i="15" s="1"/>
  <c r="A125" i="15" s="1"/>
  <c r="A126" i="15" s="1"/>
  <c r="A127" i="15" s="1"/>
  <c r="A128" i="15" s="1"/>
  <c r="A129" i="15" s="1"/>
  <c r="A130" i="15" s="1"/>
  <c r="A131" i="15" s="1"/>
  <c r="A30" i="15"/>
  <c r="A11" i="15"/>
  <c r="A12" i="15" s="1"/>
  <c r="A13" i="15" s="1"/>
  <c r="A14" i="15" s="1"/>
  <c r="A15" i="15" s="1"/>
  <c r="A16" i="15" s="1"/>
  <c r="A17" i="15" s="1"/>
  <c r="A18" i="15" s="1"/>
  <c r="A19" i="15" s="1"/>
  <c r="A20" i="15" s="1"/>
  <c r="A21" i="15" s="1"/>
  <c r="A22" i="15" s="1"/>
  <c r="A23" i="15" s="1"/>
  <c r="I172" i="15" l="1"/>
  <c r="E18" i="15"/>
  <c r="A283" i="15"/>
  <c r="A284" i="15" s="1"/>
  <c r="E12" i="15" s="1"/>
  <c r="A31" i="15"/>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8"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I113" i="15"/>
  <c r="H260" i="15"/>
  <c r="A175" i="15"/>
  <c r="E11" i="15"/>
  <c r="D260" i="15"/>
  <c r="A137" i="15"/>
  <c r="A138" i="15" s="1"/>
  <c r="E287" i="15"/>
  <c r="A287" i="15" l="1"/>
  <c r="G260" i="15"/>
  <c r="I284" i="15"/>
  <c r="A141" i="15"/>
  <c r="E10" i="15"/>
  <c r="I138" i="15"/>
  <c r="F260" i="15"/>
  <c r="E260" i="15"/>
  <c r="E23" i="15" l="1"/>
  <c r="H42" i="8" l="1"/>
  <c r="H33" i="8"/>
  <c r="F103" i="8"/>
  <c r="F98" i="8"/>
  <c r="J10" i="28" l="1"/>
  <c r="A11" i="22" l="1"/>
  <c r="A12" i="22" s="1"/>
  <c r="A13" i="22" s="1"/>
  <c r="A14" i="22" s="1"/>
  <c r="A15" i="22" s="1"/>
  <c r="A16" i="22" s="1"/>
  <c r="A17" i="22" s="1"/>
  <c r="A18" i="22" s="1"/>
  <c r="A19" i="22" s="1"/>
  <c r="A20" i="22" s="1"/>
  <c r="A10" i="22"/>
  <c r="A21" i="22" l="1"/>
  <c r="G23" i="22" s="1"/>
  <c r="F193" i="61" l="1"/>
  <c r="E12" i="2" l="1"/>
  <c r="E11" i="2"/>
  <c r="E41" i="71"/>
  <c r="H27" i="8"/>
  <c r="H25" i="8"/>
  <c r="H23" i="8"/>
  <c r="H9" i="8"/>
  <c r="H8" i="8"/>
  <c r="G41" i="32"/>
  <c r="G35" i="32"/>
  <c r="G29" i="32"/>
  <c r="G21" i="32"/>
  <c r="G15" i="32"/>
  <c r="B99" i="44"/>
  <c r="B194" i="71"/>
  <c r="F141" i="71"/>
  <c r="F140" i="71"/>
  <c r="D87" i="46"/>
  <c r="G90" i="12"/>
  <c r="J49" i="28"/>
  <c r="J47" i="28"/>
  <c r="J46" i="28"/>
  <c r="J32" i="28"/>
  <c r="J8" i="28"/>
  <c r="G69" i="8"/>
  <c r="G71" i="8"/>
  <c r="E51" i="7"/>
  <c r="E39" i="7"/>
  <c r="I134" i="1"/>
  <c r="I133" i="1"/>
  <c r="I130" i="1"/>
  <c r="I128" i="1"/>
  <c r="I126" i="1"/>
  <c r="I100" i="1"/>
  <c r="I32" i="1"/>
  <c r="I30" i="1"/>
  <c r="I26" i="1"/>
  <c r="I22" i="1"/>
  <c r="I12" i="1"/>
  <c r="I11" i="1"/>
  <c r="F209" i="61" l="1"/>
  <c r="F210" i="61"/>
  <c r="F207" i="61"/>
  <c r="F213" i="61"/>
  <c r="C108" i="26" l="1"/>
  <c r="I21" i="45"/>
  <c r="F70" i="26" l="1"/>
  <c r="H57" i="26"/>
  <c r="F64" i="26"/>
  <c r="G63" i="22" l="1"/>
  <c r="G69" i="22"/>
  <c r="G46" i="22"/>
  <c r="G34" i="22"/>
  <c r="C57" i="22"/>
  <c r="B112" i="12" l="1"/>
  <c r="A34" i="72" l="1"/>
  <c r="J50" i="28" s="1"/>
  <c r="A26" i="72"/>
  <c r="J33" i="28" s="1"/>
  <c r="A22" i="72"/>
  <c r="A10" i="72"/>
  <c r="A14" i="72" l="1"/>
  <c r="J9" i="28"/>
  <c r="A28" i="72"/>
  <c r="J34" i="28" s="1"/>
  <c r="A16" i="72" l="1"/>
  <c r="J11" i="28"/>
  <c r="A18" i="72" l="1"/>
  <c r="A9" i="28" l="1"/>
  <c r="A11" i="28" l="1"/>
  <c r="A12" i="28" s="1"/>
  <c r="A13" i="28" s="1"/>
  <c r="J16" i="28" l="1"/>
  <c r="A14" i="28"/>
  <c r="E53" i="63" l="1"/>
  <c r="E52" i="63"/>
  <c r="E51" i="63"/>
  <c r="E50" i="63"/>
  <c r="E45" i="63"/>
  <c r="E42" i="63"/>
  <c r="E41" i="63"/>
  <c r="E40" i="63"/>
  <c r="E39" i="63"/>
  <c r="E38" i="63"/>
  <c r="E37" i="63"/>
  <c r="E36" i="63"/>
  <c r="E35" i="63"/>
  <c r="E34" i="63"/>
  <c r="E33" i="63"/>
  <c r="E32" i="63"/>
  <c r="E31" i="63"/>
  <c r="E30" i="63"/>
  <c r="E29" i="63"/>
  <c r="A15" i="28" l="1"/>
  <c r="A16" i="28" l="1"/>
  <c r="I63" i="1" s="1"/>
  <c r="A19" i="28" l="1"/>
  <c r="J27" i="28" s="1"/>
  <c r="A20" i="28" l="1"/>
  <c r="A21" i="28" s="1"/>
  <c r="A22" i="28" s="1"/>
  <c r="A23" i="28" s="1"/>
  <c r="A25" i="28" s="1"/>
  <c r="A26" i="28" s="1"/>
  <c r="A27" i="28" s="1"/>
  <c r="I64" i="1" s="1"/>
  <c r="A29" i="28" l="1"/>
  <c r="I65" i="1" s="1"/>
  <c r="J29" i="28"/>
  <c r="A32" i="28"/>
  <c r="A33" i="28" s="1"/>
  <c r="I47" i="28" l="1"/>
  <c r="A34" i="28"/>
  <c r="B57" i="28" s="1"/>
  <c r="I48" i="28" l="1"/>
  <c r="A35" i="28"/>
  <c r="I68" i="1" s="1"/>
  <c r="J35" i="28"/>
  <c r="A38" i="28" l="1"/>
  <c r="A39" i="28" s="1"/>
  <c r="A40" i="28" s="1"/>
  <c r="A41" i="28" s="1"/>
  <c r="I69" i="1" s="1"/>
  <c r="B172" i="21"/>
  <c r="A36" i="21"/>
  <c r="H19" i="8" s="1"/>
  <c r="G35" i="21"/>
  <c r="G34" i="21"/>
  <c r="A13" i="21"/>
  <c r="A14" i="21" s="1"/>
  <c r="A15" i="21" s="1"/>
  <c r="A16" i="21" s="1"/>
  <c r="A17" i="21" s="1"/>
  <c r="A18" i="21" s="1"/>
  <c r="A19" i="21" s="1"/>
  <c r="A20" i="21" s="1"/>
  <c r="A21" i="21" s="1"/>
  <c r="A22" i="21" s="1"/>
  <c r="A23" i="21" s="1"/>
  <c r="A24" i="21" s="1"/>
  <c r="A12" i="4"/>
  <c r="A13" i="4"/>
  <c r="A14" i="4" s="1"/>
  <c r="A15" i="4" s="1"/>
  <c r="A16" i="4" s="1"/>
  <c r="A17" i="4" s="1"/>
  <c r="A18" i="4" s="1"/>
  <c r="A19" i="4" s="1"/>
  <c r="A20" i="4" s="1"/>
  <c r="A21" i="4" s="1"/>
  <c r="A22" i="4" s="1"/>
  <c r="A23" i="4" s="1"/>
  <c r="E36" i="7" s="1"/>
  <c r="B176" i="4" l="1"/>
  <c r="E38" i="7"/>
  <c r="I21" i="1"/>
  <c r="G36" i="21"/>
  <c r="A45" i="21"/>
  <c r="A46" i="21" s="1"/>
  <c r="H47" i="21" s="1"/>
  <c r="A25" i="21"/>
  <c r="B176" i="21"/>
  <c r="J41" i="28"/>
  <c r="J43" i="28"/>
  <c r="A43" i="28"/>
  <c r="I70" i="1" s="1"/>
  <c r="A24" i="4"/>
  <c r="A34" i="21" l="1"/>
  <c r="B171" i="21" s="1"/>
  <c r="H18" i="8"/>
  <c r="A46" i="28"/>
  <c r="A47" i="28" s="1"/>
  <c r="A48" i="28" s="1"/>
  <c r="A49" i="28" s="1"/>
  <c r="H36" i="21"/>
  <c r="A34" i="4"/>
  <c r="G59" i="21"/>
  <c r="A47" i="21"/>
  <c r="B108" i="12"/>
  <c r="B171" i="4" l="1"/>
  <c r="A50" i="28"/>
  <c r="A35" i="4"/>
  <c r="G52" i="21"/>
  <c r="A52" i="21"/>
  <c r="E37" i="7" l="1"/>
  <c r="B172" i="4"/>
  <c r="A51" i="28"/>
  <c r="I73" i="1" s="1"/>
  <c r="J51" i="28"/>
  <c r="A36" i="4"/>
  <c r="E43" i="4"/>
  <c r="A53" i="21"/>
  <c r="A54" i="21" s="1"/>
  <c r="H20" i="8" s="1"/>
  <c r="A59" i="21" l="1"/>
  <c r="A60" i="21" s="1"/>
  <c r="A61" i="21" s="1"/>
  <c r="I23" i="1" s="1"/>
  <c r="G54" i="21"/>
  <c r="A42" i="4"/>
  <c r="E42" i="4"/>
  <c r="A43" i="4" l="1"/>
  <c r="H6" i="8"/>
  <c r="G61" i="21"/>
  <c r="A72" i="21"/>
  <c r="A52" i="4" l="1"/>
  <c r="A53" i="4" s="1"/>
  <c r="A56" i="4" s="1"/>
  <c r="I9" i="1"/>
  <c r="A73" i="21"/>
  <c r="A74" i="21" s="1"/>
  <c r="A75" i="21" s="1"/>
  <c r="A76" i="21" s="1"/>
  <c r="A77" i="21" s="1"/>
  <c r="A78" i="21" s="1"/>
  <c r="A79" i="21" s="1"/>
  <c r="A80" i="21" s="1"/>
  <c r="A81" i="21" s="1"/>
  <c r="A82" i="21" s="1"/>
  <c r="A83" i="21" s="1"/>
  <c r="A84" i="21" s="1"/>
  <c r="A92" i="21" s="1"/>
  <c r="G61" i="4"/>
  <c r="G56" i="4" l="1"/>
  <c r="E24" i="2"/>
  <c r="E22" i="2"/>
  <c r="A93" i="21"/>
  <c r="A94" i="21" s="1"/>
  <c r="A95" i="21" s="1"/>
  <c r="A96" i="21" s="1"/>
  <c r="A97" i="21" s="1"/>
  <c r="A98" i="21" s="1"/>
  <c r="A99" i="21" s="1"/>
  <c r="A100" i="21" s="1"/>
  <c r="A101" i="21" s="1"/>
  <c r="A102" i="21" s="1"/>
  <c r="A103" i="21" s="1"/>
  <c r="A104" i="21" s="1"/>
  <c r="A57" i="4"/>
  <c r="A58" i="4" s="1"/>
  <c r="A61" i="4" l="1"/>
  <c r="H7" i="8"/>
  <c r="B177" i="21"/>
  <c r="A112" i="21"/>
  <c r="B175" i="21"/>
  <c r="A62" i="4"/>
  <c r="A63" i="4" s="1"/>
  <c r="G58" i="4"/>
  <c r="A74" i="4" l="1"/>
  <c r="A75" i="4" s="1"/>
  <c r="A76" i="4" s="1"/>
  <c r="A77" i="4" s="1"/>
  <c r="A78" i="4" s="1"/>
  <c r="A79" i="4" s="1"/>
  <c r="A80" i="4" s="1"/>
  <c r="A81" i="4" s="1"/>
  <c r="A82" i="4" s="1"/>
  <c r="A83" i="4" s="1"/>
  <c r="A84" i="4" s="1"/>
  <c r="A85" i="4" s="1"/>
  <c r="A86" i="4" s="1"/>
  <c r="A94" i="4" s="1"/>
  <c r="I10" i="1"/>
  <c r="A113" i="21"/>
  <c r="A114" i="21" s="1"/>
  <c r="A115" i="21" s="1"/>
  <c r="A116" i="21" s="1"/>
  <c r="A117" i="21" s="1"/>
  <c r="A118" i="21" s="1"/>
  <c r="A119" i="21" s="1"/>
  <c r="A120" i="21" s="1"/>
  <c r="A121" i="21" s="1"/>
  <c r="A122" i="21" s="1"/>
  <c r="A123" i="21" s="1"/>
  <c r="A124" i="21" s="1"/>
  <c r="A130" i="21" s="1"/>
  <c r="G63" i="4"/>
  <c r="B180" i="21" l="1"/>
  <c r="A134" i="21"/>
  <c r="A137" i="21" s="1"/>
  <c r="A95" i="4"/>
  <c r="A96" i="4" s="1"/>
  <c r="A97" i="4" s="1"/>
  <c r="A98" i="4" s="1"/>
  <c r="A99" i="4" s="1"/>
  <c r="A100" i="4" s="1"/>
  <c r="A101" i="4" s="1"/>
  <c r="A102" i="4" s="1"/>
  <c r="A103" i="4" s="1"/>
  <c r="A104" i="4" s="1"/>
  <c r="A105" i="4" s="1"/>
  <c r="A106" i="4" s="1"/>
  <c r="A146" i="21" l="1"/>
  <c r="A147" i="21" s="1"/>
  <c r="A148" i="21" s="1"/>
  <c r="A149" i="21" s="1"/>
  <c r="A150" i="21" s="1"/>
  <c r="A151" i="21" s="1"/>
  <c r="A152" i="21" s="1"/>
  <c r="A153" i="21" s="1"/>
  <c r="A154" i="21" s="1"/>
  <c r="A155" i="21" s="1"/>
  <c r="A156" i="21" s="1"/>
  <c r="A157" i="21" s="1"/>
  <c r="A158" i="21" s="1"/>
  <c r="B179" i="21"/>
  <c r="B178" i="21"/>
  <c r="B175" i="4"/>
  <c r="A114" i="4"/>
  <c r="B177" i="4"/>
  <c r="B181" i="21" l="1"/>
  <c r="A115" i="4"/>
  <c r="A116" i="4" s="1"/>
  <c r="A117" i="4" s="1"/>
  <c r="A118" i="4" s="1"/>
  <c r="A119" i="4" s="1"/>
  <c r="A120" i="4" s="1"/>
  <c r="A121" i="4" s="1"/>
  <c r="A122" i="4" s="1"/>
  <c r="A123" i="4" s="1"/>
  <c r="A124" i="4" s="1"/>
  <c r="A125" i="4" s="1"/>
  <c r="A126" i="4" s="1"/>
  <c r="A131" i="4" s="1"/>
  <c r="B180" i="4" l="1"/>
  <c r="A135" i="4"/>
  <c r="A139" i="4" s="1"/>
  <c r="A146" i="4" l="1"/>
  <c r="B179" i="4"/>
  <c r="A147" i="4"/>
  <c r="A148" i="4" s="1"/>
  <c r="A149" i="4" s="1"/>
  <c r="A150" i="4" s="1"/>
  <c r="A151" i="4" s="1"/>
  <c r="A152" i="4" s="1"/>
  <c r="A153" i="4" s="1"/>
  <c r="A154" i="4" s="1"/>
  <c r="A155" i="4" s="1"/>
  <c r="A156" i="4" s="1"/>
  <c r="A157" i="4" s="1"/>
  <c r="A158" i="4" s="1"/>
  <c r="B178" i="4"/>
  <c r="B181" i="4" l="1"/>
  <c r="K84" i="1" l="1"/>
  <c r="B34" i="31" l="1"/>
  <c r="F46" i="71" l="1"/>
  <c r="A10" i="71"/>
  <c r="A11" i="71" s="1"/>
  <c r="A12" i="71" s="1"/>
  <c r="A13" i="71" s="1"/>
  <c r="A14" i="71" s="1"/>
  <c r="A15" i="71" s="1"/>
  <c r="A16" i="71" s="1"/>
  <c r="A17" i="71" s="1"/>
  <c r="A18" i="71" s="1"/>
  <c r="A19" i="71" s="1"/>
  <c r="F53" i="71"/>
  <c r="F77" i="61"/>
  <c r="F44" i="61"/>
  <c r="I34" i="44"/>
  <c r="H34" i="44"/>
  <c r="A14" i="44"/>
  <c r="A15" i="44" s="1"/>
  <c r="A16" i="44" s="1"/>
  <c r="A17" i="44" s="1"/>
  <c r="A18" i="44" s="1"/>
  <c r="A30" i="44" s="1"/>
  <c r="E147" i="46"/>
  <c r="A12" i="46"/>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A41" i="46" s="1"/>
  <c r="A42" i="46" s="1"/>
  <c r="A43" i="46" s="1"/>
  <c r="A44" i="46" s="1"/>
  <c r="A45" i="46" s="1"/>
  <c r="A46" i="46" s="1"/>
  <c r="A47" i="46" s="1"/>
  <c r="A48" i="46" s="1"/>
  <c r="A49" i="46" s="1"/>
  <c r="A50" i="46" s="1"/>
  <c r="A51" i="46" s="1"/>
  <c r="A52" i="46" s="1"/>
  <c r="A53" i="46" s="1"/>
  <c r="A54" i="46" s="1"/>
  <c r="A55" i="46" s="1"/>
  <c r="A56" i="46" s="1"/>
  <c r="A57" i="46" s="1"/>
  <c r="A58" i="46" s="1"/>
  <c r="A59" i="46" s="1"/>
  <c r="A60" i="46" s="1"/>
  <c r="A61" i="46" s="1"/>
  <c r="A62" i="46" s="1"/>
  <c r="A63" i="46" s="1"/>
  <c r="B54" i="54"/>
  <c r="A5" i="31"/>
  <c r="D97" i="65"/>
  <c r="E17" i="66"/>
  <c r="F17" i="66"/>
  <c r="F21" i="66"/>
  <c r="F14" i="66"/>
  <c r="F7" i="66"/>
  <c r="F41" i="54"/>
  <c r="F38" i="54"/>
  <c r="F29" i="54"/>
  <c r="H41" i="8"/>
  <c r="A8" i="2"/>
  <c r="A9" i="2" s="1"/>
  <c r="A11" i="7"/>
  <c r="A12" i="7" s="1"/>
  <c r="A13" i="7" s="1"/>
  <c r="A14" i="7" s="1"/>
  <c r="A15" i="7" s="1"/>
  <c r="A16" i="7" s="1"/>
  <c r="A14" i="65"/>
  <c r="A15" i="65" s="1"/>
  <c r="A16" i="65" s="1"/>
  <c r="A17" i="65" s="1"/>
  <c r="A18" i="65" s="1"/>
  <c r="A19" i="65" s="1"/>
  <c r="A20" i="65" s="1"/>
  <c r="A21" i="65" s="1"/>
  <c r="A22" i="65" s="1"/>
  <c r="A23" i="65" s="1"/>
  <c r="A24" i="65" s="1"/>
  <c r="A7" i="63"/>
  <c r="A8" i="63" s="1"/>
  <c r="A9" i="63" s="1"/>
  <c r="A10" i="63" s="1"/>
  <c r="A11" i="63" s="1"/>
  <c r="A12" i="63" s="1"/>
  <c r="A13" i="63" s="1"/>
  <c r="A14" i="63" s="1"/>
  <c r="A15" i="63" s="1"/>
  <c r="A16" i="63" s="1"/>
  <c r="A20" i="63" s="1"/>
  <c r="A21" i="63" s="1"/>
  <c r="A22" i="63" s="1"/>
  <c r="A27" i="63" s="1"/>
  <c r="A28" i="63" s="1"/>
  <c r="A29" i="63" s="1"/>
  <c r="A30" i="63" s="1"/>
  <c r="A31" i="63" s="1"/>
  <c r="A32" i="63" s="1"/>
  <c r="A33" i="63" s="1"/>
  <c r="A34" i="63" s="1"/>
  <c r="A25" i="12"/>
  <c r="A26" i="12"/>
  <c r="F192" i="61"/>
  <c r="F191" i="61"/>
  <c r="F189" i="61"/>
  <c r="F188" i="61"/>
  <c r="F180" i="61"/>
  <c r="F179" i="61"/>
  <c r="F178" i="61"/>
  <c r="F177" i="61"/>
  <c r="F176" i="61"/>
  <c r="F175" i="61"/>
  <c r="F174" i="61"/>
  <c r="F173" i="61"/>
  <c r="F172" i="61"/>
  <c r="F171" i="61"/>
  <c r="F170" i="61"/>
  <c r="F169" i="61"/>
  <c r="F168" i="61"/>
  <c r="F167" i="61"/>
  <c r="F166" i="61"/>
  <c r="F149" i="61"/>
  <c r="F148" i="61"/>
  <c r="F147" i="61"/>
  <c r="F146" i="61"/>
  <c r="F145" i="61"/>
  <c r="F144" i="61"/>
  <c r="F143" i="61"/>
  <c r="F142" i="61"/>
  <c r="F141" i="61"/>
  <c r="F140" i="61"/>
  <c r="F139" i="61"/>
  <c r="F138" i="61"/>
  <c r="F137" i="61"/>
  <c r="F136" i="61"/>
  <c r="F135" i="61"/>
  <c r="F134" i="61"/>
  <c r="F133" i="61"/>
  <c r="F132" i="61"/>
  <c r="F131" i="61"/>
  <c r="F123" i="61"/>
  <c r="F122" i="61"/>
  <c r="F121" i="61"/>
  <c r="F120" i="61"/>
  <c r="F119" i="61"/>
  <c r="F118" i="61"/>
  <c r="F117" i="61"/>
  <c r="F116" i="61"/>
  <c r="F115" i="61"/>
  <c r="F114" i="61"/>
  <c r="F113" i="61"/>
  <c r="F112" i="61"/>
  <c r="F111" i="61"/>
  <c r="F110" i="61"/>
  <c r="F109" i="61"/>
  <c r="F108" i="61"/>
  <c r="F107" i="61"/>
  <c r="F106" i="61"/>
  <c r="F105" i="61"/>
  <c r="F104" i="61"/>
  <c r="F103" i="61"/>
  <c r="F102" i="61"/>
  <c r="F101" i="61"/>
  <c r="F100" i="61"/>
  <c r="F99" i="61"/>
  <c r="F98" i="61"/>
  <c r="F97" i="61"/>
  <c r="F96" i="61"/>
  <c r="F95" i="61"/>
  <c r="F94" i="61"/>
  <c r="F93" i="61"/>
  <c r="F92" i="61"/>
  <c r="F91" i="61"/>
  <c r="F90" i="61"/>
  <c r="F89" i="61"/>
  <c r="F88" i="61"/>
  <c r="F87" i="61"/>
  <c r="F86" i="61"/>
  <c r="F85" i="61"/>
  <c r="F84" i="61"/>
  <c r="F83" i="61"/>
  <c r="F82" i="61"/>
  <c r="F81" i="61"/>
  <c r="F80" i="61"/>
  <c r="F79" i="61"/>
  <c r="F78" i="61"/>
  <c r="F76" i="61"/>
  <c r="F75" i="61"/>
  <c r="F74" i="61"/>
  <c r="F73" i="61"/>
  <c r="F72" i="61"/>
  <c r="F71" i="61"/>
  <c r="F70" i="61"/>
  <c r="F61" i="61"/>
  <c r="F60" i="61"/>
  <c r="F59" i="61"/>
  <c r="F58" i="61"/>
  <c r="F57" i="61"/>
  <c r="F56" i="61"/>
  <c r="F55" i="61"/>
  <c r="F54" i="61"/>
  <c r="F53" i="61"/>
  <c r="F52" i="61"/>
  <c r="F51" i="61"/>
  <c r="F50" i="61"/>
  <c r="F49" i="61"/>
  <c r="F48" i="61"/>
  <c r="F47" i="61"/>
  <c r="F46" i="61"/>
  <c r="F45" i="61"/>
  <c r="F43" i="61"/>
  <c r="F42" i="61"/>
  <c r="F41" i="61"/>
  <c r="F40" i="61"/>
  <c r="F39" i="61"/>
  <c r="F33" i="61"/>
  <c r="F32" i="61"/>
  <c r="J32" i="61" s="1"/>
  <c r="F31" i="61"/>
  <c r="J31" i="61" s="1"/>
  <c r="F20" i="61"/>
  <c r="F19" i="61"/>
  <c r="F18" i="61"/>
  <c r="F17" i="61"/>
  <c r="F16" i="61"/>
  <c r="F15" i="61"/>
  <c r="F14" i="61"/>
  <c r="F13" i="61"/>
  <c r="F12" i="61"/>
  <c r="F6" i="61"/>
  <c r="F5" i="61"/>
  <c r="F4" i="61"/>
  <c r="A8" i="17"/>
  <c r="A9" i="17" s="1"/>
  <c r="A10" i="17" s="1"/>
  <c r="A11" i="17" s="1"/>
  <c r="A12" i="17" s="1"/>
  <c r="A13" i="17" s="1"/>
  <c r="A14" i="17" s="1"/>
  <c r="I101" i="1" s="1"/>
  <c r="A10" i="57"/>
  <c r="A11" i="57" s="1"/>
  <c r="A12" i="57" s="1"/>
  <c r="A13" i="57" s="1"/>
  <c r="A14" i="57" s="1"/>
  <c r="A15" i="57" s="1"/>
  <c r="A16" i="57" s="1"/>
  <c r="A17" i="57" s="1"/>
  <c r="A18" i="57" s="1"/>
  <c r="A19" i="57" s="1"/>
  <c r="A20" i="57" s="1"/>
  <c r="A21" i="57" s="1"/>
  <c r="A22" i="57" s="1"/>
  <c r="A23" i="57" s="1"/>
  <c r="A24" i="57" s="1"/>
  <c r="A25" i="57" s="1"/>
  <c r="A26" i="57" s="1"/>
  <c r="A27" i="57" s="1"/>
  <c r="A28" i="57" s="1"/>
  <c r="A9" i="56"/>
  <c r="A10" i="56" s="1"/>
  <c r="A15" i="32"/>
  <c r="G16" i="32" s="1"/>
  <c r="A7" i="26"/>
  <c r="A8" i="26" s="1"/>
  <c r="A9" i="26" s="1"/>
  <c r="A10" i="26" s="1"/>
  <c r="A27" i="11"/>
  <c r="A7" i="8"/>
  <c r="A8" i="8" s="1"/>
  <c r="A9" i="8" s="1"/>
  <c r="A33" i="8"/>
  <c r="H34" i="8" s="1"/>
  <c r="A28" i="11"/>
  <c r="A29" i="11" s="1"/>
  <c r="A30" i="11" s="1"/>
  <c r="A31" i="11" s="1"/>
  <c r="A32" i="11" s="1"/>
  <c r="A33" i="11" s="1"/>
  <c r="A34" i="11" s="1"/>
  <c r="A35" i="11" s="1"/>
  <c r="A36" i="11" s="1"/>
  <c r="A37" i="11" s="1"/>
  <c r="A10" i="1"/>
  <c r="G32" i="61"/>
  <c r="A10" i="2" l="1"/>
  <c r="A11" i="2" s="1"/>
  <c r="E10" i="2"/>
  <c r="F47" i="71"/>
  <c r="E54" i="7"/>
  <c r="A29" i="57"/>
  <c r="A11" i="1"/>
  <c r="A12" i="1" s="1"/>
  <c r="A15" i="1" s="1"/>
  <c r="A16" i="1" s="1"/>
  <c r="A17" i="1" s="1"/>
  <c r="H14" i="8" s="1"/>
  <c r="A34" i="8"/>
  <c r="H24" i="8"/>
  <c r="I28" i="1"/>
  <c r="J33" i="61"/>
  <c r="G31" i="61"/>
  <c r="I31" i="61" s="1"/>
  <c r="G33" i="61"/>
  <c r="I33" i="61" s="1"/>
  <c r="A25" i="65"/>
  <c r="A26" i="65" s="1"/>
  <c r="A27" i="65" s="1"/>
  <c r="A28" i="65" s="1"/>
  <c r="A29" i="65" s="1"/>
  <c r="A30" i="65" s="1"/>
  <c r="A31" i="65" s="1"/>
  <c r="A32" i="65" s="1"/>
  <c r="A33" i="65" s="1"/>
  <c r="A34" i="65" s="1"/>
  <c r="A35" i="65" s="1"/>
  <c r="A36" i="65" s="1"/>
  <c r="A37" i="65" s="1"/>
  <c r="A38" i="65" s="1"/>
  <c r="A39" i="65" s="1"/>
  <c r="A40" i="65" s="1"/>
  <c r="A41" i="65" s="1"/>
  <c r="A42" i="65" s="1"/>
  <c r="A43" i="65" s="1"/>
  <c r="A44" i="65" s="1"/>
  <c r="A12" i="2"/>
  <c r="A13" i="2" s="1"/>
  <c r="I32" i="61"/>
  <c r="G24" i="26"/>
  <c r="A11" i="26"/>
  <c r="A12" i="26" s="1"/>
  <c r="A13" i="26" s="1"/>
  <c r="A14" i="26" s="1"/>
  <c r="A15" i="26" s="1"/>
  <c r="A16" i="26" s="1"/>
  <c r="A17" i="26" s="1"/>
  <c r="A18" i="26" s="1"/>
  <c r="A19" i="26" s="1"/>
  <c r="A20" i="26" s="1"/>
  <c r="C76" i="26"/>
  <c r="A35" i="63"/>
  <c r="A36" i="63" s="1"/>
  <c r="A37" i="63" s="1"/>
  <c r="A38" i="63" s="1"/>
  <c r="A39" i="63" s="1"/>
  <c r="A40" i="63" s="1"/>
  <c r="A41" i="63" s="1"/>
  <c r="A15" i="17"/>
  <c r="A16" i="17" s="1"/>
  <c r="A17" i="17" s="1"/>
  <c r="A18" i="17" s="1"/>
  <c r="A19" i="17" s="1"/>
  <c r="A20" i="17" s="1"/>
  <c r="A21" i="17" s="1"/>
  <c r="A22" i="17" s="1"/>
  <c r="A23" i="17" s="1"/>
  <c r="A24" i="17" s="1"/>
  <c r="A17" i="7"/>
  <c r="A18" i="7" s="1"/>
  <c r="A19" i="7" s="1"/>
  <c r="A20" i="7" s="1"/>
  <c r="A21" i="7" s="1"/>
  <c r="G20" i="71"/>
  <c r="A20" i="71"/>
  <c r="B191" i="71" s="1"/>
  <c r="I18" i="1"/>
  <c r="A18" i="1"/>
  <c r="G77" i="44"/>
  <c r="A31" i="44"/>
  <c r="A71" i="46"/>
  <c r="A72" i="46" s="1"/>
  <c r="A73" i="46" s="1"/>
  <c r="A74" i="46" s="1"/>
  <c r="A75" i="46" s="1"/>
  <c r="A76" i="46" s="1"/>
  <c r="A77" i="46" s="1"/>
  <c r="A78" i="46" s="1"/>
  <c r="A79" i="46" s="1"/>
  <c r="A80" i="46" s="1"/>
  <c r="A81" i="46" s="1"/>
  <c r="E85" i="46"/>
  <c r="A46" i="11"/>
  <c r="H39" i="12" s="1"/>
  <c r="A12" i="8"/>
  <c r="A11" i="56"/>
  <c r="A12" i="56" s="1"/>
  <c r="A22" i="7"/>
  <c r="A23" i="7" s="1"/>
  <c r="A24" i="7" s="1"/>
  <c r="A25" i="7" s="1"/>
  <c r="A23" i="22"/>
  <c r="A16" i="32"/>
  <c r="A20" i="32" s="1"/>
  <c r="A27" i="12"/>
  <c r="A6" i="31"/>
  <c r="A7" i="31" s="1"/>
  <c r="A8" i="31" s="1"/>
  <c r="B39" i="31" s="1"/>
  <c r="A42" i="63" l="1"/>
  <c r="B8" i="65"/>
  <c r="A45" i="65"/>
  <c r="A46" i="65" s="1"/>
  <c r="A47" i="65" s="1"/>
  <c r="A48" i="65" s="1"/>
  <c r="A49" i="65" s="1"/>
  <c r="A50" i="65" s="1"/>
  <c r="A51" i="65" s="1"/>
  <c r="A52" i="65" s="1"/>
  <c r="A53" i="65" s="1"/>
  <c r="A54" i="65" s="1"/>
  <c r="A55" i="65" s="1"/>
  <c r="A56" i="65" s="1"/>
  <c r="A57" i="65" s="1"/>
  <c r="A58" i="65" s="1"/>
  <c r="A59" i="65" s="1"/>
  <c r="A60" i="65" s="1"/>
  <c r="A61" i="65" s="1"/>
  <c r="A62" i="65" s="1"/>
  <c r="A63" i="65" s="1"/>
  <c r="A64" i="65" s="1"/>
  <c r="A65" i="65" s="1"/>
  <c r="A66" i="65" s="1"/>
  <c r="A67" i="65" s="1"/>
  <c r="F54" i="71"/>
  <c r="E58" i="7"/>
  <c r="A38" i="8"/>
  <c r="H56" i="8"/>
  <c r="A30" i="57"/>
  <c r="A31" i="57" s="1"/>
  <c r="G31" i="57"/>
  <c r="B151" i="65"/>
  <c r="B5" i="65"/>
  <c r="A23" i="26"/>
  <c r="G23" i="26"/>
  <c r="F112" i="71"/>
  <c r="G41" i="44"/>
  <c r="E25" i="7"/>
  <c r="E13" i="2"/>
  <c r="E14" i="2"/>
  <c r="A14" i="2"/>
  <c r="A24" i="71"/>
  <c r="F111" i="71"/>
  <c r="F31" i="71"/>
  <c r="F24" i="71"/>
  <c r="A9" i="31"/>
  <c r="H22" i="31"/>
  <c r="A28" i="12"/>
  <c r="A29" i="12" s="1"/>
  <c r="A39" i="12" s="1"/>
  <c r="A40" i="12" s="1"/>
  <c r="A41" i="12" s="1"/>
  <c r="A42" i="12" s="1"/>
  <c r="A43" i="12" s="1"/>
  <c r="A44" i="12" s="1"/>
  <c r="I135" i="1" s="1"/>
  <c r="E83" i="7"/>
  <c r="E47" i="7"/>
  <c r="A26" i="7"/>
  <c r="A27" i="7" s="1"/>
  <c r="A28" i="7" s="1"/>
  <c r="A29" i="7" s="1"/>
  <c r="A30" i="7" s="1"/>
  <c r="A31" i="7" s="1"/>
  <c r="A32" i="7" s="1"/>
  <c r="A33" i="7" s="1"/>
  <c r="A34" i="7" s="1"/>
  <c r="A35" i="7" s="1"/>
  <c r="A36" i="7" s="1"/>
  <c r="A25" i="17"/>
  <c r="D12" i="56"/>
  <c r="A82" i="46"/>
  <c r="A83" i="46" s="1"/>
  <c r="D192" i="46" s="1"/>
  <c r="E86" i="46"/>
  <c r="A21" i="32"/>
  <c r="A22" i="32" s="1"/>
  <c r="A28" i="32" s="1"/>
  <c r="A24" i="22"/>
  <c r="G27" i="22" s="1"/>
  <c r="A13" i="56"/>
  <c r="A14" i="56" s="1"/>
  <c r="A15" i="56" s="1"/>
  <c r="A16" i="56" s="1"/>
  <c r="A17" i="56" s="1"/>
  <c r="A13" i="8"/>
  <c r="A14" i="8" s="1"/>
  <c r="A15" i="8" s="1"/>
  <c r="A47" i="11"/>
  <c r="H40" i="12" s="1"/>
  <c r="A32" i="44"/>
  <c r="G55" i="44"/>
  <c r="A24" i="26"/>
  <c r="A25" i="26" s="1"/>
  <c r="A21" i="1"/>
  <c r="A58" i="63" l="1"/>
  <c r="A59" i="63" s="1"/>
  <c r="A60" i="63" s="1"/>
  <c r="A61" i="63" s="1"/>
  <c r="A62" i="63" s="1"/>
  <c r="A63" i="63" s="1"/>
  <c r="A64" i="63" s="1"/>
  <c r="A32" i="57"/>
  <c r="A33" i="57" s="1"/>
  <c r="A41" i="8"/>
  <c r="A42" i="8" s="1"/>
  <c r="A43" i="8" s="1"/>
  <c r="A44" i="8" s="1"/>
  <c r="A45" i="8" s="1"/>
  <c r="A48" i="8" s="1"/>
  <c r="A49" i="8" s="1"/>
  <c r="A51" i="8" s="1"/>
  <c r="A52" i="8" s="1"/>
  <c r="A53" i="8" s="1"/>
  <c r="A54" i="8" s="1"/>
  <c r="A55" i="8" s="1"/>
  <c r="A56" i="8" s="1"/>
  <c r="A57" i="8" s="1"/>
  <c r="A58" i="8" s="1"/>
  <c r="A59" i="8" s="1"/>
  <c r="A60" i="8" s="1"/>
  <c r="A62" i="8" s="1"/>
  <c r="A64" i="8" s="1"/>
  <c r="H57" i="8"/>
  <c r="A68" i="65"/>
  <c r="A69" i="65" s="1"/>
  <c r="A70" i="65" s="1"/>
  <c r="A71" i="65" s="1"/>
  <c r="A72" i="65" s="1"/>
  <c r="A73" i="65" s="1"/>
  <c r="A74" i="65" s="1"/>
  <c r="A75" i="65" s="1"/>
  <c r="A76" i="65" s="1"/>
  <c r="A77" i="65" s="1"/>
  <c r="A78" i="65" s="1"/>
  <c r="A79" i="65" s="1"/>
  <c r="A80" i="65" s="1"/>
  <c r="A81" i="65" s="1"/>
  <c r="A82" i="65" s="1"/>
  <c r="A83" i="65" s="1"/>
  <c r="A84" i="65" s="1"/>
  <c r="A85" i="65" s="1"/>
  <c r="A86" i="65" s="1"/>
  <c r="A87" i="65" s="1"/>
  <c r="A88" i="65" s="1"/>
  <c r="A89" i="65" s="1"/>
  <c r="A90" i="65" s="1"/>
  <c r="A91" i="65" s="1"/>
  <c r="A92" i="65" s="1"/>
  <c r="A93" i="65" s="1"/>
  <c r="A94" i="65" s="1"/>
  <c r="A95" i="65" s="1"/>
  <c r="A96" i="65" s="1"/>
  <c r="A97" i="65" s="1"/>
  <c r="A98" i="65" s="1"/>
  <c r="A99" i="65" s="1"/>
  <c r="A100" i="65" s="1"/>
  <c r="A101" i="65" s="1"/>
  <c r="A102" i="65" s="1"/>
  <c r="A103" i="65" s="1"/>
  <c r="A104" i="65" s="1"/>
  <c r="A105" i="65" s="1"/>
  <c r="A106" i="65" s="1"/>
  <c r="A107" i="65" s="1"/>
  <c r="A108" i="65" s="1"/>
  <c r="A109" i="65" s="1"/>
  <c r="A110" i="65" s="1"/>
  <c r="A111" i="65" s="1"/>
  <c r="A112" i="65" s="1"/>
  <c r="A113" i="65" s="1"/>
  <c r="A114" i="65" s="1"/>
  <c r="A115" i="65" s="1"/>
  <c r="A116" i="65" s="1"/>
  <c r="A117" i="65" s="1"/>
  <c r="A118" i="65" s="1"/>
  <c r="A119" i="65" s="1"/>
  <c r="A120" i="65" s="1"/>
  <c r="A121" i="65" s="1"/>
  <c r="A122" i="65" s="1"/>
  <c r="B133" i="65"/>
  <c r="D17" i="56"/>
  <c r="B9" i="65"/>
  <c r="F75" i="65"/>
  <c r="K83" i="1"/>
  <c r="E15" i="2"/>
  <c r="A15" i="2"/>
  <c r="H60" i="8"/>
  <c r="H15" i="8"/>
  <c r="A26" i="26"/>
  <c r="A27" i="26" s="1"/>
  <c r="A28" i="26" s="1"/>
  <c r="G25" i="26"/>
  <c r="C147" i="46"/>
  <c r="D147" i="46"/>
  <c r="D193" i="46"/>
  <c r="A25" i="71"/>
  <c r="A26" i="71" s="1"/>
  <c r="A33" i="44"/>
  <c r="B48" i="44" s="1"/>
  <c r="G64" i="44"/>
  <c r="A18" i="8"/>
  <c r="G22" i="32"/>
  <c r="A84" i="46"/>
  <c r="A85" i="46" s="1"/>
  <c r="A86" i="46" s="1"/>
  <c r="A87" i="46" s="1"/>
  <c r="A37" i="7"/>
  <c r="A38" i="7" s="1"/>
  <c r="A39" i="7" s="1"/>
  <c r="A40" i="7" s="1"/>
  <c r="A41" i="7" s="1"/>
  <c r="A42" i="7" s="1"/>
  <c r="A43" i="7" s="1"/>
  <c r="A44" i="7" s="1"/>
  <c r="A45" i="7" s="1"/>
  <c r="A46" i="7" s="1"/>
  <c r="A54" i="12"/>
  <c r="B40" i="31"/>
  <c r="B35" i="31"/>
  <c r="A10" i="31"/>
  <c r="A22" i="1"/>
  <c r="A23" i="1" s="1"/>
  <c r="A24" i="1" s="1"/>
  <c r="I34" i="1" s="1"/>
  <c r="A48" i="11"/>
  <c r="H41" i="12" s="1"/>
  <c r="A18" i="56"/>
  <c r="A19" i="56" s="1"/>
  <c r="A20" i="56" s="1"/>
  <c r="A26" i="22"/>
  <c r="I15" i="1" s="1"/>
  <c r="G26" i="22"/>
  <c r="A29" i="32"/>
  <c r="A30" i="32" s="1"/>
  <c r="A34" i="32" s="1"/>
  <c r="A26" i="17"/>
  <c r="A27" i="17" s="1"/>
  <c r="A28" i="17" s="1"/>
  <c r="A29" i="17" s="1"/>
  <c r="B132" i="65" l="1"/>
  <c r="G33" i="57"/>
  <c r="G73" i="44"/>
  <c r="I86" i="64"/>
  <c r="A34" i="57"/>
  <c r="A35" i="57" s="1"/>
  <c r="A36" i="57" s="1"/>
  <c r="A37" i="57" s="1"/>
  <c r="A38" i="57" s="1"/>
  <c r="A39" i="57" s="1"/>
  <c r="A40" i="57" s="1"/>
  <c r="A41" i="57" s="1"/>
  <c r="A42" i="57" s="1"/>
  <c r="A43" i="57" s="1"/>
  <c r="A44" i="57" s="1"/>
  <c r="A45" i="57" s="1"/>
  <c r="G40" i="57"/>
  <c r="I148" i="1"/>
  <c r="A47" i="7"/>
  <c r="A48" i="7" s="1"/>
  <c r="G26" i="26"/>
  <c r="G50" i="22"/>
  <c r="F28" i="54"/>
  <c r="G60" i="21"/>
  <c r="G62" i="4"/>
  <c r="G54" i="22"/>
  <c r="G24" i="22"/>
  <c r="G53" i="21"/>
  <c r="G57" i="4"/>
  <c r="I55" i="1"/>
  <c r="A16" i="2"/>
  <c r="A17" i="2" s="1"/>
  <c r="A18" i="2" s="1"/>
  <c r="A19" i="2" s="1"/>
  <c r="A20" i="2" s="1"/>
  <c r="A21" i="2" s="1"/>
  <c r="A22" i="2" s="1"/>
  <c r="G30" i="32"/>
  <c r="G45" i="57"/>
  <c r="G43" i="57"/>
  <c r="G27" i="26"/>
  <c r="A55" i="12"/>
  <c r="A56" i="12" s="1"/>
  <c r="A57" i="12" s="1"/>
  <c r="A58" i="12" s="1"/>
  <c r="A59" i="12" s="1"/>
  <c r="H62" i="8" s="1"/>
  <c r="B185" i="71"/>
  <c r="B188" i="71"/>
  <c r="F26" i="71"/>
  <c r="A49" i="7"/>
  <c r="A50" i="7" s="1"/>
  <c r="A51" i="7" s="1"/>
  <c r="A52" i="7" s="1"/>
  <c r="A53" i="7" s="1"/>
  <c r="A54" i="7" s="1"/>
  <c r="A55" i="7" s="1"/>
  <c r="F64" i="71"/>
  <c r="A31" i="71"/>
  <c r="A32" i="71" s="1"/>
  <c r="A27" i="22"/>
  <c r="H12" i="8" s="1"/>
  <c r="A26" i="1"/>
  <c r="A30" i="17"/>
  <c r="A68" i="8"/>
  <c r="G68" i="8"/>
  <c r="H64" i="8"/>
  <c r="A35" i="32"/>
  <c r="A36" i="32" s="1"/>
  <c r="A40" i="32" s="1"/>
  <c r="A21" i="56"/>
  <c r="A22" i="56" s="1"/>
  <c r="A23" i="56" s="1"/>
  <c r="A24" i="56" s="1"/>
  <c r="A25" i="56" s="1"/>
  <c r="A26" i="56" s="1"/>
  <c r="A49" i="11"/>
  <c r="A50" i="11" s="1"/>
  <c r="A51" i="11" s="1"/>
  <c r="A60" i="11" s="1"/>
  <c r="I24" i="1"/>
  <c r="B41" i="31"/>
  <c r="B36" i="31"/>
  <c r="A18" i="31"/>
  <c r="E40" i="7"/>
  <c r="A97" i="46"/>
  <c r="A98" i="46" s="1"/>
  <c r="A99" i="46" s="1"/>
  <c r="A100" i="46" s="1"/>
  <c r="A101" i="46" s="1"/>
  <c r="A102" i="46" s="1"/>
  <c r="A103" i="46" s="1"/>
  <c r="A104" i="46" s="1"/>
  <c r="A105" i="46" s="1"/>
  <c r="A106" i="46" s="1"/>
  <c r="A107" i="46" s="1"/>
  <c r="A108" i="46" s="1"/>
  <c r="A109" i="46" s="1"/>
  <c r="A110" i="46" s="1"/>
  <c r="A111" i="46" s="1"/>
  <c r="A112" i="46" s="1"/>
  <c r="A113" i="46" s="1"/>
  <c r="A114" i="46" s="1"/>
  <c r="A115" i="46" s="1"/>
  <c r="A116" i="46" s="1"/>
  <c r="A117" i="46" s="1"/>
  <c r="A118" i="46" s="1"/>
  <c r="A119" i="46" s="1"/>
  <c r="A120" i="46" s="1"/>
  <c r="A121" i="46" s="1"/>
  <c r="A122" i="46" s="1"/>
  <c r="A123" i="46" s="1"/>
  <c r="A124" i="46" s="1"/>
  <c r="A125" i="46" s="1"/>
  <c r="A126" i="46" s="1"/>
  <c r="A127" i="46" s="1"/>
  <c r="A128" i="46" s="1"/>
  <c r="A129" i="46" s="1"/>
  <c r="A130" i="46" s="1"/>
  <c r="A131" i="46" s="1"/>
  <c r="A132" i="46" s="1"/>
  <c r="A133" i="46" s="1"/>
  <c r="A134" i="46" s="1"/>
  <c r="A135" i="46" s="1"/>
  <c r="A136" i="46" s="1"/>
  <c r="A137" i="46" s="1"/>
  <c r="A138" i="46" s="1"/>
  <c r="A139" i="46" s="1"/>
  <c r="A140" i="46" s="1"/>
  <c r="A141" i="46" s="1"/>
  <c r="A142" i="46" s="1"/>
  <c r="A143" i="46" s="1"/>
  <c r="A144" i="46" s="1"/>
  <c r="A145" i="46" s="1"/>
  <c r="A146" i="46" s="1"/>
  <c r="A147" i="46" s="1"/>
  <c r="A148" i="46" s="1"/>
  <c r="A149" i="46" s="1"/>
  <c r="A19" i="8"/>
  <c r="A20" i="8" s="1"/>
  <c r="A21" i="8" s="1"/>
  <c r="A34" i="44"/>
  <c r="G80" i="44"/>
  <c r="A29" i="26"/>
  <c r="G29" i="26"/>
  <c r="A28" i="1" l="1"/>
  <c r="A30" i="1" s="1"/>
  <c r="A32" i="1" s="1"/>
  <c r="A34" i="1" s="1"/>
  <c r="I115" i="1" s="1"/>
  <c r="I35" i="1"/>
  <c r="A33" i="71"/>
  <c r="A34" i="71" s="1"/>
  <c r="F65" i="71" s="1"/>
  <c r="C36" i="71"/>
  <c r="A46" i="57"/>
  <c r="A47" i="57" s="1"/>
  <c r="G9" i="31"/>
  <c r="G10" i="31"/>
  <c r="H54" i="12"/>
  <c r="F68" i="12"/>
  <c r="E48" i="7"/>
  <c r="E23" i="2"/>
  <c r="A23" i="2"/>
  <c r="B109" i="12"/>
  <c r="A68" i="12"/>
  <c r="A19" i="31"/>
  <c r="A20" i="31" s="1"/>
  <c r="A22" i="31" s="1"/>
  <c r="A56" i="7"/>
  <c r="A57" i="7" s="1"/>
  <c r="A58" i="7" s="1"/>
  <c r="A59" i="7" s="1"/>
  <c r="A60" i="7" s="1"/>
  <c r="A61" i="7" s="1"/>
  <c r="E55" i="7" s="1"/>
  <c r="B189" i="71"/>
  <c r="B186" i="71"/>
  <c r="A35" i="71"/>
  <c r="A36" i="71" s="1"/>
  <c r="A23" i="8"/>
  <c r="H29" i="8"/>
  <c r="A30" i="26"/>
  <c r="I125" i="1" s="1"/>
  <c r="G30" i="26"/>
  <c r="H21" i="8"/>
  <c r="D26" i="56"/>
  <c r="G36" i="32"/>
  <c r="A69" i="8"/>
  <c r="A31" i="17"/>
  <c r="A39" i="1"/>
  <c r="A34" i="22"/>
  <c r="A41" i="44"/>
  <c r="A42" i="44" s="1"/>
  <c r="A157" i="46"/>
  <c r="A158" i="46" s="1"/>
  <c r="A159" i="46" s="1"/>
  <c r="A160" i="46" s="1"/>
  <c r="A161" i="46" s="1"/>
  <c r="A162" i="46" s="1"/>
  <c r="A163" i="46" s="1"/>
  <c r="A164" i="46" s="1"/>
  <c r="A165" i="46" s="1"/>
  <c r="A166" i="46" s="1"/>
  <c r="A167" i="46" s="1"/>
  <c r="A24" i="31"/>
  <c r="A27" i="31" s="1"/>
  <c r="A61" i="11"/>
  <c r="A27" i="56"/>
  <c r="A28" i="56" s="1"/>
  <c r="D28" i="56"/>
  <c r="A41" i="32"/>
  <c r="A42" i="32" s="1"/>
  <c r="J119" i="46" l="1"/>
  <c r="J118" i="46"/>
  <c r="J117" i="46"/>
  <c r="J116" i="46"/>
  <c r="E20" i="2"/>
  <c r="A37" i="71"/>
  <c r="F34" i="71"/>
  <c r="A168" i="46"/>
  <c r="A169" i="46" s="1"/>
  <c r="A170" i="46" s="1"/>
  <c r="G40" i="32"/>
  <c r="G14" i="32"/>
  <c r="G34" i="32"/>
  <c r="G28" i="32"/>
  <c r="G20" i="32"/>
  <c r="H55" i="12"/>
  <c r="F69" i="12"/>
  <c r="A35" i="22"/>
  <c r="A36" i="22" s="1"/>
  <c r="A37" i="22" s="1"/>
  <c r="A38" i="22" s="1"/>
  <c r="A39" i="22" s="1"/>
  <c r="A40" i="22" s="1"/>
  <c r="A41" i="22" s="1"/>
  <c r="A42" i="22" s="1"/>
  <c r="A43" i="22" s="1"/>
  <c r="A44" i="22" s="1"/>
  <c r="A45" i="22" s="1"/>
  <c r="A46" i="22" s="1"/>
  <c r="G49" i="22" s="1"/>
  <c r="A24" i="2"/>
  <c r="A70" i="8"/>
  <c r="G42" i="32"/>
  <c r="A34" i="56"/>
  <c r="A35" i="56" s="1"/>
  <c r="A36" i="56" s="1"/>
  <c r="B150" i="65"/>
  <c r="E63" i="7"/>
  <c r="A69" i="12"/>
  <c r="A70" i="12" s="1"/>
  <c r="A71" i="12" s="1"/>
  <c r="A81" i="12" s="1"/>
  <c r="A82" i="12" s="1"/>
  <c r="A83" i="12" s="1"/>
  <c r="A84" i="12" s="1"/>
  <c r="A85" i="12" s="1"/>
  <c r="A86" i="12" s="1"/>
  <c r="B38" i="31"/>
  <c r="H27" i="31"/>
  <c r="A62" i="7"/>
  <c r="A63" i="7" s="1"/>
  <c r="E59" i="7"/>
  <c r="A38" i="71"/>
  <c r="A41" i="71" s="1"/>
  <c r="A46" i="71" s="1"/>
  <c r="A47" i="71" s="1"/>
  <c r="A48" i="71" s="1"/>
  <c r="A37" i="56"/>
  <c r="A38" i="56" s="1"/>
  <c r="B97" i="44"/>
  <c r="A43" i="44"/>
  <c r="A37" i="26"/>
  <c r="G77" i="26" s="1"/>
  <c r="A62" i="11"/>
  <c r="B171" i="46"/>
  <c r="B98" i="44"/>
  <c r="A40" i="1"/>
  <c r="A41" i="1" s="1"/>
  <c r="A32" i="17"/>
  <c r="G70" i="8"/>
  <c r="A24" i="8"/>
  <c r="G91" i="12" s="1"/>
  <c r="I124" i="1" l="1"/>
  <c r="A171" i="46"/>
  <c r="E7" i="2"/>
  <c r="F70" i="12"/>
  <c r="H56" i="12"/>
  <c r="E64" i="7"/>
  <c r="E69" i="7"/>
  <c r="E25" i="2"/>
  <c r="A25" i="2"/>
  <c r="A71" i="8"/>
  <c r="A72" i="8" s="1"/>
  <c r="A73" i="8" s="1"/>
  <c r="H14" i="65" s="1"/>
  <c r="A25" i="8"/>
  <c r="H30" i="8" s="1"/>
  <c r="G53" i="22"/>
  <c r="A64" i="7"/>
  <c r="A65" i="7" s="1"/>
  <c r="B154" i="65"/>
  <c r="B110" i="12"/>
  <c r="A90" i="12"/>
  <c r="I41" i="1"/>
  <c r="A53" i="71"/>
  <c r="A54" i="71" s="1"/>
  <c r="A55" i="71" s="1"/>
  <c r="F66" i="71"/>
  <c r="A33" i="17"/>
  <c r="A34" i="17" s="1"/>
  <c r="A35" i="17" s="1"/>
  <c r="A36" i="17" s="1"/>
  <c r="A37" i="17" s="1"/>
  <c r="A38" i="17" s="1"/>
  <c r="A39" i="17" s="1"/>
  <c r="A40" i="17" s="1"/>
  <c r="A41" i="17" s="1"/>
  <c r="A42" i="17" s="1"/>
  <c r="A43" i="17" s="1"/>
  <c r="A44" i="17" s="1"/>
  <c r="A45" i="17" s="1"/>
  <c r="A46" i="17" s="1"/>
  <c r="A47" i="17" s="1"/>
  <c r="A48" i="17" s="1"/>
  <c r="A49" i="17" s="1"/>
  <c r="A50" i="17" s="1"/>
  <c r="A51" i="17" s="1"/>
  <c r="G44" i="44"/>
  <c r="A44" i="44"/>
  <c r="A43" i="1"/>
  <c r="A44" i="1" s="1"/>
  <c r="A49" i="22"/>
  <c r="A63" i="11"/>
  <c r="A64" i="11" s="1"/>
  <c r="A65" i="11" s="1"/>
  <c r="A72" i="11" s="1"/>
  <c r="A73" i="11" s="1"/>
  <c r="A74" i="11" s="1"/>
  <c r="A75" i="11" s="1"/>
  <c r="A76" i="11" s="1"/>
  <c r="A77" i="11" s="1"/>
  <c r="A78" i="11" s="1"/>
  <c r="A79" i="11" s="1"/>
  <c r="A80" i="11" s="1"/>
  <c r="A81" i="11" s="1"/>
  <c r="A82" i="11" s="1"/>
  <c r="A83" i="11" s="1"/>
  <c r="A84" i="11" s="1"/>
  <c r="A38" i="26"/>
  <c r="A39" i="26" s="1"/>
  <c r="A40" i="26" s="1"/>
  <c r="A41" i="26" s="1"/>
  <c r="A42" i="26" s="1"/>
  <c r="A43" i="26" s="1"/>
  <c r="C78" i="26" s="1"/>
  <c r="A39" i="56"/>
  <c r="A40" i="56" s="1"/>
  <c r="A26" i="2" l="1"/>
  <c r="A27" i="2" s="1"/>
  <c r="A28" i="2" s="1"/>
  <c r="G73" i="8"/>
  <c r="G72" i="8"/>
  <c r="E65" i="7"/>
  <c r="D40" i="56"/>
  <c r="A66" i="7"/>
  <c r="A67" i="7" s="1"/>
  <c r="A68" i="7" s="1"/>
  <c r="A69" i="7" s="1"/>
  <c r="A70" i="7" s="1"/>
  <c r="A50" i="22"/>
  <c r="A51" i="22" s="1"/>
  <c r="H13" i="8" s="1"/>
  <c r="A91" i="12"/>
  <c r="A92" i="12" s="1"/>
  <c r="H46" i="11"/>
  <c r="H47" i="11"/>
  <c r="H48" i="11"/>
  <c r="A52" i="17"/>
  <c r="A53" i="17" s="1"/>
  <c r="A54" i="17" s="1"/>
  <c r="A55" i="17" s="1"/>
  <c r="E14" i="17"/>
  <c r="A56" i="71"/>
  <c r="A57" i="71" s="1"/>
  <c r="F67" i="71"/>
  <c r="A41" i="56"/>
  <c r="A42" i="56" s="1"/>
  <c r="E21" i="2" s="1"/>
  <c r="D42" i="56"/>
  <c r="A85" i="11"/>
  <c r="G86" i="44"/>
  <c r="A55" i="44"/>
  <c r="A44" i="26"/>
  <c r="A45" i="1"/>
  <c r="E46" i="17"/>
  <c r="A53" i="22" l="1"/>
  <c r="A64" i="71"/>
  <c r="F48" i="71"/>
  <c r="F55" i="71"/>
  <c r="I283" i="15"/>
  <c r="I171" i="15"/>
  <c r="I137" i="15"/>
  <c r="E28" i="2"/>
  <c r="A29" i="2"/>
  <c r="A30" i="2" s="1"/>
  <c r="A31" i="2" s="1"/>
  <c r="A32" i="2" s="1"/>
  <c r="A33" i="2" s="1"/>
  <c r="I40" i="1"/>
  <c r="G28" i="26"/>
  <c r="C57" i="17"/>
  <c r="A56" i="17"/>
  <c r="A57" i="17" s="1"/>
  <c r="A58" i="17" s="1"/>
  <c r="G92" i="12"/>
  <c r="A71" i="7"/>
  <c r="E71" i="7"/>
  <c r="A45" i="26"/>
  <c r="A46" i="26" s="1"/>
  <c r="A47" i="26" s="1"/>
  <c r="A48" i="26" s="1"/>
  <c r="A49" i="26" s="1"/>
  <c r="A50" i="26" s="1"/>
  <c r="C72" i="26"/>
  <c r="A54" i="22"/>
  <c r="A55" i="22" s="1"/>
  <c r="I16" i="1" s="1"/>
  <c r="G51" i="22"/>
  <c r="A93" i="12"/>
  <c r="A94" i="12" s="1"/>
  <c r="G98" i="12" s="1"/>
  <c r="A94" i="11"/>
  <c r="H61" i="11"/>
  <c r="H60" i="11"/>
  <c r="H62" i="11"/>
  <c r="A95" i="11"/>
  <c r="A96" i="11" s="1"/>
  <c r="A97" i="11" s="1"/>
  <c r="A98" i="11" s="1"/>
  <c r="A99" i="11" s="1"/>
  <c r="A100" i="11" s="1"/>
  <c r="A101" i="11" s="1"/>
  <c r="A102" i="11" s="1"/>
  <c r="A103" i="11" s="1"/>
  <c r="A104" i="11" s="1"/>
  <c r="A105" i="11" s="1"/>
  <c r="A106" i="11" s="1"/>
  <c r="A107" i="11" s="1"/>
  <c r="A117" i="11" s="1"/>
  <c r="A65" i="71"/>
  <c r="E47" i="17"/>
  <c r="A56" i="44"/>
  <c r="A57" i="44" s="1"/>
  <c r="G59" i="44" s="1"/>
  <c r="A46" i="1"/>
  <c r="A47" i="1" s="1"/>
  <c r="A48" i="1" s="1"/>
  <c r="A72" i="7" l="1"/>
  <c r="A73" i="7" s="1"/>
  <c r="A74" i="7" s="1"/>
  <c r="A75" i="7" s="1"/>
  <c r="A76" i="7" s="1"/>
  <c r="A77" i="7" s="1"/>
  <c r="A78" i="7" s="1"/>
  <c r="A79" i="7" s="1"/>
  <c r="A80" i="7" s="1"/>
  <c r="A81" i="7" s="1"/>
  <c r="A82" i="7" s="1"/>
  <c r="A83" i="7" s="1"/>
  <c r="A84" i="7" s="1"/>
  <c r="A85" i="7" s="1"/>
  <c r="A86" i="7" s="1"/>
  <c r="E73" i="7"/>
  <c r="B174" i="4"/>
  <c r="A118" i="11"/>
  <c r="A119" i="11" s="1"/>
  <c r="A120" i="11" s="1"/>
  <c r="A121" i="11" s="1"/>
  <c r="A122" i="11" s="1"/>
  <c r="A123" i="11" s="1"/>
  <c r="A124" i="11" s="1"/>
  <c r="A125" i="11" s="1"/>
  <c r="A126" i="11" s="1"/>
  <c r="A127" i="11" s="1"/>
  <c r="A128" i="11" s="1"/>
  <c r="A129" i="11" s="1"/>
  <c r="F69" i="11"/>
  <c r="A87" i="7"/>
  <c r="A88" i="7" s="1"/>
  <c r="A89" i="7" s="1"/>
  <c r="E88" i="7"/>
  <c r="E89" i="7"/>
  <c r="A34" i="2"/>
  <c r="A35" i="2" s="1"/>
  <c r="A36" i="2" s="1"/>
  <c r="C58" i="17"/>
  <c r="I53" i="1"/>
  <c r="G55" i="22"/>
  <c r="A98" i="12"/>
  <c r="G94" i="12"/>
  <c r="A137" i="11"/>
  <c r="A66" i="71"/>
  <c r="E79" i="7"/>
  <c r="I44" i="1"/>
  <c r="A58" i="44"/>
  <c r="A59" i="44" s="1"/>
  <c r="G65" i="44"/>
  <c r="A49" i="1"/>
  <c r="A50" i="1" s="1"/>
  <c r="A51" i="1" s="1"/>
  <c r="A52" i="1" s="1"/>
  <c r="C55" i="17" s="1"/>
  <c r="E48" i="17"/>
  <c r="A138" i="11" l="1"/>
  <c r="A139" i="11" s="1"/>
  <c r="A140" i="11" s="1"/>
  <c r="A141" i="11" s="1"/>
  <c r="A142" i="11" s="1"/>
  <c r="A143" i="11" s="1"/>
  <c r="A144" i="11" s="1"/>
  <c r="A145" i="11" s="1"/>
  <c r="A146" i="11" s="1"/>
  <c r="A147" i="11" s="1"/>
  <c r="A148" i="11" s="1"/>
  <c r="A149" i="11" s="1"/>
  <c r="A157" i="11" s="1"/>
  <c r="A90" i="7"/>
  <c r="A91" i="7" s="1"/>
  <c r="I147" i="1" s="1"/>
  <c r="G89" i="44"/>
  <c r="E35" i="2"/>
  <c r="E36" i="2"/>
  <c r="A37" i="2"/>
  <c r="A38" i="2" s="1"/>
  <c r="A39" i="2" s="1"/>
  <c r="J100" i="46"/>
  <c r="J101" i="46"/>
  <c r="J99" i="46"/>
  <c r="A99" i="12"/>
  <c r="A100" i="12" s="1"/>
  <c r="A101" i="12" s="1"/>
  <c r="A53" i="1"/>
  <c r="A54" i="1" s="1"/>
  <c r="I52" i="1"/>
  <c r="A67" i="71"/>
  <c r="B183" i="71" s="1"/>
  <c r="E91" i="7"/>
  <c r="E80" i="7"/>
  <c r="E86" i="7"/>
  <c r="E49" i="17"/>
  <c r="E84" i="7"/>
  <c r="G78" i="44"/>
  <c r="A64" i="44"/>
  <c r="B187" i="71" l="1"/>
  <c r="B190" i="71"/>
  <c r="H69" i="11"/>
  <c r="A158" i="11"/>
  <c r="A159" i="11" s="1"/>
  <c r="A160" i="11" s="1"/>
  <c r="A161" i="11" s="1"/>
  <c r="A162" i="11" s="1"/>
  <c r="A163" i="11" s="1"/>
  <c r="A164" i="11" s="1"/>
  <c r="A165" i="11" s="1"/>
  <c r="A166" i="11" s="1"/>
  <c r="A167" i="11" s="1"/>
  <c r="A168" i="11" s="1"/>
  <c r="A169" i="11" s="1"/>
  <c r="A176" i="11" s="1"/>
  <c r="A177" i="11" s="1"/>
  <c r="A178" i="11" s="1"/>
  <c r="A179" i="11" s="1"/>
  <c r="A180" i="11" s="1"/>
  <c r="A181" i="11" s="1"/>
  <c r="A182" i="11" s="1"/>
  <c r="A183" i="11" s="1"/>
  <c r="A184" i="11" s="1"/>
  <c r="A185" i="11" s="1"/>
  <c r="A186" i="11" s="1"/>
  <c r="A187" i="11" s="1"/>
  <c r="A188" i="11" s="1"/>
  <c r="A195" i="11" s="1"/>
  <c r="A196" i="11" s="1"/>
  <c r="A197" i="11" s="1"/>
  <c r="A198" i="11" s="1"/>
  <c r="A199" i="11" s="1"/>
  <c r="A200" i="11" s="1"/>
  <c r="A201" i="11" s="1"/>
  <c r="A202" i="11" s="1"/>
  <c r="A203" i="11" s="1"/>
  <c r="A204" i="11" s="1"/>
  <c r="A205" i="11" s="1"/>
  <c r="A206" i="11" s="1"/>
  <c r="A207" i="11" s="1"/>
  <c r="A214" i="11" s="1"/>
  <c r="A215" i="11" s="1"/>
  <c r="A216" i="11" s="1"/>
  <c r="A217" i="11" s="1"/>
  <c r="A218" i="11" s="1"/>
  <c r="A219" i="11" s="1"/>
  <c r="A220" i="11" s="1"/>
  <c r="A221" i="11" s="1"/>
  <c r="A222" i="11" s="1"/>
  <c r="A223" i="11" s="1"/>
  <c r="A224" i="11" s="1"/>
  <c r="A225" i="11" s="1"/>
  <c r="A226" i="11" s="1"/>
  <c r="A233" i="11" s="1"/>
  <c r="A234" i="11" s="1"/>
  <c r="A235" i="11" s="1"/>
  <c r="A236" i="11" s="1"/>
  <c r="A237" i="11" s="1"/>
  <c r="A238" i="11" s="1"/>
  <c r="A239" i="11" s="1"/>
  <c r="A240" i="11" s="1"/>
  <c r="A241" i="11" s="1"/>
  <c r="A242" i="11" s="1"/>
  <c r="A243" i="11" s="1"/>
  <c r="A244" i="11" s="1"/>
  <c r="A245" i="11" s="1"/>
  <c r="A252" i="11" s="1"/>
  <c r="A253" i="11" s="1"/>
  <c r="A254" i="11" s="1"/>
  <c r="A255" i="11" s="1"/>
  <c r="A256" i="11" s="1"/>
  <c r="A257" i="11" s="1"/>
  <c r="A258" i="11" s="1"/>
  <c r="A259" i="11" s="1"/>
  <c r="A260" i="11" s="1"/>
  <c r="A261" i="11" s="1"/>
  <c r="A262" i="11" s="1"/>
  <c r="A263" i="11" s="1"/>
  <c r="A264" i="11" s="1"/>
  <c r="A271" i="11" s="1"/>
  <c r="A272" i="11" s="1"/>
  <c r="A273" i="11" s="1"/>
  <c r="A274" i="11" s="1"/>
  <c r="A275" i="11" s="1"/>
  <c r="A276" i="11" s="1"/>
  <c r="A277" i="11" s="1"/>
  <c r="A278" i="11" s="1"/>
  <c r="A279" i="11" s="1"/>
  <c r="A280" i="11" s="1"/>
  <c r="A281" i="11" s="1"/>
  <c r="A282" i="11" s="1"/>
  <c r="A283" i="11" s="1"/>
  <c r="A290" i="11" s="1"/>
  <c r="A291" i="11" s="1"/>
  <c r="A292" i="11" s="1"/>
  <c r="A293" i="11" s="1"/>
  <c r="A294" i="11" s="1"/>
  <c r="A295" i="11" s="1"/>
  <c r="A296" i="11" s="1"/>
  <c r="A297" i="11" s="1"/>
  <c r="A298" i="11" s="1"/>
  <c r="A299" i="11" s="1"/>
  <c r="A300" i="11" s="1"/>
  <c r="A301" i="11" s="1"/>
  <c r="A302" i="11" s="1"/>
  <c r="A307" i="11" s="1"/>
  <c r="A308" i="11" s="1"/>
  <c r="A40" i="2"/>
  <c r="A41" i="2" s="1"/>
  <c r="A42" i="2" s="1"/>
  <c r="I54" i="1"/>
  <c r="G101" i="12"/>
  <c r="A55" i="1"/>
  <c r="A56" i="1" s="1"/>
  <c r="A58" i="1" s="1"/>
  <c r="F137" i="71"/>
  <c r="A68" i="71"/>
  <c r="B184" i="71" s="1"/>
  <c r="A65" i="44"/>
  <c r="A66" i="44" s="1"/>
  <c r="A67" i="44" s="1"/>
  <c r="A68" i="44" s="1"/>
  <c r="A69" i="44" s="1"/>
  <c r="A70" i="44" s="1"/>
  <c r="G72" i="44" l="1"/>
  <c r="A71" i="44"/>
  <c r="A72" i="44" s="1"/>
  <c r="G69" i="11"/>
  <c r="G25" i="12"/>
  <c r="A309" i="11"/>
  <c r="A312" i="11" s="1"/>
  <c r="A313" i="11" s="1"/>
  <c r="G66" i="44"/>
  <c r="I58" i="1"/>
  <c r="E41" i="2"/>
  <c r="E42" i="2"/>
  <c r="A43" i="2"/>
  <c r="A44" i="2" s="1"/>
  <c r="A45" i="2" s="1"/>
  <c r="J105" i="46"/>
  <c r="I56" i="1"/>
  <c r="A69" i="71"/>
  <c r="A77" i="71" s="1"/>
  <c r="F69" i="71"/>
  <c r="E51" i="17"/>
  <c r="G79" i="44"/>
  <c r="I129" i="1"/>
  <c r="A63" i="1"/>
  <c r="A73" i="44" l="1"/>
  <c r="A74" i="44" s="1"/>
  <c r="G26" i="12"/>
  <c r="A314" i="11"/>
  <c r="A317" i="11" s="1"/>
  <c r="A318" i="11" s="1"/>
  <c r="A46" i="2"/>
  <c r="A47" i="2" s="1"/>
  <c r="A48" i="2" s="1"/>
  <c r="A78" i="71"/>
  <c r="A79" i="71" s="1"/>
  <c r="A80" i="71" s="1"/>
  <c r="A81" i="71" s="1"/>
  <c r="A82" i="71" s="1"/>
  <c r="A83" i="71" s="1"/>
  <c r="A84" i="71" s="1"/>
  <c r="A85" i="71" s="1"/>
  <c r="A86" i="71" s="1"/>
  <c r="A87" i="71" s="1"/>
  <c r="I88" i="71" s="1"/>
  <c r="A64" i="1"/>
  <c r="G74" i="44" l="1"/>
  <c r="G81" i="44"/>
  <c r="A77" i="44"/>
  <c r="A78" i="44" s="1"/>
  <c r="A79" i="44" s="1"/>
  <c r="A80" i="44" s="1"/>
  <c r="A81" i="44" s="1"/>
  <c r="A82" i="44" s="1"/>
  <c r="G27" i="12"/>
  <c r="A319" i="11"/>
  <c r="A320" i="11" s="1"/>
  <c r="A323" i="11" s="1"/>
  <c r="A324" i="11" s="1"/>
  <c r="A325" i="11" s="1"/>
  <c r="A326" i="11" s="1"/>
  <c r="A327" i="11" s="1"/>
  <c r="A330" i="11" s="1"/>
  <c r="A331" i="11" s="1"/>
  <c r="A332" i="11" s="1"/>
  <c r="A335" i="11" s="1"/>
  <c r="A336" i="11" s="1"/>
  <c r="A337" i="11" s="1"/>
  <c r="A340" i="11" s="1"/>
  <c r="A341" i="11" s="1"/>
  <c r="A342" i="11" s="1"/>
  <c r="A345" i="11" s="1"/>
  <c r="A346" i="11" s="1"/>
  <c r="A347" i="11" s="1"/>
  <c r="A350" i="11" s="1"/>
  <c r="A351" i="11" s="1"/>
  <c r="A352" i="11" s="1"/>
  <c r="A355" i="11" s="1"/>
  <c r="A356" i="11" s="1"/>
  <c r="A357" i="11" s="1"/>
  <c r="A360" i="11" s="1"/>
  <c r="A361" i="11" s="1"/>
  <c r="A362" i="11" s="1"/>
  <c r="A365" i="11" s="1"/>
  <c r="A366" i="11" s="1"/>
  <c r="A367" i="11" s="1"/>
  <c r="E47" i="2"/>
  <c r="E48" i="2"/>
  <c r="A49" i="2"/>
  <c r="A50" i="2" s="1"/>
  <c r="A51" i="2" s="1"/>
  <c r="J106" i="46"/>
  <c r="A88" i="71"/>
  <c r="A94" i="71" s="1"/>
  <c r="B192" i="71"/>
  <c r="A65" i="1"/>
  <c r="A86" i="44" l="1"/>
  <c r="A87" i="44" s="1"/>
  <c r="A88" i="44" s="1"/>
  <c r="A89" i="44" s="1"/>
  <c r="A90" i="44" s="1"/>
  <c r="A91" i="44" s="1"/>
  <c r="A92" i="44" s="1"/>
  <c r="I156" i="1" s="1"/>
  <c r="G87" i="44"/>
  <c r="G90" i="44"/>
  <c r="A52" i="2"/>
  <c r="A53" i="2" s="1"/>
  <c r="A54" i="2" s="1"/>
  <c r="B100" i="44"/>
  <c r="A95" i="71"/>
  <c r="A96" i="71" s="1"/>
  <c r="A97" i="71" s="1"/>
  <c r="A98" i="71" s="1"/>
  <c r="A99" i="71" s="1"/>
  <c r="A100" i="71" s="1"/>
  <c r="A101" i="71" s="1"/>
  <c r="A102" i="71" s="1"/>
  <c r="A103" i="71" s="1"/>
  <c r="A104" i="71" s="1"/>
  <c r="A105" i="71" s="1"/>
  <c r="A111" i="71" s="1"/>
  <c r="G92" i="44"/>
  <c r="A68" i="1"/>
  <c r="I83" i="1"/>
  <c r="E54" i="2" l="1"/>
  <c r="E53" i="2"/>
  <c r="A55" i="2"/>
  <c r="A56" i="2" s="1"/>
  <c r="A57" i="2" s="1"/>
  <c r="J139" i="46"/>
  <c r="J108" i="46"/>
  <c r="J140" i="46"/>
  <c r="J138" i="46"/>
  <c r="I105" i="71"/>
  <c r="A112" i="71"/>
  <c r="A113" i="71" s="1"/>
  <c r="F114" i="71" s="1"/>
  <c r="A69" i="1"/>
  <c r="A70" i="1" s="1"/>
  <c r="A58" i="2" l="1"/>
  <c r="A59" i="2" s="1"/>
  <c r="A60" i="2" s="1"/>
  <c r="F113" i="71"/>
  <c r="A114" i="71"/>
  <c r="A115" i="71" s="1"/>
  <c r="A120" i="71" s="1"/>
  <c r="F138" i="71"/>
  <c r="A73" i="1"/>
  <c r="I75" i="1" s="1"/>
  <c r="I84" i="1"/>
  <c r="E59" i="2" l="1"/>
  <c r="E60" i="2"/>
  <c r="A61" i="2"/>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J143" i="46"/>
  <c r="J109" i="46"/>
  <c r="F115" i="71"/>
  <c r="A121" i="71"/>
  <c r="A122" i="71" s="1"/>
  <c r="A123" i="71" s="1"/>
  <c r="A124" i="71" s="1"/>
  <c r="A125" i="71" s="1"/>
  <c r="A126" i="71" s="1"/>
  <c r="A127" i="71" s="1"/>
  <c r="A128" i="71" s="1"/>
  <c r="A129" i="71" s="1"/>
  <c r="A130" i="71" s="1"/>
  <c r="A131" i="71" s="1"/>
  <c r="A137" i="71" s="1"/>
  <c r="A75" i="1"/>
  <c r="I80" i="1" s="1"/>
  <c r="A138" i="71" l="1"/>
  <c r="A139" i="71" s="1"/>
  <c r="F131" i="71"/>
  <c r="B193" i="71"/>
  <c r="A78" i="1"/>
  <c r="I78" i="1"/>
  <c r="I79" i="1"/>
  <c r="F139" i="71" l="1"/>
  <c r="A140" i="71"/>
  <c r="A141" i="71" s="1"/>
  <c r="A142" i="71" s="1"/>
  <c r="A143" i="71" s="1"/>
  <c r="A144" i="71" s="1"/>
  <c r="A145" i="71" s="1"/>
  <c r="B37" i="31" s="1"/>
  <c r="A79" i="1"/>
  <c r="I88" i="1"/>
  <c r="A151" i="71" l="1"/>
  <c r="A152" i="71" s="1"/>
  <c r="A153" i="71" s="1"/>
  <c r="A154" i="71" s="1"/>
  <c r="A155" i="71" s="1"/>
  <c r="A156" i="71" s="1"/>
  <c r="A157" i="71" s="1"/>
  <c r="A158" i="71" s="1"/>
  <c r="A159" i="71" s="1"/>
  <c r="A160" i="71" s="1"/>
  <c r="A161" i="71" s="1"/>
  <c r="A162" i="71" s="1"/>
  <c r="A169" i="71" s="1"/>
  <c r="A170" i="71" s="1"/>
  <c r="A171" i="71" s="1"/>
  <c r="A172" i="71" s="1"/>
  <c r="A173" i="71" s="1"/>
  <c r="A174" i="71" s="1"/>
  <c r="A175" i="71" s="1"/>
  <c r="A176" i="71" s="1"/>
  <c r="A177" i="71" s="1"/>
  <c r="A178" i="71" s="1"/>
  <c r="A179" i="71" s="1"/>
  <c r="A180" i="71" s="1"/>
  <c r="F142" i="71"/>
  <c r="F145" i="71"/>
  <c r="F144" i="71"/>
  <c r="F143" i="71"/>
  <c r="A80" i="1"/>
  <c r="F97" i="8" s="1"/>
  <c r="I89" i="1"/>
  <c r="G93" i="12" l="1"/>
  <c r="I15" i="12"/>
  <c r="A83" i="1"/>
  <c r="A84" i="1" s="1"/>
  <c r="A85" i="1" s="1"/>
  <c r="I81" i="1"/>
  <c r="G100" i="12" l="1"/>
  <c r="F84" i="8"/>
  <c r="I90" i="1"/>
  <c r="E65" i="2"/>
  <c r="E66" i="2"/>
  <c r="A88" i="1"/>
  <c r="A89" i="1"/>
  <c r="F96" i="8" s="1"/>
  <c r="E21" i="7" l="1"/>
  <c r="F95" i="8"/>
  <c r="J121" i="46"/>
  <c r="A90" i="1"/>
  <c r="I93" i="1" s="1"/>
  <c r="E71" i="2" l="1"/>
  <c r="I91" i="1"/>
  <c r="A91" i="1"/>
  <c r="F25" i="71" l="1"/>
  <c r="E72" i="2"/>
  <c r="J122" i="46"/>
  <c r="A93" i="1"/>
  <c r="I95" i="1"/>
  <c r="F32" i="71" l="1"/>
  <c r="E22" i="7"/>
  <c r="I116" i="1"/>
  <c r="E77" i="2"/>
  <c r="A95" i="1"/>
  <c r="E78" i="2" l="1"/>
  <c r="J132" i="46"/>
  <c r="A100" i="1"/>
  <c r="I131" i="1"/>
  <c r="A101" i="1" l="1"/>
  <c r="A102" i="1" s="1"/>
  <c r="F33" i="71" l="1"/>
  <c r="I16" i="12"/>
  <c r="H43" i="8"/>
  <c r="E23" i="7"/>
  <c r="G56" i="44"/>
  <c r="I117" i="1"/>
  <c r="E84" i="2"/>
  <c r="E83" i="2"/>
  <c r="J133" i="46"/>
  <c r="I102" i="1"/>
  <c r="A105" i="1"/>
  <c r="E89" i="2" l="1"/>
  <c r="A106" i="1"/>
  <c r="A107" i="1" s="1"/>
  <c r="A108" i="1" s="1"/>
  <c r="I108" i="1" l="1"/>
  <c r="H44" i="8"/>
  <c r="I118" i="1"/>
  <c r="E90" i="2"/>
  <c r="J134" i="46"/>
  <c r="A110" i="1"/>
  <c r="A112" i="1" s="1"/>
  <c r="H45" i="8" s="1"/>
  <c r="I132" i="1" l="1"/>
  <c r="A124" i="1"/>
  <c r="I110" i="1"/>
  <c r="A125" i="1" l="1"/>
  <c r="H49" i="8" s="1"/>
  <c r="I17" i="1"/>
  <c r="E72" i="7"/>
  <c r="H48" i="8"/>
  <c r="E96" i="2"/>
  <c r="E95" i="2"/>
  <c r="J136" i="46"/>
  <c r="A126" i="1" l="1"/>
  <c r="H51" i="8" s="1"/>
  <c r="E101" i="2"/>
  <c r="A127" i="1"/>
  <c r="H52" i="8" s="1"/>
  <c r="E102" i="2" l="1"/>
  <c r="J141" i="46"/>
  <c r="A128" i="1"/>
  <c r="H53" i="8" s="1"/>
  <c r="A129" i="1" l="1"/>
  <c r="H54" i="8" s="1"/>
  <c r="E108" i="2" l="1"/>
  <c r="E107" i="2"/>
  <c r="J145" i="46"/>
  <c r="A130" i="1"/>
  <c r="H55" i="8" s="1"/>
  <c r="A131" i="1" l="1"/>
  <c r="A132" i="1" s="1"/>
  <c r="A133" i="1" s="1"/>
  <c r="H58" i="8" s="1"/>
  <c r="E113" i="2" l="1"/>
  <c r="E114" i="2"/>
  <c r="J161" i="46"/>
  <c r="A134" i="1"/>
  <c r="A135" i="1" l="1"/>
  <c r="I136" i="1" s="1"/>
  <c r="H59" i="8"/>
  <c r="A136" i="1"/>
  <c r="A138" i="1" s="1"/>
  <c r="A139" i="1" s="1"/>
  <c r="G88" i="44" s="1"/>
  <c r="I138" i="1" l="1"/>
  <c r="E70" i="7"/>
  <c r="I139" i="1"/>
  <c r="E120" i="2"/>
  <c r="E119" i="2"/>
  <c r="J162" i="46"/>
  <c r="A141" i="1"/>
  <c r="I146" i="1" s="1"/>
  <c r="I141" i="1"/>
  <c r="A146" i="1" l="1"/>
  <c r="A147" i="1" s="1"/>
  <c r="A148" i="1" s="1"/>
  <c r="A149" i="1" s="1"/>
  <c r="A150" i="1" s="1"/>
  <c r="A152" i="1" s="1"/>
  <c r="J163" i="46"/>
  <c r="E125" i="2" l="1"/>
  <c r="E126" i="2"/>
  <c r="A155" i="1"/>
  <c r="I155" i="1"/>
  <c r="I152" i="1"/>
  <c r="A156" i="1" l="1"/>
  <c r="A157" i="1" s="1"/>
  <c r="G4" i="31" s="1"/>
  <c r="I157" i="1" l="1"/>
</calcChain>
</file>

<file path=xl/comments1.xml><?xml version="1.0" encoding="utf-8"?>
<comments xmlns="http://schemas.openxmlformats.org/spreadsheetml/2006/main">
  <authors>
    <author>Kim, Jee Young</author>
  </authors>
  <commentList>
    <comment ref="A34" authorId="0" shapeId="0">
      <text>
        <r>
          <rPr>
            <b/>
            <sz val="9"/>
            <color indexed="81"/>
            <rFont val="Tahoma"/>
            <family val="2"/>
          </rPr>
          <t>Added 3 months to forecast</t>
        </r>
        <r>
          <rPr>
            <sz val="9"/>
            <color indexed="81"/>
            <rFont val="Tahoma"/>
            <family val="2"/>
          </rPr>
          <t xml:space="preserve">
</t>
        </r>
      </text>
    </comment>
  </commentList>
</comments>
</file>

<file path=xl/sharedStrings.xml><?xml version="1.0" encoding="utf-8"?>
<sst xmlns="http://schemas.openxmlformats.org/spreadsheetml/2006/main" count="8207" uniqueCount="2868">
  <si>
    <t>True-Up</t>
  </si>
  <si>
    <t>CWIP</t>
  </si>
  <si>
    <t>Balances</t>
  </si>
  <si>
    <t>In Service</t>
  </si>
  <si>
    <t>Total:</t>
  </si>
  <si>
    <t>Income Taxes</t>
  </si>
  <si>
    <t>Calculation of Components of Working Capital</t>
  </si>
  <si>
    <t xml:space="preserve">Prepayments is an allocated portion of Total Prepayments based </t>
  </si>
  <si>
    <t>Incentive</t>
  </si>
  <si>
    <t>ROE Adder</t>
  </si>
  <si>
    <t>13-Month Avg.</t>
  </si>
  <si>
    <t>Revenue Credits</t>
  </si>
  <si>
    <t>FERC</t>
  </si>
  <si>
    <t>Rate</t>
  </si>
  <si>
    <t>HV</t>
  </si>
  <si>
    <t>LV</t>
  </si>
  <si>
    <t>FICA</t>
  </si>
  <si>
    <t>Inputs are shaded yellow</t>
  </si>
  <si>
    <t>Forecast Period</t>
  </si>
  <si>
    <t>Monthly</t>
  </si>
  <si>
    <t>Retail</t>
  </si>
  <si>
    <t>Revenues</t>
  </si>
  <si>
    <t>in Revenue</t>
  </si>
  <si>
    <t>Interest</t>
  </si>
  <si>
    <t>Calculation of Components of Cost of Capital Rate</t>
  </si>
  <si>
    <t>Cost of Preferred Stock</t>
  </si>
  <si>
    <t>Debt</t>
  </si>
  <si>
    <t>Preferred Stock</t>
  </si>
  <si>
    <t>Equity</t>
  </si>
  <si>
    <t>True Up Adjustment</t>
  </si>
  <si>
    <t>Excess (-) or</t>
  </si>
  <si>
    <t>Shortfall (+)</t>
  </si>
  <si>
    <t>True Up Adjustment:</t>
  </si>
  <si>
    <t>SCE Records</t>
  </si>
  <si>
    <t>FF1 207.104g</t>
  </si>
  <si>
    <t>Apportionment</t>
  </si>
  <si>
    <t>Factor</t>
  </si>
  <si>
    <t>California</t>
  </si>
  <si>
    <t>New Mexico</t>
  </si>
  <si>
    <t>Arizona</t>
  </si>
  <si>
    <t>D.C.</t>
  </si>
  <si>
    <t>State</t>
  </si>
  <si>
    <t>Statutory</t>
  </si>
  <si>
    <t>1) Federal Income Tax rate</t>
  </si>
  <si>
    <t>Federal</t>
  </si>
  <si>
    <t>2) Composite State Income Tax Rate</t>
  </si>
  <si>
    <t>Fed Ins Cont Amt -- Current</t>
  </si>
  <si>
    <t>FICA/OASDI Emp Incntv.</t>
  </si>
  <si>
    <t>FICA/HIT Emp Incntv.</t>
  </si>
  <si>
    <t>Long-Term Debt Cost Percentage</t>
  </si>
  <si>
    <t>Preferred Stock Amount -- Account 204</t>
  </si>
  <si>
    <t>Cost of Preferred Stock -- Account 437</t>
  </si>
  <si>
    <t>Preferred Stock Cost Percentage</t>
  </si>
  <si>
    <t>Common Stock Equity Amount</t>
  </si>
  <si>
    <t>Less Preferred Stock Amount -- Account 204</t>
  </si>
  <si>
    <t>Total Capital</t>
  </si>
  <si>
    <t>Preferred Stock Amount</t>
  </si>
  <si>
    <t>Capital Percentages</t>
  </si>
  <si>
    <t>Common Stock Capital Percentage</t>
  </si>
  <si>
    <t>Weighted Cost of Long Term Debt</t>
  </si>
  <si>
    <t>Weighted Cost of Preferred Stock</t>
  </si>
  <si>
    <t>Weighted Cost of Common Stock</t>
  </si>
  <si>
    <t>Cost of Capital Rate</t>
  </si>
  <si>
    <t>Return on Capital: Rate Base times Cost of Capital Rate</t>
  </si>
  <si>
    <t>Network Upgrade Credits</t>
  </si>
  <si>
    <t>Network Upgrade Interest Expense</t>
  </si>
  <si>
    <t>Transmission Plant Allocation Factor</t>
  </si>
  <si>
    <t>Total General Plant</t>
  </si>
  <si>
    <t>Total Electric Miscellaneous Intangible Plant</t>
  </si>
  <si>
    <t>Electric Miscellaneous Intangible Plant</t>
  </si>
  <si>
    <t>Property Taxes</t>
  </si>
  <si>
    <t>Total Electric Payroll Tax Expense</t>
  </si>
  <si>
    <t>PRIOR YEAR TRANSMISSION REVENUE REQUIREMENT</t>
  </si>
  <si>
    <t>Prior Year</t>
  </si>
  <si>
    <t>Jan</t>
  </si>
  <si>
    <t>Feb</t>
  </si>
  <si>
    <t>Mar</t>
  </si>
  <si>
    <t>Apr</t>
  </si>
  <si>
    <t>Jun</t>
  </si>
  <si>
    <t>Jul</t>
  </si>
  <si>
    <t>Aug</t>
  </si>
  <si>
    <t>Sep</t>
  </si>
  <si>
    <t>Oct</t>
  </si>
  <si>
    <t>Nov</t>
  </si>
  <si>
    <t>Dec</t>
  </si>
  <si>
    <t>HV/LV</t>
  </si>
  <si>
    <t>---</t>
  </si>
  <si>
    <t>Revenue</t>
  </si>
  <si>
    <t>Prior Year Incentive Adder =</t>
  </si>
  <si>
    <t>Other Taxes</t>
  </si>
  <si>
    <t xml:space="preserve"> = LV Allocation Factor</t>
  </si>
  <si>
    <t xml:space="preserve"> = HV Allocation Factor</t>
  </si>
  <si>
    <t>SCE Retail Standby Rate Revenue</t>
  </si>
  <si>
    <t>TRR Values</t>
  </si>
  <si>
    <t>Average BOY/EOY Value:</t>
  </si>
  <si>
    <t>Beginning of year ("BOY") amount</t>
  </si>
  <si>
    <t>c) Income Taxes</t>
  </si>
  <si>
    <t>Return on Capital</t>
  </si>
  <si>
    <t xml:space="preserve">Enter positive </t>
  </si>
  <si>
    <t>Miscellaneous General Expense</t>
  </si>
  <si>
    <t>End of Year ("EOY") amount</t>
  </si>
  <si>
    <t>Working Capital</t>
  </si>
  <si>
    <t>Materials and Supplies</t>
  </si>
  <si>
    <t>Prepayments</t>
  </si>
  <si>
    <t>Transmission Wages and Salaries Allocation Factor</t>
  </si>
  <si>
    <t>Transmission Plant Allocation Factor:</t>
  </si>
  <si>
    <t>Prior Year TRR</t>
  </si>
  <si>
    <t>True-Up Adjustment</t>
  </si>
  <si>
    <t>Subtotal:</t>
  </si>
  <si>
    <t>Calculation of Accumulated Deferred Income Taxes</t>
  </si>
  <si>
    <t>Account</t>
  </si>
  <si>
    <t>Description</t>
  </si>
  <si>
    <t>O&amp;M Expense</t>
  </si>
  <si>
    <t>A&amp;G Salaries</t>
  </si>
  <si>
    <t>Office Supplies and Expenses</t>
  </si>
  <si>
    <t>A&amp;G Expenses Transferred</t>
  </si>
  <si>
    <t>Outside Services Employed</t>
  </si>
  <si>
    <t>Property Insurance</t>
  </si>
  <si>
    <t>Injuries and Damages</t>
  </si>
  <si>
    <t>Employee Pensions and Benefits</t>
  </si>
  <si>
    <t>Franchise Requirements</t>
  </si>
  <si>
    <t>Regulatory Commission Expenses</t>
  </si>
  <si>
    <t>Duplicate Charges</t>
  </si>
  <si>
    <t>General Advertising Expense</t>
  </si>
  <si>
    <t>Rents</t>
  </si>
  <si>
    <t>Maintenance of General Plant</t>
  </si>
  <si>
    <t>Acct.</t>
  </si>
  <si>
    <t>Excluded</t>
  </si>
  <si>
    <t>FF1 323.181b</t>
  </si>
  <si>
    <t>FF1 323.182b</t>
  </si>
  <si>
    <t>FF1 323.183b</t>
  </si>
  <si>
    <t>FF1 323.184b</t>
  </si>
  <si>
    <t>FF1 323.185b</t>
  </si>
  <si>
    <t>FF1 323.186b</t>
  </si>
  <si>
    <t>FF1 323.187b</t>
  </si>
  <si>
    <t>FF1 323.188b</t>
  </si>
  <si>
    <t>FF1 323.189b</t>
  </si>
  <si>
    <t>FF1 323.190b</t>
  </si>
  <si>
    <t>FF1 323.191b</t>
  </si>
  <si>
    <t>FF1 323.192b</t>
  </si>
  <si>
    <t>FF1 323.193b</t>
  </si>
  <si>
    <t>FF1 323.196b</t>
  </si>
  <si>
    <t>Total A&amp;G Expenses:</t>
  </si>
  <si>
    <t>Transmission Wages and Salaries Allocation Factor:</t>
  </si>
  <si>
    <t xml:space="preserve"> = Wholesale Base TRR</t>
  </si>
  <si>
    <t xml:space="preserve"> = Total Wholesale TRBAA</t>
  </si>
  <si>
    <t xml:space="preserve"> = HV Wholesale TRBAA</t>
  </si>
  <si>
    <t xml:space="preserve"> = LV Wholesale TRBAA</t>
  </si>
  <si>
    <t xml:space="preserve"> = Total Standby Transmission Revenues</t>
  </si>
  <si>
    <t>TOTAL</t>
  </si>
  <si>
    <t>Wholesale TRBAA:</t>
  </si>
  <si>
    <t>SCE's wholesale rates are as follows:</t>
  </si>
  <si>
    <t>1) Low Voltage Access Charge</t>
  </si>
  <si>
    <t>2) Low Voltage Wheeling Access Charge</t>
  </si>
  <si>
    <t>3) High Voltage Utility-Specific Rate</t>
  </si>
  <si>
    <t>4) HV Existing Contracts Access Charge</t>
  </si>
  <si>
    <t>5) LV Existing Contracts Access Charge</t>
  </si>
  <si>
    <t>Calculation of Low Voltage Access Charge:</t>
  </si>
  <si>
    <t>per kWh</t>
  </si>
  <si>
    <t>Calculation of Low Voltage Wheeling Access Charge:</t>
  </si>
  <si>
    <t>Calculation of High Voltage Utility Specific Rate:</t>
  </si>
  <si>
    <t>(used by ISO in billing of ISO TAC)</t>
  </si>
  <si>
    <t>SCE HV TRR =</t>
  </si>
  <si>
    <t>Calculation of High Voltage Existing Contracts Access Charge:</t>
  </si>
  <si>
    <t>MW</t>
  </si>
  <si>
    <t>Calculation of Low Voltage Existing Contracts Access Charge:</t>
  </si>
  <si>
    <t>Wholesale Base TRR:</t>
  </si>
  <si>
    <t>Determination of Incentive Adders Components of the TRR</t>
  </si>
  <si>
    <t>Negative amount</t>
  </si>
  <si>
    <t>Rate Base Item</t>
  </si>
  <si>
    <t>Method</t>
  </si>
  <si>
    <t>Calculation</t>
  </si>
  <si>
    <t>BOY/EOY Avg.</t>
  </si>
  <si>
    <t>EOY Value:</t>
  </si>
  <si>
    <t>Transmission Plant Held for Future Use</t>
  </si>
  <si>
    <t>2) Calculation of Prepayments</t>
  </si>
  <si>
    <t>Adjustment</t>
  </si>
  <si>
    <t>1) Calculation of Materials and Supplies</t>
  </si>
  <si>
    <t>FF1 111.57d</t>
  </si>
  <si>
    <t>FF1 111.57c</t>
  </si>
  <si>
    <t>Prepayments:</t>
  </si>
  <si>
    <t>Accumulated Depreciation Reserve</t>
  </si>
  <si>
    <t>Accumulated Deferred Income Taxes</t>
  </si>
  <si>
    <t>General Plant</t>
  </si>
  <si>
    <t>Accumulated Depreciation Reserve Balances</t>
  </si>
  <si>
    <t>Southern California Edison Company</t>
  </si>
  <si>
    <t>Formula Transmission Rate</t>
  </si>
  <si>
    <t>Notes</t>
  </si>
  <si>
    <t xml:space="preserve">FERC Form 1 Reference </t>
  </si>
  <si>
    <t>or Instruction</t>
  </si>
  <si>
    <t>Value</t>
  </si>
  <si>
    <t>Cash Working Capital</t>
  </si>
  <si>
    <t>Rate Base</t>
  </si>
  <si>
    <t>TRR Component</t>
  </si>
  <si>
    <t>Amount</t>
  </si>
  <si>
    <t>RATE BASE</t>
  </si>
  <si>
    <t>RETURN AND CAPITALIZATION CALCULATIONS</t>
  </si>
  <si>
    <t>INCOME TAXES</t>
  </si>
  <si>
    <t>Source</t>
  </si>
  <si>
    <t>December</t>
  </si>
  <si>
    <t>January</t>
  </si>
  <si>
    <t>February</t>
  </si>
  <si>
    <t>April</t>
  </si>
  <si>
    <t>May</t>
  </si>
  <si>
    <t xml:space="preserve">June </t>
  </si>
  <si>
    <t>July</t>
  </si>
  <si>
    <t>August</t>
  </si>
  <si>
    <t>September</t>
  </si>
  <si>
    <t xml:space="preserve">October </t>
  </si>
  <si>
    <t>November</t>
  </si>
  <si>
    <t>October</t>
  </si>
  <si>
    <t>Month</t>
  </si>
  <si>
    <t>Year</t>
  </si>
  <si>
    <t>Data</t>
  </si>
  <si>
    <t>March</t>
  </si>
  <si>
    <t>Total</t>
  </si>
  <si>
    <t>Totals:</t>
  </si>
  <si>
    <t>Forecast</t>
  </si>
  <si>
    <t>Period</t>
  </si>
  <si>
    <t>Transmission Wages and Salary Allocation Factor</t>
  </si>
  <si>
    <t>ADIT</t>
  </si>
  <si>
    <t>Calculation of Allocation Factors</t>
  </si>
  <si>
    <t xml:space="preserve">1) The Prior Year TRR component is the TRR associated with the Prior Year (most recent calendar year).  </t>
  </si>
  <si>
    <t>Cumulative</t>
  </si>
  <si>
    <t>Reference</t>
  </si>
  <si>
    <t>Bonds -- Account 221</t>
  </si>
  <si>
    <t>Less Reacquired Bonds -- Account 222</t>
  </si>
  <si>
    <t>Other Long Term Debt -- Account 224</t>
  </si>
  <si>
    <t>Long Term Debt Amount</t>
  </si>
  <si>
    <t>Amortization of Debt Discount and Expense -- Account 428</t>
  </si>
  <si>
    <t>Interest on Long-Term Debt -- Account 427</t>
  </si>
  <si>
    <t>Amortization of Loss on Reacquired Debt -- Account 428.1</t>
  </si>
  <si>
    <t>Enter negative</t>
  </si>
  <si>
    <t>Less Amort. of Gain on Reacquired Debt -- Account 429.1</t>
  </si>
  <si>
    <t>Total Proprietary Capital</t>
  </si>
  <si>
    <t>See Note 2</t>
  </si>
  <si>
    <t>See Note 1</t>
  </si>
  <si>
    <t>SCE Return on Equity</t>
  </si>
  <si>
    <t>Federal Income Tax Rate</t>
  </si>
  <si>
    <t>Used for Tax calculation</t>
  </si>
  <si>
    <t>Where:</t>
  </si>
  <si>
    <t>RB = Rate Base</t>
  </si>
  <si>
    <t>CTR = Composite Tax Rate</t>
  </si>
  <si>
    <t>CO = Credits and Other</t>
  </si>
  <si>
    <t>Annual Cost of Capital Components</t>
  </si>
  <si>
    <t>CWIP:</t>
  </si>
  <si>
    <t>Yes</t>
  </si>
  <si>
    <t>ROE adder:</t>
  </si>
  <si>
    <t>No</t>
  </si>
  <si>
    <t>Tehachapi</t>
  </si>
  <si>
    <t>Project</t>
  </si>
  <si>
    <t>1) Rancho Vista</t>
  </si>
  <si>
    <t>2) Tehachapi</t>
  </si>
  <si>
    <t>End-of-Year</t>
  </si>
  <si>
    <t>13-Month</t>
  </si>
  <si>
    <t>Average</t>
  </si>
  <si>
    <t>Notes:</t>
  </si>
  <si>
    <t>Franchise Fee Expense:</t>
  </si>
  <si>
    <t>From</t>
  </si>
  <si>
    <t>To</t>
  </si>
  <si>
    <t>FF Factor</t>
  </si>
  <si>
    <t>U Factor</t>
  </si>
  <si>
    <t>Note:</t>
  </si>
  <si>
    <t>Total Wages and Salaries</t>
  </si>
  <si>
    <t>Less Total A&amp;G Wages and Salaries</t>
  </si>
  <si>
    <t>Transmission W&amp;S Allocation Factor:</t>
  </si>
  <si>
    <t>CWIP Plant</t>
  </si>
  <si>
    <t>b) EOY calculation</t>
  </si>
  <si>
    <t>Total Prepayments</t>
  </si>
  <si>
    <t>Working Capital amounts</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</si>
  <si>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</si>
  <si>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</si>
  <si>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</si>
  <si>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</si>
  <si>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</si>
  <si>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Portion</t>
  </si>
  <si>
    <t>Depreciation Expense</t>
  </si>
  <si>
    <t>OTHER TAXES</t>
  </si>
  <si>
    <t>Payroll Taxes Expense</t>
  </si>
  <si>
    <t>Cost of Long Term Debt</t>
  </si>
  <si>
    <t>Long Term Debt Cost Percentage</t>
  </si>
  <si>
    <t>Long Term Debt Capital Percentage</t>
  </si>
  <si>
    <t>Preferred Stock Capital Percentage</t>
  </si>
  <si>
    <t>Composite Tax Rate</t>
  </si>
  <si>
    <t>State Income Tax Rate</t>
  </si>
  <si>
    <t>Calculation of Cost of Capital Rate</t>
  </si>
  <si>
    <t>Calculation of Credits and Other:</t>
  </si>
  <si>
    <t>Credits and Other</t>
  </si>
  <si>
    <t>Income Taxes:</t>
  </si>
  <si>
    <t>Component of Prior Year TRR:</t>
  </si>
  <si>
    <t>A&amp;G Expense</t>
  </si>
  <si>
    <t>Prior Year Incentive Adder</t>
  </si>
  <si>
    <t>TOTAL BASE TRANSMISSION REVENUE REQUIREMENT</t>
  </si>
  <si>
    <t>For Retail Purposes</t>
  </si>
  <si>
    <t>Calculation of Long Term Debt Amount</t>
  </si>
  <si>
    <t>Calculation of Cost of Long-Term Debt</t>
  </si>
  <si>
    <t>Calculation of Common Stock Equity Amount</t>
  </si>
  <si>
    <t>Less Amortization of Premium on Debt -- Account 429</t>
  </si>
  <si>
    <t>Forecast Plant Additions:</t>
  </si>
  <si>
    <t>AFCR:</t>
  </si>
  <si>
    <t>1) Calculation of Incremental Return on Equity Factor</t>
  </si>
  <si>
    <t>2) Determination of multiplicative factors for use in calculating Incentive Adders:</t>
  </si>
  <si>
    <t>3) Calculation of Prior Year Incentive Adder (EOY)</t>
  </si>
  <si>
    <t>Multiplicative</t>
  </si>
  <si>
    <t>Adder</t>
  </si>
  <si>
    <t>Working Capital Amounts</t>
  </si>
  <si>
    <t>Accumulated Depreciation Reserve Amounts</t>
  </si>
  <si>
    <t>True Up</t>
  </si>
  <si>
    <t>Calculation of Administrative and General Expense</t>
  </si>
  <si>
    <t>Income Tax Rate =</t>
  </si>
  <si>
    <t>Composite State</t>
  </si>
  <si>
    <t>See Note 3</t>
  </si>
  <si>
    <t>MWh</t>
  </si>
  <si>
    <t>FF1 354.28b</t>
  </si>
  <si>
    <t>FF1 354.27b</t>
  </si>
  <si>
    <t>Uncollectibles Expense</t>
  </si>
  <si>
    <t>Franchise Fees Expense</t>
  </si>
  <si>
    <t>Difference</t>
  </si>
  <si>
    <t>(1/(1-CTR))</t>
  </si>
  <si>
    <t>Composite Tax Rate ("CTR")</t>
  </si>
  <si>
    <t>for apportionment factors and state tax rates.</t>
  </si>
  <si>
    <t xml:space="preserve">Determination of amount of Abandoned Plant and Abandoned Plant Amortization Expense </t>
  </si>
  <si>
    <t>Abandoned Plant Amortization Expense</t>
  </si>
  <si>
    <t>Less Account  924:</t>
  </si>
  <si>
    <t>Property Insurance portion of A&amp;G:</t>
  </si>
  <si>
    <t>Administrative and General Expenses:</t>
  </si>
  <si>
    <t>The Incremental Return on Equity Factor is the incremental Prior Year TRR expressed per 100 basis points of</t>
  </si>
  <si>
    <t>Incremental</t>
  </si>
  <si>
    <t>of balances needed to determine the following:</t>
  </si>
  <si>
    <t>TIP Net Plant</t>
  </si>
  <si>
    <t>EOY</t>
  </si>
  <si>
    <t xml:space="preserve">Multiplicative factors are used to calculate the Incentive Adders on an Transmission Incentive Project specific basis.  </t>
  </si>
  <si>
    <t>Cells shaded yellow are input cells</t>
  </si>
  <si>
    <t>Wages and Salaries AF:</t>
  </si>
  <si>
    <t>General and Intangible Plant is an allocated portion of Total G&amp;I Plant based on the Trans. W&amp;S Allocation Factor</t>
  </si>
  <si>
    <t>General + Intangible Plant:</t>
  </si>
  <si>
    <t>Distribution</t>
  </si>
  <si>
    <t>Transmission</t>
  </si>
  <si>
    <t>G + I Depreciation Reserve</t>
  </si>
  <si>
    <t>General + Intangible Plant Depreciation Reserve</t>
  </si>
  <si>
    <t>Transmission Wages and Salaries AF:</t>
  </si>
  <si>
    <t>Upon Commission approval of recovery of abandoned plant costs for a specific project or projects, SCE will</t>
  </si>
  <si>
    <t>Abandoned Plant Amortization Expense:</t>
  </si>
  <si>
    <t>Abandoned Plant</t>
  </si>
  <si>
    <t>Abandoned Plant (EOY):</t>
  </si>
  <si>
    <t>Abandoned Plant (BOY/EOY Average):</t>
  </si>
  <si>
    <t>Initially Abandoned Plant Amortization Expense and Abandoned Plant are both zero.</t>
  </si>
  <si>
    <t>complete this worksheet in accordance with that Order.</t>
  </si>
  <si>
    <t>General Plant + Electric Miscellaneous Intangible Plant</t>
  </si>
  <si>
    <t>Incremental Forecast Period TRR</t>
  </si>
  <si>
    <t xml:space="preserve">Line </t>
  </si>
  <si>
    <t>1) Transmission Plant - ISO</t>
  </si>
  <si>
    <t>2) Distribution Plant - ISO</t>
  </si>
  <si>
    <t>Average value:</t>
  </si>
  <si>
    <t>Expense</t>
  </si>
  <si>
    <t>Forecast Gross Load:</t>
  </si>
  <si>
    <t>Sum of above</t>
  </si>
  <si>
    <t>per kW</t>
  </si>
  <si>
    <t>1) Transmission Depreciation Reserve - ISO</t>
  </si>
  <si>
    <t xml:space="preserve"> </t>
  </si>
  <si>
    <t>Line</t>
  </si>
  <si>
    <t>Income Tax Adjustment to the TRR:</t>
  </si>
  <si>
    <t>Wholesale South Georgia</t>
  </si>
  <si>
    <t>ISO Transmission Wages and Salaries</t>
  </si>
  <si>
    <t>Transmission Plant - ISO</t>
  </si>
  <si>
    <t>Distribution Plant - ISO</t>
  </si>
  <si>
    <t>SCE Retail Sales at ISO Grid level:</t>
  </si>
  <si>
    <t>Pump Load forecast:</t>
  </si>
  <si>
    <t>Line 1 + Line 2</t>
  </si>
  <si>
    <t>1) Tehachapi</t>
  </si>
  <si>
    <t>2) Devers-Colorado River</t>
  </si>
  <si>
    <t>3) Eldorado-Ivanpah</t>
  </si>
  <si>
    <t>1) Forecast Plant Additions * AFCR</t>
  </si>
  <si>
    <t>2) Forecast Period Incremental CWIP * AFCR for CWIP</t>
  </si>
  <si>
    <t>Devers to</t>
  </si>
  <si>
    <t>Colorado River</t>
  </si>
  <si>
    <t>Ivanpah</t>
  </si>
  <si>
    <t>Eldorado</t>
  </si>
  <si>
    <t>Col 2</t>
  </si>
  <si>
    <t>Col 3</t>
  </si>
  <si>
    <t>Col 4</t>
  </si>
  <si>
    <t>Col 5</t>
  </si>
  <si>
    <t>Col 6</t>
  </si>
  <si>
    <t>Col 7</t>
  </si>
  <si>
    <t>Yellow shaded cells are Input Data</t>
  </si>
  <si>
    <t>2) Calculation of IFP TRR</t>
  </si>
  <si>
    <t>AFCR * Forecast Plant Additions:</t>
  </si>
  <si>
    <t>AFCRCWIP:</t>
  </si>
  <si>
    <t>AFCRCWIP * FP Incremental CWIP:</t>
  </si>
  <si>
    <t>Forecast Period Incremental CWIP:</t>
  </si>
  <si>
    <t>Incremental Forecast Period TRR:</t>
  </si>
  <si>
    <t xml:space="preserve">Transmission Incentive Project plant balances and CWIP Plant may affect the following: </t>
  </si>
  <si>
    <t>Other</t>
  </si>
  <si>
    <t>Gains and Losses on Transmission Plant Held for Future Use -- Land</t>
  </si>
  <si>
    <t>Col 1</t>
  </si>
  <si>
    <t>Note 1</t>
  </si>
  <si>
    <t>Note 2</t>
  </si>
  <si>
    <t>Depreciation Expense for Distribution Plant - ISO</t>
  </si>
  <si>
    <t>Other Regulatory Assets/Liabilities</t>
  </si>
  <si>
    <t>where:</t>
  </si>
  <si>
    <t>CSCP = Common Stock Capital Percentage</t>
  </si>
  <si>
    <t>Above formula</t>
  </si>
  <si>
    <t>FF1 117.62c</t>
  </si>
  <si>
    <t>FF1 117.63c</t>
  </si>
  <si>
    <t>FF1 117.64c</t>
  </si>
  <si>
    <t>FF1 117.65c</t>
  </si>
  <si>
    <t>FF1 117.66c</t>
  </si>
  <si>
    <t>FF1 118.29c</t>
  </si>
  <si>
    <t>Calculation of Composite State Income Tax Rate for the Prior Year:</t>
  </si>
  <si>
    <t xml:space="preserve">The Final True Up Adjustment begins on the month after the last True Up Adjustment and extends through the termination date of </t>
  </si>
  <si>
    <t>this formula transmission rate.</t>
  </si>
  <si>
    <t>The Final True Up Adjustment shall be calculated as above, with interest to the termination date of the Formula Transmission Rate.</t>
  </si>
  <si>
    <t>Calculation of SCE Retail Transmission Rates</t>
  </si>
  <si>
    <t>Abandoned</t>
  </si>
  <si>
    <t>Plant</t>
  </si>
  <si>
    <t>Amort.</t>
  </si>
  <si>
    <t xml:space="preserve">Abandoned Plant Amortization Expense for each project represents the annual amortization of abandoned costs </t>
  </si>
  <si>
    <t>that the Order approves as an annual expense.</t>
  </si>
  <si>
    <t>Abandoned Plant for each project represents the amount of costs that the Order approves for inclusion in Rate Base.</t>
  </si>
  <si>
    <t xml:space="preserve">Amount for </t>
  </si>
  <si>
    <t>Instructions:</t>
  </si>
  <si>
    <t>1) Upon Commission approval of recovery of abandoned plant costs for a project:</t>
  </si>
  <si>
    <t>Abandoned Plant (BOY):</t>
  </si>
  <si>
    <t>BOY</t>
  </si>
  <si>
    <t>c) Sum project-specific amounts for each project and enter in lines 1, 2, and 3 for the Prior Year at issue.</t>
  </si>
  <si>
    <t>2) Add additional projects if necessary in same format.</t>
  </si>
  <si>
    <t>Abandoned Plant Amortization Expense amounts in Accordance with the Order.</t>
  </si>
  <si>
    <t>If table can not be filled out completely, fill out at least through the Prior Year at issue.</t>
  </si>
  <si>
    <t>Sum of projects below for PY.</t>
  </si>
  <si>
    <t>intended to be placed under the Operational Control of the ISO, plus an allocated amount of any General</t>
  </si>
  <si>
    <t>FF1 page 214</t>
  </si>
  <si>
    <t>End of Year Balance</t>
  </si>
  <si>
    <t>Beginning of Year Balance</t>
  </si>
  <si>
    <t>General Plant Held for Future Use</t>
  </si>
  <si>
    <t>Electric Plant Held for Future Use, with the allocation factor being the Transmission Wages and Salaries AF.</t>
  </si>
  <si>
    <t>1) For any Electric Plant Held for Future Use intended to be placed under the Operational Control of the ISO,</t>
  </si>
  <si>
    <t>Operational Control of the ISO.</t>
  </si>
  <si>
    <t>Plant intended to be placed under the Operational Control of the ISO:</t>
  </si>
  <si>
    <t>All other Electric Plant Held for Future Use not intended to be placed under the Operational Control of the ISO:</t>
  </si>
  <si>
    <t>of Plant</t>
  </si>
  <si>
    <t>Type</t>
  </si>
  <si>
    <t>Portion for Transmission PHFU:</t>
  </si>
  <si>
    <t>Transmission PHFU:</t>
  </si>
  <si>
    <t>Total Electric PHFU</t>
  </si>
  <si>
    <t>Average of BOY and EOY</t>
  </si>
  <si>
    <t>1) Input most recent available Apportionment Factors.</t>
  </si>
  <si>
    <t>Prior</t>
  </si>
  <si>
    <t>Tax Rate ("STR")</t>
  </si>
  <si>
    <t>Income Tax</t>
  </si>
  <si>
    <t>Rate ("CSITR")</t>
  </si>
  <si>
    <t>for the applicable Prior Year</t>
  </si>
  <si>
    <t>Calculation of Income Tax Rates</t>
  </si>
  <si>
    <t>Rate ("FITR")</t>
  </si>
  <si>
    <t>Factors ("AFs")</t>
  </si>
  <si>
    <t>The IFP TRR is equal to the sum of:</t>
  </si>
  <si>
    <t>approval received subsequent to an SCE Section 205 filing requesting such treatment.</t>
  </si>
  <si>
    <t xml:space="preserve">SCE shall include a non-zero amount of Other Regulatory Assets/Liabilities only with Commission </t>
  </si>
  <si>
    <t>Other Regulatory Assets/Liabilities (EOY):</t>
  </si>
  <si>
    <t>Description of Issue</t>
  </si>
  <si>
    <t>Resulting in Other Regulatory</t>
  </si>
  <si>
    <t>Asset/Liability</t>
  </si>
  <si>
    <t>Issue #1</t>
  </si>
  <si>
    <t>Issue #2</t>
  </si>
  <si>
    <t>Issue #3</t>
  </si>
  <si>
    <t>Other Reg</t>
  </si>
  <si>
    <t>Regulatory</t>
  </si>
  <si>
    <t>costs through this formula transmission rate:</t>
  </si>
  <si>
    <t>2) Add additional lines as necessary for additional issues.</t>
  </si>
  <si>
    <t>Total Substation</t>
  </si>
  <si>
    <t>Land</t>
  </si>
  <si>
    <t>Total Substation and Land</t>
  </si>
  <si>
    <t>Lines</t>
  </si>
  <si>
    <t>Total Lines</t>
  </si>
  <si>
    <t>Substation</t>
  </si>
  <si>
    <t>Land:</t>
  </si>
  <si>
    <t>Structures:</t>
  </si>
  <si>
    <t>Total Structures</t>
  </si>
  <si>
    <t>Transmission Plant Study</t>
  </si>
  <si>
    <t>ISO</t>
  </si>
  <si>
    <t>ISO %</t>
  </si>
  <si>
    <t>of Total</t>
  </si>
  <si>
    <t>B) Plant Classified as Distribution in  FERC Form 1:</t>
  </si>
  <si>
    <t>Total Transmission</t>
  </si>
  <si>
    <t>Data Source</t>
  </si>
  <si>
    <t>FF1 207.49g</t>
  </si>
  <si>
    <t>FF1 207.50g</t>
  </si>
  <si>
    <t>FF1 207.48g</t>
  </si>
  <si>
    <t>FF1 207.51g</t>
  </si>
  <si>
    <t>FF1 207.52g</t>
  </si>
  <si>
    <t>FF1 207.53g</t>
  </si>
  <si>
    <t>FF1 207.54g</t>
  </si>
  <si>
    <t>FF1 207.55g</t>
  </si>
  <si>
    <t>FF1 207.60g</t>
  </si>
  <si>
    <t>FF1 207.61g</t>
  </si>
  <si>
    <t>FF1 207.62g</t>
  </si>
  <si>
    <t>1) Total transmission does not include account 359.1 "Asset Retirement Costs for Transmission Plant"</t>
  </si>
  <si>
    <t>Input cells are shaded yellow</t>
  </si>
  <si>
    <t>less FF1 207.57g (Asset Retirement Costs for Transmission Plant).</t>
  </si>
  <si>
    <t>1) Perform annual Transmission Study pursuant to instructions in tariff.</t>
  </si>
  <si>
    <t>2) Only accounts 360-362 included as there is no ISO plant in any other Distribution accounts.</t>
  </si>
  <si>
    <t>Total on this line is also equal to FF1 207.58g (Total Transmission Plant)</t>
  </si>
  <si>
    <t>Structures</t>
  </si>
  <si>
    <t>Substations:</t>
  </si>
  <si>
    <t>Total Lines and Substations</t>
  </si>
  <si>
    <t>Derivation of High Voltage and Low Voltage Gross Plant Percentages</t>
  </si>
  <si>
    <t>LV Transmission Lines</t>
  </si>
  <si>
    <t>Total ISO</t>
  </si>
  <si>
    <t>Gross Plant</t>
  </si>
  <si>
    <t>HV Land</t>
  </si>
  <si>
    <t>LV Land</t>
  </si>
  <si>
    <t>Transformers</t>
  </si>
  <si>
    <t>Classification of Facility:</t>
  </si>
  <si>
    <t>HV Substations (&gt;= 200 kV)</t>
  </si>
  <si>
    <t>Lines:</t>
  </si>
  <si>
    <t>Determination of HV and LV Gross Plant Percentages for ISO Transmission Plant in accordance with ISO Tariff Appendix F, Schedule 3, Section 12.</t>
  </si>
  <si>
    <t>Voltage</t>
  </si>
  <si>
    <t>High</t>
  </si>
  <si>
    <t>Low</t>
  </si>
  <si>
    <t>Gross Plant Percentages (Prior Year):</t>
  </si>
  <si>
    <t>Total Determined HV/LV:</t>
  </si>
  <si>
    <t>Straddling Transformers</t>
  </si>
  <si>
    <t>From above Line 12</t>
  </si>
  <si>
    <t>Sum of lines 18 and 19</t>
  </si>
  <si>
    <t>Percent of Total</t>
  </si>
  <si>
    <t>Total HV and LV Gross Plant for Prior Year</t>
  </si>
  <si>
    <t>Total HV and LV Gross Plant for REP</t>
  </si>
  <si>
    <t>A) Total ISO Plant from Prior Year</t>
  </si>
  <si>
    <t>B) Gross Plant Percentage for the Rate Effective Period:</t>
  </si>
  <si>
    <t>FERC Form 1</t>
  </si>
  <si>
    <t>Total Amount Excluded</t>
  </si>
  <si>
    <t>Shareholder</t>
  </si>
  <si>
    <t>Franchise</t>
  </si>
  <si>
    <t>Requirements</t>
  </si>
  <si>
    <t>PBOPs</t>
  </si>
  <si>
    <t>Authorized PBOPs expense amount:</t>
  </si>
  <si>
    <t>Prior Year FF1 PBOPs expense:</t>
  </si>
  <si>
    <t>Note 1: Itemization of exclusions</t>
  </si>
  <si>
    <t>PBOPs Expense Exclusion:</t>
  </si>
  <si>
    <t>Note 3: PBOPs Exclusion Calculation</t>
  </si>
  <si>
    <t>through the Franchise Fees Expense item.</t>
  </si>
  <si>
    <t>See instruction #4</t>
  </si>
  <si>
    <t>1) Summary of True Up Adjustment calculation:</t>
  </si>
  <si>
    <t>4) True Up Adjustment</t>
  </si>
  <si>
    <t>a) Enter CWIP mechanism final balance in first True Up Adjustment calculation in accordance with tariff protocols.</t>
  </si>
  <si>
    <t>IREF =</t>
  </si>
  <si>
    <t>Multiplicative factor for each project is the ratio of its ROE adder to 1%.</t>
  </si>
  <si>
    <t>IREF, the Multiplicative Factor, and the million $ of Prior Year Incentive Rate Base.</t>
  </si>
  <si>
    <t>2) Sum project-specific Incentive Adders to yield the total Prior Year Incentive Adder.</t>
  </si>
  <si>
    <t>Transmission Plant Held for Future Use shall be amounts of Electric Plant Held for Future Use (account 105)</t>
  </si>
  <si>
    <t>Gain or Loss on Transmission Plant Held for Future Use --- Land</t>
  </si>
  <si>
    <t>Calculation of Gain or Loss on Transmission Plant Held for Future Use -- Land</t>
  </si>
  <si>
    <t>2) Input STR for the Prior Year</t>
  </si>
  <si>
    <t>3) FF and U Factors</t>
  </si>
  <si>
    <t>1) Approved Franchise Fee Factor(s)</t>
  </si>
  <si>
    <t>FF1 263.2 (see note to left)</t>
  </si>
  <si>
    <t>FF1 263 (see note to left)</t>
  </si>
  <si>
    <t>Sum of Column 2 below</t>
  </si>
  <si>
    <t>a) Fill in Description for issue in above table.</t>
  </si>
  <si>
    <t>b) Enter costs in columns 1-3 in above table for the applicable Prior Year.</t>
  </si>
  <si>
    <t>Actual</t>
  </si>
  <si>
    <t>Including previous year True Up Adjustment.</t>
  </si>
  <si>
    <t>First Project:</t>
  </si>
  <si>
    <t>Fill in Name</t>
  </si>
  <si>
    <t>…</t>
  </si>
  <si>
    <t>2nd Project:</t>
  </si>
  <si>
    <t>(BOY value is EOY value from previous year)</t>
  </si>
  <si>
    <t>3) Add additional years past 2035 if necessary.</t>
  </si>
  <si>
    <t>2a</t>
  </si>
  <si>
    <t>2b</t>
  </si>
  <si>
    <t>2c</t>
  </si>
  <si>
    <t>2d</t>
  </si>
  <si>
    <t>2e</t>
  </si>
  <si>
    <t>2f</t>
  </si>
  <si>
    <t>2g</t>
  </si>
  <si>
    <t>2h</t>
  </si>
  <si>
    <t>BOY amount will be EOY value from previous year FERC Form 1, EOY amount will be in current year FF1.</t>
  </si>
  <si>
    <t>Sum of above lines</t>
  </si>
  <si>
    <t>Generation</t>
  </si>
  <si>
    <t>Public</t>
  </si>
  <si>
    <t>Purpose</t>
  </si>
  <si>
    <t>Retail Base</t>
  </si>
  <si>
    <t>"Total Sales to Ultimate Consumers" from FERC Form 1 Page 300, Line 10, Column b:</t>
  </si>
  <si>
    <t>See Note 6</t>
  </si>
  <si>
    <t>See Note 7</t>
  </si>
  <si>
    <t>= C2 - C3 + C 4</t>
  </si>
  <si>
    <t>Any other Base Transmission Revenue or refunds  is included in "Other".</t>
  </si>
  <si>
    <t>Sum of left</t>
  </si>
  <si>
    <t>1) If additional projects receive ROE adders, add to end of lists, and include in calculation</t>
  </si>
  <si>
    <t>of each Incentive Adder.</t>
  </si>
  <si>
    <t xml:space="preserve">Prior </t>
  </si>
  <si>
    <t>Rancho</t>
  </si>
  <si>
    <t>Vista</t>
  </si>
  <si>
    <t xml:space="preserve">Total TIP </t>
  </si>
  <si>
    <t xml:space="preserve">Net Plant </t>
  </si>
  <si>
    <t xml:space="preserve">Prior Year CWIP and Forecast Period Incremental CWIP by Project </t>
  </si>
  <si>
    <t>Col 8</t>
  </si>
  <si>
    <t>Total CWIP</t>
  </si>
  <si>
    <t>13 Month Averages:</t>
  </si>
  <si>
    <t>to include CWIP in Rate Base.</t>
  </si>
  <si>
    <t>Red Bluff</t>
  </si>
  <si>
    <t>3) Devers-Colorado R</t>
  </si>
  <si>
    <t>columns</t>
  </si>
  <si>
    <t>or Other</t>
  </si>
  <si>
    <t>Exclusions</t>
  </si>
  <si>
    <t>2) The Incremental Forecast Period TRR is the component of Base TRR associated with forecast additions to in-service</t>
  </si>
  <si>
    <t>These components represent the following costs that SCE incurs:</t>
  </si>
  <si>
    <t>the municipality.</t>
  </si>
  <si>
    <t xml:space="preserve">1) Franchise Fees represent payments that SCE makes to municipal entities for the right to locate facilities within </t>
  </si>
  <si>
    <t>FF1 227.12c</t>
  </si>
  <si>
    <t>FF1 227.12b</t>
  </si>
  <si>
    <t xml:space="preserve">Materials and Supplies is the amount of  total Account 154 Materials and Supplies </t>
  </si>
  <si>
    <t>times the Transmission Wages and Salaries AF</t>
  </si>
  <si>
    <t>A</t>
  </si>
  <si>
    <t>B</t>
  </si>
  <si>
    <t>C</t>
  </si>
  <si>
    <t>D</t>
  </si>
  <si>
    <t>E</t>
  </si>
  <si>
    <t>F</t>
  </si>
  <si>
    <t>G</t>
  </si>
  <si>
    <t>H</t>
  </si>
  <si>
    <t>I</t>
  </si>
  <si>
    <t>J</t>
  </si>
  <si>
    <t>K</t>
  </si>
  <si>
    <t>L</t>
  </si>
  <si>
    <t>M</t>
  </si>
  <si>
    <t>N</t>
  </si>
  <si>
    <t>Traditional OOR</t>
  </si>
  <si>
    <t>GRSM</t>
  </si>
  <si>
    <t>Other Ratemaking</t>
  </si>
  <si>
    <t>FERC ACCT</t>
  </si>
  <si>
    <t>ACCT</t>
  </si>
  <si>
    <t>ACCT DESCRIPTION</t>
  </si>
  <si>
    <t>DOLLARS</t>
  </si>
  <si>
    <t>Category</t>
  </si>
  <si>
    <t>Non-ISO</t>
  </si>
  <si>
    <t>A/P</t>
  </si>
  <si>
    <t>Threshold [10]</t>
  </si>
  <si>
    <t>1a</t>
  </si>
  <si>
    <t>4191110</t>
  </si>
  <si>
    <t>1b</t>
  </si>
  <si>
    <t>4191115</t>
  </si>
  <si>
    <t>Residential Late Payment</t>
  </si>
  <si>
    <t>1c</t>
  </si>
  <si>
    <t>4191120</t>
  </si>
  <si>
    <t>Non-Residential Late Payment</t>
  </si>
  <si>
    <t>450 Total</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</si>
  <si>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</si>
  <si>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</si>
  <si>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</si>
  <si>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</si>
  <si>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</si>
  <si>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</si>
  <si>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</si>
  <si>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</si>
  <si>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</si>
  <si>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</si>
  <si>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</si>
  <si>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</si>
  <si>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</si>
  <si>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</si>
  <si>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</si>
  <si>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</si>
  <si>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</si>
  <si>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</si>
  <si>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</si>
  <si>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</si>
  <si>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</si>
  <si>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</si>
  <si>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</si>
  <si>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</si>
  <si>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</si>
  <si>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</si>
  <si>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</si>
  <si>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</si>
  <si>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451 Total</t>
  </si>
  <si>
    <t>7a</t>
  </si>
  <si>
    <t>7b</t>
  </si>
  <si>
    <t>7c</t>
  </si>
  <si>
    <t>4183110</t>
  </si>
  <si>
    <t>Sales of Water &amp; Water Power - San Joaquin</t>
  </si>
  <si>
    <t>4183115</t>
  </si>
  <si>
    <t>Sales of Water &amp; Water Power - Headwater</t>
  </si>
  <si>
    <t>453 Total</t>
  </si>
  <si>
    <t>10a</t>
  </si>
  <si>
    <t>10b</t>
  </si>
  <si>
    <t>10c</t>
  </si>
  <si>
    <t>10d</t>
  </si>
  <si>
    <t>4184110</t>
  </si>
  <si>
    <t>Joint Pole - Tariffed Conduit Rental</t>
  </si>
  <si>
    <t>10e</t>
  </si>
  <si>
    <t>4184112</t>
  </si>
  <si>
    <t>Joint Pole - Tariffed Pole Rental - Cable Cos.</t>
  </si>
  <si>
    <t>10f</t>
  </si>
  <si>
    <t>4184114</t>
  </si>
  <si>
    <t>Joint Pole - Tariffed Process &amp; Eng Fees - Cable</t>
  </si>
  <si>
    <t>10g</t>
  </si>
  <si>
    <t>4184116</t>
  </si>
  <si>
    <t>Joint Pole - Tariffed Process &amp; Eng Fees - Conduit</t>
  </si>
  <si>
    <t>10h</t>
  </si>
  <si>
    <t>4184118</t>
  </si>
  <si>
    <t>Joint Pole - Pl Attchmnt Audit - Undoc P&amp;E Fee</t>
  </si>
  <si>
    <t>10i</t>
  </si>
  <si>
    <t>4184510</t>
  </si>
  <si>
    <t>Joint Pole - Non-Tariffed Pole Rental</t>
  </si>
  <si>
    <t>10j</t>
  </si>
  <si>
    <t>4184512</t>
  </si>
  <si>
    <t>Joint Pole - Non-Tariff Process &amp; Engineering Fees</t>
  </si>
  <si>
    <t>10k</t>
  </si>
  <si>
    <t>4184514</t>
  </si>
  <si>
    <t>Joint Pole - Non-Tariff Requests for Information</t>
  </si>
  <si>
    <t>10l</t>
  </si>
  <si>
    <t>4184516</t>
  </si>
  <si>
    <t>Oil And Gas Royalties</t>
  </si>
  <si>
    <t>10m</t>
  </si>
  <si>
    <t>4184518</t>
  </si>
  <si>
    <t>10n</t>
  </si>
  <si>
    <t>4184810</t>
  </si>
  <si>
    <t>Facility Cost -EIX/Nonutility</t>
  </si>
  <si>
    <t>6, 12</t>
  </si>
  <si>
    <t>10o</t>
  </si>
  <si>
    <t>4184815</t>
  </si>
  <si>
    <t>Facility Cost- Utility</t>
  </si>
  <si>
    <t>10p</t>
  </si>
  <si>
    <t>4184820</t>
  </si>
  <si>
    <t>Rent Billed to Non-Utility Affiliates</t>
  </si>
  <si>
    <t>10q</t>
  </si>
  <si>
    <t>4184825</t>
  </si>
  <si>
    <t>Rent Billed to Utility Affiliates</t>
  </si>
  <si>
    <t>10r</t>
  </si>
  <si>
    <t>4194110</t>
  </si>
  <si>
    <t>Meter Leasing Revenue</t>
  </si>
  <si>
    <t>10s</t>
  </si>
  <si>
    <t>4194115</t>
  </si>
  <si>
    <t>Company Financed Added Facilities</t>
  </si>
  <si>
    <t>10t</t>
  </si>
  <si>
    <t>4194120</t>
  </si>
  <si>
    <t>Company Financed Interconnect Facilities</t>
  </si>
  <si>
    <t>10u</t>
  </si>
  <si>
    <t>4194130</t>
  </si>
  <si>
    <t>SCE Financed Added Faclty</t>
  </si>
  <si>
    <t>10v</t>
  </si>
  <si>
    <t>4194135</t>
  </si>
  <si>
    <t>Interconnect Facility Finance Charge</t>
  </si>
  <si>
    <t>10w</t>
  </si>
  <si>
    <t>4204515</t>
  </si>
  <si>
    <t>Operating Land &amp; Facilities Rent Revenue</t>
  </si>
  <si>
    <t>4867020</t>
  </si>
  <si>
    <t>Nonoperating Misc Land &amp; Facilities Rent</t>
  </si>
  <si>
    <t>454 Total</t>
  </si>
  <si>
    <t>12a</t>
  </si>
  <si>
    <t>12b</t>
  </si>
  <si>
    <t>12c</t>
  </si>
  <si>
    <t>12d</t>
  </si>
  <si>
    <t>4186114</t>
  </si>
  <si>
    <t>Energy Related Services</t>
  </si>
  <si>
    <t>4186118</t>
  </si>
  <si>
    <t>Distribution Miscellaneous Electric Revenues</t>
  </si>
  <si>
    <t>4186120</t>
  </si>
  <si>
    <t>Added Facilities - One Time Charge</t>
  </si>
  <si>
    <t>12e</t>
  </si>
  <si>
    <t>4186122</t>
  </si>
  <si>
    <t>Building Rental - Nev Power/Mohave Cr</t>
  </si>
  <si>
    <t>12f</t>
  </si>
  <si>
    <t>4186126</t>
  </si>
  <si>
    <t>Service Fee - Optimal Bill Prd</t>
  </si>
  <si>
    <t>12g</t>
  </si>
  <si>
    <t>4186128</t>
  </si>
  <si>
    <t>Miscellaneous Revenues</t>
  </si>
  <si>
    <t>12h</t>
  </si>
  <si>
    <t>4186130</t>
  </si>
  <si>
    <t>Tule Power Plant - Revenue</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</si>
  <si>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</si>
  <si>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</si>
  <si>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</si>
  <si>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</si>
  <si>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</si>
  <si>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</si>
  <si>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</si>
  <si>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</si>
  <si>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</si>
  <si>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</si>
  <si>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</si>
  <si>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</si>
  <si>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</si>
  <si>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</si>
  <si>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</si>
  <si>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</si>
  <si>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</si>
  <si>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</si>
  <si>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</si>
  <si>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</si>
  <si>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</si>
  <si>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</si>
  <si>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</si>
  <si>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</si>
  <si>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</si>
  <si>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</si>
  <si>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</si>
  <si>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</si>
  <si>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</si>
  <si>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</si>
  <si>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</si>
  <si>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</si>
  <si>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</si>
  <si>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</si>
  <si>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</si>
  <si>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</si>
  <si>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</si>
  <si>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</si>
  <si>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</si>
  <si>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</si>
  <si>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</si>
  <si>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</si>
  <si>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</si>
  <si>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</si>
  <si>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</si>
  <si>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</si>
  <si>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</si>
  <si>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</si>
  <si>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</si>
  <si>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</si>
  <si>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</si>
  <si>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</si>
  <si>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</si>
  <si>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</si>
  <si>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</si>
  <si>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</si>
  <si>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</si>
  <si>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</si>
  <si>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</si>
  <si>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</si>
  <si>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</si>
  <si>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</si>
  <si>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</si>
  <si>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</si>
  <si>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</si>
  <si>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</si>
  <si>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</si>
  <si>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</si>
  <si>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</si>
  <si>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</si>
  <si>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</si>
  <si>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</si>
  <si>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12hh</t>
  </si>
  <si>
    <t>4186914</t>
  </si>
  <si>
    <t>12ii</t>
  </si>
  <si>
    <t>4186916</t>
  </si>
  <si>
    <t>Offset to Revenue from NDT Earnings/Realized</t>
  </si>
  <si>
    <t>12jj</t>
  </si>
  <si>
    <t>4186918</t>
  </si>
  <si>
    <t>Offset to Revenue from FAS 115 FMV</t>
  </si>
  <si>
    <t>12kk</t>
  </si>
  <si>
    <t>4186920</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</si>
  <si>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</si>
  <si>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</si>
  <si>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</si>
  <si>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</si>
  <si>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</si>
  <si>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</si>
  <si>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</si>
  <si>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</si>
  <si>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</si>
  <si>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</si>
  <si>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</si>
  <si>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</si>
  <si>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</si>
  <si>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</si>
  <si>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</si>
  <si>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</si>
  <si>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</si>
  <si>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</si>
  <si>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</si>
  <si>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</si>
  <si>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</si>
  <si>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</si>
  <si>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</si>
  <si>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</si>
  <si>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</si>
  <si>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</si>
  <si>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</si>
  <si>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</si>
  <si>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</si>
  <si>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</si>
  <si>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</si>
  <si>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</si>
  <si>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</si>
  <si>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</si>
  <si>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</si>
  <si>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</si>
  <si>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</si>
  <si>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</si>
  <si>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</si>
  <si>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</si>
  <si>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</si>
  <si>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</si>
  <si>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</si>
  <si>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</si>
  <si>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</si>
  <si>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4206515</t>
  </si>
  <si>
    <t>456 Total</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</si>
  <si>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</si>
  <si>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</si>
  <si>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</si>
  <si>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</si>
  <si>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</si>
  <si>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</si>
  <si>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</si>
  <si>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</si>
  <si>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</si>
  <si>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</si>
  <si>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</si>
  <si>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</si>
  <si>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</si>
  <si>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</si>
  <si>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</si>
  <si>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</si>
  <si>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</si>
  <si>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</si>
  <si>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</si>
  <si>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</si>
  <si>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</si>
  <si>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</si>
  <si>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</si>
  <si>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</si>
  <si>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</si>
  <si>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</si>
  <si>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</si>
  <si>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</si>
  <si>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</si>
  <si>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</si>
  <si>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</si>
  <si>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</si>
  <si>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</si>
  <si>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</si>
  <si>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</si>
  <si>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</si>
  <si>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</si>
  <si>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</si>
  <si>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</si>
  <si>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</si>
  <si>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</si>
  <si>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</si>
  <si>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</si>
  <si>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</si>
  <si>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</si>
  <si>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</si>
  <si>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</si>
  <si>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</si>
  <si>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</si>
  <si>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</si>
  <si>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</si>
  <si>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</si>
  <si>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</si>
  <si>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</si>
  <si>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</si>
  <si>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</si>
  <si>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</si>
  <si>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456.1 Total</t>
  </si>
  <si>
    <t>18a</t>
  </si>
  <si>
    <t>457.1 Total</t>
  </si>
  <si>
    <t>21a</t>
  </si>
  <si>
    <t>457.2 Total</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</si>
  <si>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</si>
  <si>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</si>
  <si>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</si>
  <si>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</si>
  <si>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</si>
  <si>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</si>
  <si>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</si>
  <si>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</si>
  <si>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</si>
  <si>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</si>
  <si>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</si>
  <si>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</si>
  <si>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</si>
  <si>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</si>
  <si>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</si>
  <si>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</si>
  <si>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</si>
  <si>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</si>
  <si>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</si>
  <si>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</si>
  <si>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</si>
  <si>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</si>
  <si>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</si>
  <si>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</si>
  <si>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</si>
  <si>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</si>
  <si>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</si>
  <si>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</si>
  <si>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</si>
  <si>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</si>
  <si>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</si>
  <si>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</si>
  <si>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Subsidiaries</t>
  </si>
  <si>
    <t>28a</t>
  </si>
  <si>
    <t>ESI (Gross Revenues - Active)</t>
  </si>
  <si>
    <t>2,9</t>
  </si>
  <si>
    <t>28b</t>
  </si>
  <si>
    <t>ESI (Gross Revenues - Passive)</t>
  </si>
  <si>
    <t>28c</t>
  </si>
  <si>
    <t>Mono Power Company</t>
  </si>
  <si>
    <t>28d</t>
  </si>
  <si>
    <t>SCE Capital Company</t>
  </si>
  <si>
    <t>418.1 Subsidiaries Total</t>
  </si>
  <si>
    <t>Totals</t>
  </si>
  <si>
    <t>Ratepayers' Share of Threshold Revenue</t>
  </si>
  <si>
    <t>= Line 32K</t>
  </si>
  <si>
    <t>see Note 11</t>
  </si>
  <si>
    <t xml:space="preserve">ISO Ratepayers' Share of Threshold Revenue </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</si>
  <si>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</si>
  <si>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</si>
  <si>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</si>
  <si>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</si>
  <si>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</si>
  <si>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</si>
  <si>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</si>
  <si>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</si>
  <si>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 xml:space="preserve">ISO Ratepayers' Share of Incremental Revenue </t>
  </si>
  <si>
    <t>1-</t>
  </si>
  <si>
    <t>2-</t>
  </si>
  <si>
    <t>3-</t>
  </si>
  <si>
    <t>Generation related.</t>
  </si>
  <si>
    <t>4-</t>
  </si>
  <si>
    <t>5-</t>
  </si>
  <si>
    <t>ISO transmission system related.</t>
  </si>
  <si>
    <t>6-</t>
  </si>
  <si>
    <t>Subject to balancing account treatment</t>
  </si>
  <si>
    <t>7-</t>
  </si>
  <si>
    <t>ISO Allocator =</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</si>
  <si>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</si>
  <si>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</si>
  <si>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</si>
  <si>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</si>
  <si>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</si>
  <si>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</si>
  <si>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</si>
  <si>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12-</t>
  </si>
  <si>
    <t>13-</t>
  </si>
  <si>
    <t>14-</t>
  </si>
  <si>
    <t>Gains and Losses on Trans. Plant Held for Future Use -- Land</t>
  </si>
  <si>
    <t>Total Revenue Credits:</t>
  </si>
  <si>
    <t>Prior Year CWIP is the amount of Construction Work In Progress for projects that have received Commission approval</t>
  </si>
  <si>
    <t>Col 9</t>
  </si>
  <si>
    <t>Calculations:</t>
  </si>
  <si>
    <t>See Note 4</t>
  </si>
  <si>
    <t>See Note 5</t>
  </si>
  <si>
    <t>=C7 + C8</t>
  </si>
  <si>
    <t>Previous</t>
  </si>
  <si>
    <t>wo Interest</t>
  </si>
  <si>
    <t>TRR</t>
  </si>
  <si>
    <t>with Interest</t>
  </si>
  <si>
    <t>Beginning</t>
  </si>
  <si>
    <t>Ending</t>
  </si>
  <si>
    <t>Balance</t>
  </si>
  <si>
    <t>5) Final True Up Adjustment</t>
  </si>
  <si>
    <t>3) Enter monthly interest rates in accordance with interest rate specified in the regulations of FERC at</t>
  </si>
  <si>
    <t>d) Any Base Transmission Revenue not attributable to this formula.</t>
  </si>
  <si>
    <t>1) Depreciation Expense for Transmission Plant - ISO</t>
  </si>
  <si>
    <t>Col 10</t>
  </si>
  <si>
    <t>Account:</t>
  </si>
  <si>
    <t>1) Calculation of Depreciation Expense for Transmission Plant - ISO</t>
  </si>
  <si>
    <t>Col 11</t>
  </si>
  <si>
    <t>Monthly Depreciation Expense for Transmission Plant - ISO by FERC Account:</t>
  </si>
  <si>
    <t>Balances for Transmission Plant - ISO during the Prior Year, including December of previous year:</t>
  </si>
  <si>
    <t>Total Annual Depreciation Expense for Transmission Plant - ISO:</t>
  </si>
  <si>
    <t>(equals sum of monthly amounts)</t>
  </si>
  <si>
    <t>Total General Plant Depreciation Expense</t>
  </si>
  <si>
    <t>Total Intangible Plant Depreciation Expense</t>
  </si>
  <si>
    <t>FF1 336.10f</t>
  </si>
  <si>
    <t>FF1 336.1f</t>
  </si>
  <si>
    <t>Sum of Total General and Total Intangible Depreciation Expense</t>
  </si>
  <si>
    <t>General and Intangible Depreciation Expense</t>
  </si>
  <si>
    <t>3) General and Intangible Depreciation Expense</t>
  </si>
  <si>
    <t>2) Depreciation Expense for Distribution Plant - ISO</t>
  </si>
  <si>
    <t>Two Incentive Adders are calculated:</t>
  </si>
  <si>
    <t>a) The Prior Year Incentive Adder is a component of the Prior Year TRR.</t>
  </si>
  <si>
    <t xml:space="preserve"> = Sum of all</t>
  </si>
  <si>
    <t>Whirlwind</t>
  </si>
  <si>
    <t>Expansion</t>
  </si>
  <si>
    <t>Col 12</t>
  </si>
  <si>
    <t xml:space="preserve">Colorado </t>
  </si>
  <si>
    <t>River</t>
  </si>
  <si>
    <t>Kramer</t>
  </si>
  <si>
    <t>South of</t>
  </si>
  <si>
    <t>West of</t>
  </si>
  <si>
    <t>Devers</t>
  </si>
  <si>
    <t>1) Enter recorded amounts of CWIP during Prior Year on Lines 1-13, 15-27 (including December of year previous to Prior Year).</t>
  </si>
  <si>
    <t>1) Summary of CWIP Plant in Prior Year and Forecast Period</t>
  </si>
  <si>
    <t>1) Rate Base in Prior Year</t>
  </si>
  <si>
    <t>Net Plant</t>
  </si>
  <si>
    <t>b) Annual Fixed Charge Rate ("AFCR")</t>
  </si>
  <si>
    <t>Net Plant:</t>
  </si>
  <si>
    <t>1) Calculation of Annual Fixed Charge Rates:</t>
  </si>
  <si>
    <t>4) Lugo-Pisgah</t>
  </si>
  <si>
    <t>5) Red Bluff</t>
  </si>
  <si>
    <t>6) Whirlwind Substation Exp.</t>
  </si>
  <si>
    <t>7) Colorado River Sub. Exp.</t>
  </si>
  <si>
    <t>8) South of Kramer</t>
  </si>
  <si>
    <t>9) West of Devers</t>
  </si>
  <si>
    <t>4) Prior Year TIP Net Plant In Service</t>
  </si>
  <si>
    <t>Additions</t>
  </si>
  <si>
    <t>to Prior Year</t>
  </si>
  <si>
    <t>year previous</t>
  </si>
  <si>
    <t>←December of</t>
  </si>
  <si>
    <t>2) Calculation of Depreciation Expense for Distribution Plant - ISO</t>
  </si>
  <si>
    <t>Distribution Plant - ISO BOY</t>
  </si>
  <si>
    <t>Distribution Plant - ISO EOY</t>
  </si>
  <si>
    <t>Average BOY/EOY :</t>
  </si>
  <si>
    <t xml:space="preserve">Total is sum of Depreciation Expense for accounts </t>
  </si>
  <si>
    <t>360, 361, and 362</t>
  </si>
  <si>
    <t>3) Calculation of Depreciation Expense for General Plant and Intangible Plant</t>
  </si>
  <si>
    <t>Depreciation Expense:</t>
  </si>
  <si>
    <t>Depreciation Rates</t>
  </si>
  <si>
    <t>Less</t>
  </si>
  <si>
    <t>Removal</t>
  </si>
  <si>
    <t>Salvage</t>
  </si>
  <si>
    <t>Cost</t>
  </si>
  <si>
    <t>Fee Land</t>
  </si>
  <si>
    <t>Easements</t>
  </si>
  <si>
    <t>Structures and Improvements</t>
  </si>
  <si>
    <t>Station Equipment</t>
  </si>
  <si>
    <t>Poles and Fixtures</t>
  </si>
  <si>
    <t>Overhead Conductors and Devices</t>
  </si>
  <si>
    <t>Underground Conduit</t>
  </si>
  <si>
    <t>Underground Conductors and Devices</t>
  </si>
  <si>
    <t>Roads and Trails</t>
  </si>
  <si>
    <t>Land and Land Rights</t>
  </si>
  <si>
    <t>3) General Plant</t>
  </si>
  <si>
    <t>Office Furniture</t>
  </si>
  <si>
    <t>4) Intangible Plant</t>
  </si>
  <si>
    <t>Hydro Relicensing</t>
  </si>
  <si>
    <t>Radio Frequency</t>
  </si>
  <si>
    <t>Other Intangibles</t>
  </si>
  <si>
    <t>Cap Soft 5yr</t>
  </si>
  <si>
    <t>Cap Soft 7yr</t>
  </si>
  <si>
    <t>Cap Soft 10yr</t>
  </si>
  <si>
    <t>Cap Soft 15yr</t>
  </si>
  <si>
    <t>CLTD = Weighted Cost of Long Term Debt</t>
  </si>
  <si>
    <t>COS = Weighted Cost of Common and Preferred Stock</t>
  </si>
  <si>
    <t>AFCRCWIP =</t>
  </si>
  <si>
    <t>Composite Tax Rate:</t>
  </si>
  <si>
    <t>expressed as a percent.</t>
  </si>
  <si>
    <t>AFCR = (Prior Year TRR - CWIP-related costs) / Net Plant</t>
  </si>
  <si>
    <t>ISO Transmission Plant</t>
  </si>
  <si>
    <t>3) ISO Transmission Plant</t>
  </si>
  <si>
    <t>ISO Transmission Plant is the sum of "Transmission Plant - ISO" and "Distribution Plant - ISO"</t>
  </si>
  <si>
    <t xml:space="preserve">Transmission Depreciation Reserve - ISO </t>
  </si>
  <si>
    <t xml:space="preserve">Distribution Depreciation Reserve - ISO </t>
  </si>
  <si>
    <t>Transmission Plant - ISO:</t>
  </si>
  <si>
    <t>Distribution Plant - ISO:</t>
  </si>
  <si>
    <t>c) Compare costs in (a) to revenues in (b) on a monthly basis and determine "Cumulative Excess (-) or Shortfall (+) in Revenue with Interest".</t>
  </si>
  <si>
    <t>One-Time and</t>
  </si>
  <si>
    <t>wo Interest for</t>
  </si>
  <si>
    <t>for Current</t>
  </si>
  <si>
    <t>Current Month</t>
  </si>
  <si>
    <t>See Note 8</t>
  </si>
  <si>
    <t>See Note 9</t>
  </si>
  <si>
    <t>See Note 10</t>
  </si>
  <si>
    <t>=C3 + C4</t>
  </si>
  <si>
    <t>See Note 11</t>
  </si>
  <si>
    <t>=C5 + C6</t>
  </si>
  <si>
    <t>= - C4</t>
  </si>
  <si>
    <t>Received (+)/</t>
  </si>
  <si>
    <t>Amortization</t>
  </si>
  <si>
    <t>Returned (-)</t>
  </si>
  <si>
    <t>Total Amortization in Rate Effective Period (See Instruction #4):</t>
  </si>
  <si>
    <t>Shortfall or Excess Revenue in Prior Year:</t>
  </si>
  <si>
    <t>TRR AAF</t>
  </si>
  <si>
    <t>See Note 13</t>
  </si>
  <si>
    <t>Enter with the same sign as in previous Informational Update.  If there is no Previous Period True Up Adjustment, then enter $0 in these cells.</t>
  </si>
  <si>
    <t>SCE shall also include that difference in the True Up Adjustment, including interest, at the first opportunity, in accordance with tariff protocols.</t>
  </si>
  <si>
    <t>Actual Retail Base Transmission Revenues for any months not included in True Up Period.</t>
  </si>
  <si>
    <t>3) "Actual Retail Base Transmission Revenues" are SCE retail transmission revenues attributable to this formula transmission rate.</t>
  </si>
  <si>
    <t>4) The "Previous Period True Up Adjustment" are the values of the "True Up Adjustment Received/Returned" in the previous Informational Filing (Same sign).</t>
  </si>
  <si>
    <t>6) "Cumulative Excess (-) or Shortfall (+) in Revenue wo Interest for Current Month" is: 1) in month 1, the amount in Column 5;</t>
  </si>
  <si>
    <t>and 2) in subsequent months is the amount in Column 9 for previous month plus the current month amount in Column 5.</t>
  </si>
  <si>
    <t>7) Interest for Current Month is calculated on average of beginning and ending balances (Column 9 previous month and Column 7 current month).</t>
  </si>
  <si>
    <t>(First month average is 1/2 of ending balance).</t>
  </si>
  <si>
    <t>Transmission Dep. Reserve - ISO:</t>
  </si>
  <si>
    <t>Distribution Dep. Reserve - ISO:</t>
  </si>
  <si>
    <t>Determination of Net Plant:</t>
  </si>
  <si>
    <t>a) Annual Fixed Charge Rate for CWIP ("AFCRCWIP")</t>
  </si>
  <si>
    <t>Calculation of Incremental Forecast Period TRR ("IFPTRR")</t>
  </si>
  <si>
    <t>NETWORK UPGRADE CREDIT AND INTEREST EXPENSE</t>
  </si>
  <si>
    <t>Outstanding Network Upgrade Credits Recorded in FERC Acct 252</t>
  </si>
  <si>
    <t>Acct 252 Other</t>
  </si>
  <si>
    <t>Total Acct 252</t>
  </si>
  <si>
    <t>FF-1 total for Acct 252 - Customer Advances for Construction 
 (Must equal Line 3)</t>
  </si>
  <si>
    <t>FF-1 total for Acct 252 - Customer Advances for Construction 
(Must equal Line 7)</t>
  </si>
  <si>
    <t>FF1 113.56c</t>
  </si>
  <si>
    <t>Average Outstanding Network Upgrade Credits Beginning and End of Year</t>
  </si>
  <si>
    <t>Interest On Network Upgrade Credits Recorded in FERC Acct 242</t>
  </si>
  <si>
    <t>Acct 242 Other</t>
  </si>
  <si>
    <t>Total Acct 242</t>
  </si>
  <si>
    <t>FF-1 total for Acct 242 - Miscellaneous Current and Accrued Liabilities
(Must equal Line 12)</t>
  </si>
  <si>
    <t>FF1 113.48c</t>
  </si>
  <si>
    <t>Wtd. Cost of Long Term Debt:</t>
  </si>
  <si>
    <t>Wtd. Cost of Common + Pref. Stock:</t>
  </si>
  <si>
    <t>The AFCR is calculated by dividing the Prior Year TRR (without CWIP related costs)</t>
  </si>
  <si>
    <t>by Net Plant:</t>
  </si>
  <si>
    <t>Overview</t>
  </si>
  <si>
    <t>ROR</t>
  </si>
  <si>
    <t>Depreciation</t>
  </si>
  <si>
    <t>DepRates</t>
  </si>
  <si>
    <t>PlantInService</t>
  </si>
  <si>
    <t>PlantStudy</t>
  </si>
  <si>
    <t>PHFU</t>
  </si>
  <si>
    <t>AbandonedPlant</t>
  </si>
  <si>
    <t>IncentivePlant</t>
  </si>
  <si>
    <t>IncentiveAdder</t>
  </si>
  <si>
    <t>PlantAdditions</t>
  </si>
  <si>
    <t>IFPTRR</t>
  </si>
  <si>
    <t>TrueUpAdjust</t>
  </si>
  <si>
    <t>WorkCap</t>
  </si>
  <si>
    <t>AccDep</t>
  </si>
  <si>
    <t>OandM</t>
  </si>
  <si>
    <t>AandG</t>
  </si>
  <si>
    <t>pursuant to Commission acceptance of an SCE FPA Section 205 filing to revise the authorized PBOPs expense,</t>
  </si>
  <si>
    <t>(Sum of Col 1 to Col 4)</t>
  </si>
  <si>
    <t>Beginning of Year Balances are from December of the year previous to the Prior Year.</t>
  </si>
  <si>
    <t>1) Beginning of Year Balances: (Note 1)</t>
  </si>
  <si>
    <t>2) End of Year Balances: (Note 2)</t>
  </si>
  <si>
    <t>End of Year Balances are from December of the Prior Year.</t>
  </si>
  <si>
    <t>100% Abandoned Plant:</t>
  </si>
  <si>
    <t>A) Rancho Vista Incentives Received:</t>
  </si>
  <si>
    <t>B) Tehachapi Incentives Received:</t>
  </si>
  <si>
    <t>Cite:</t>
  </si>
  <si>
    <t>C) Devers to  Colorado River Incentives Received:</t>
  </si>
  <si>
    <t>D) Devers to  Palo Verde 2 Incentives Received:</t>
  </si>
  <si>
    <t>E) Eldorado Ivanpah Incentives Received:</t>
  </si>
  <si>
    <t>F) Lugo Pisgah Incentives Received:</t>
  </si>
  <si>
    <t>G) Red Bluff Incentives Received:</t>
  </si>
  <si>
    <t>H) Whirlwind Substation Expansion Incentives Received:</t>
  </si>
  <si>
    <t>I) Colorado River Substation Expansion Incentives Received:</t>
  </si>
  <si>
    <t>J) South of Kramer Incentives Received:</t>
  </si>
  <si>
    <t>K) West of Devers Incentives Received:</t>
  </si>
  <si>
    <t>L) Future Incentive Projects</t>
  </si>
  <si>
    <t>Commission decision.</t>
  </si>
  <si>
    <t>in accordance with the tariff protocols.  Accordingly, any amount different than the authorized PBOPs</t>
  </si>
  <si>
    <t>RevenueCredits</t>
  </si>
  <si>
    <t>NUCs</t>
  </si>
  <si>
    <t>RegAssets</t>
  </si>
  <si>
    <t>FFU</t>
  </si>
  <si>
    <t>Allocators</t>
  </si>
  <si>
    <t>TaxRates</t>
  </si>
  <si>
    <t>WholesaleTRRs</t>
  </si>
  <si>
    <t>Wholesale Rates</t>
  </si>
  <si>
    <t>HVLV</t>
  </si>
  <si>
    <t>GrossLoad</t>
  </si>
  <si>
    <t>RetailRates</t>
  </si>
  <si>
    <t>ROE incentive, for each million dollars of Incentive Net Plant.  It is calculated according to the following formula:</t>
  </si>
  <si>
    <t>1) Calculation of Transmission Wages and Salaries Allocation Factor</t>
  </si>
  <si>
    <t>2) Calculation of Transmission Plant Allocation Factor</t>
  </si>
  <si>
    <t xml:space="preserve">Transmission </t>
  </si>
  <si>
    <t>Plant - ISO</t>
  </si>
  <si>
    <t>Total Plant In Service</t>
  </si>
  <si>
    <t>HV and LV Gross Plant Percentages:</t>
  </si>
  <si>
    <t xml:space="preserve">Total Wages and Salaries wo A&amp;G </t>
  </si>
  <si>
    <t>Franchise Fee Factor:</t>
  </si>
  <si>
    <t>Reference:</t>
  </si>
  <si>
    <t>Table of Contents</t>
  </si>
  <si>
    <t>Worksheet Name</t>
  </si>
  <si>
    <t>BaseTRR</t>
  </si>
  <si>
    <t>Base TRR Components.</t>
  </si>
  <si>
    <t>Determination of Capital Structure</t>
  </si>
  <si>
    <t>Calculation of Depreciation Expense</t>
  </si>
  <si>
    <t>Presentation of Depreciation Rates</t>
  </si>
  <si>
    <t xml:space="preserve">Determination of Plant In Service balances </t>
  </si>
  <si>
    <t>Calculation of Abandoned Plant</t>
  </si>
  <si>
    <t>Summary of Incentive Plant balances in the Prior Year</t>
  </si>
  <si>
    <t>Calculation of the Incremental Forecast Period TRR</t>
  </si>
  <si>
    <t>Calculation of the True Up Adjustment</t>
  </si>
  <si>
    <t>Calculation of Accumulated Depreciation</t>
  </si>
  <si>
    <t>Calculation of Operations and Maintenance Expense</t>
  </si>
  <si>
    <t>Calculation of Revenue Credits</t>
  </si>
  <si>
    <t>Calculation of Regulatory Assets/Liabilities and Regulatory Debits</t>
  </si>
  <si>
    <t>Calculation of Composite Tax Rate</t>
  </si>
  <si>
    <t>Calculation of Franchise Fees Factor and Uncollectibles Expense Factor</t>
  </si>
  <si>
    <t>Calculation of components of SCE's Wholesale TRR</t>
  </si>
  <si>
    <t>Calculation of High and Low Voltage percentages of Gross Plant</t>
  </si>
  <si>
    <t>Presentation of forecast Gross Load for wholesale rate calculations</t>
  </si>
  <si>
    <t>Calculation of retail transmission rates</t>
  </si>
  <si>
    <t xml:space="preserve">Calculation of Materials and Supplies and Prepayments </t>
  </si>
  <si>
    <t>Gain negative, loss positive</t>
  </si>
  <si>
    <t>Partial Year</t>
  </si>
  <si>
    <t>Net Gain (Loss) From Purchase and Tender Offers</t>
  </si>
  <si>
    <t>Amortization of Net Gain (Loss)  From Purchases and Tender Offers</t>
  </si>
  <si>
    <t>Amortization Issuance Costs</t>
  </si>
  <si>
    <t>Retail Base TRR:</t>
  </si>
  <si>
    <t>1) Derivation of "Total Demand Rate" and "Total Energy Rate":</t>
  </si>
  <si>
    <t>Note 3</t>
  </si>
  <si>
    <t>CPUC Rate Group</t>
  </si>
  <si>
    <t>12-CP factors</t>
  </si>
  <si>
    <t>Total Allocated costs</t>
  </si>
  <si>
    <t>1d</t>
  </si>
  <si>
    <t>1e</t>
  </si>
  <si>
    <t>1f</t>
  </si>
  <si>
    <t>1g</t>
  </si>
  <si>
    <t>1h</t>
  </si>
  <si>
    <t>1i</t>
  </si>
  <si>
    <t>1j</t>
  </si>
  <si>
    <t>1k</t>
  </si>
  <si>
    <t>1l</t>
  </si>
  <si>
    <t>1m</t>
  </si>
  <si>
    <t>1n</t>
  </si>
  <si>
    <t>Note 4</t>
  </si>
  <si>
    <t>1o</t>
  </si>
  <si>
    <t>Note 5</t>
  </si>
  <si>
    <t>Note 6</t>
  </si>
  <si>
    <t>Note 7</t>
  </si>
  <si>
    <t>13a</t>
  </si>
  <si>
    <t>Note 11</t>
  </si>
  <si>
    <t>Energy Charge - $/kWh</t>
  </si>
  <si>
    <t>Rate Schedules in each CPUC Rate Group:</t>
  </si>
  <si>
    <t>Rate Schedules included in Each Rate Group in the Rate Effective Period</t>
  </si>
  <si>
    <t>Recorded 12-CP Load Data by Rate Group (MW)</t>
  </si>
  <si>
    <t>Line losses</t>
  </si>
  <si>
    <t>28e</t>
  </si>
  <si>
    <t>28f</t>
  </si>
  <si>
    <t>Calculation of Plant Held for Future Use</t>
  </si>
  <si>
    <t>Plant In Service</t>
  </si>
  <si>
    <t>13-Mo. Avg:</t>
  </si>
  <si>
    <t>Sum C2 - C4</t>
  </si>
  <si>
    <t>Average:</t>
  </si>
  <si>
    <t>G&amp;I Plant</t>
  </si>
  <si>
    <t>c) Any refunds attributable to SCE's previous CWIP TRR cases (Docket Nos. ER08-375, ER09-187, ER10-160, and ER11-1952), not previously returned to customers.</t>
  </si>
  <si>
    <t>Calculation of Network Upgrade Credits and Network Upgrade Interest Expense</t>
  </si>
  <si>
    <t>Forecast Additions to Net Plant</t>
  </si>
  <si>
    <t>Calculation of SCE's Wholesale transmission rates</t>
  </si>
  <si>
    <t>Towers and Fixtures</t>
  </si>
  <si>
    <t xml:space="preserve">1) Upon Commission approval of any incentives for additional projects, add additional projects and provide cite to the </t>
  </si>
  <si>
    <t>General + Elec. Misc. Intangible Plant</t>
  </si>
  <si>
    <t>Late Payment Charge- Comm. &amp; Ind.</t>
  </si>
  <si>
    <t>HV Transmission Lines</t>
  </si>
  <si>
    <t>Schedule</t>
  </si>
  <si>
    <t>TRANSMISSION PLANT HELD FOR FUTURE USE</t>
  </si>
  <si>
    <t>Partial Year TRR Attribution Allocation Factors:</t>
  </si>
  <si>
    <t>3) The True Up Adjustment is a component of the Base TRR that reflects the difference between projected and</t>
  </si>
  <si>
    <t>Initial Prior Year?:</t>
  </si>
  <si>
    <t>If Initial Prior Year, enter "Yes", else "No"</t>
  </si>
  <si>
    <t>Any gain or loss on non-land portions of Transmission Plant Held for Future Use is not included.</t>
  </si>
  <si>
    <t>list on lines 2a, 2b, etc.  Provide description in Column 1.  Note type of plant (land or other) in Column 2.</t>
  </si>
  <si>
    <t>Under "Source" (Column 5), state the line number on FERC Form 1 page 214 from which the amount is derived.</t>
  </si>
  <si>
    <t xml:space="preserve">3) Add additional lines 2 i, j, k, etc. as necessary to include additional projects intended to be placed under the </t>
  </si>
  <si>
    <t>See Note 2.</t>
  </si>
  <si>
    <t>General</t>
  </si>
  <si>
    <t>Intangible</t>
  </si>
  <si>
    <t>FF1 206.99.b and 204.5b</t>
  </si>
  <si>
    <t>b) EOY G&amp;I Plant</t>
  </si>
  <si>
    <t xml:space="preserve">a) BOY/EOY Average G&amp;I Plant </t>
  </si>
  <si>
    <t>FF1 page 214.47d</t>
  </si>
  <si>
    <t>1) Amount of Line 1 not intended to be placed under the Operational Control of the ISO.</t>
  </si>
  <si>
    <t xml:space="preserve">Accumulated Deferred Income Taxes </t>
  </si>
  <si>
    <t>Reason</t>
  </si>
  <si>
    <t>FF1 277.19k</t>
  </si>
  <si>
    <t>Account 282</t>
  </si>
  <si>
    <t>Account 283</t>
  </si>
  <si>
    <t>Account 190</t>
  </si>
  <si>
    <t>FF1 234.18c</t>
  </si>
  <si>
    <t>Effective State</t>
  </si>
  <si>
    <t>Tax Rate</t>
  </si>
  <si>
    <t>Ratio of SCE</t>
  </si>
  <si>
    <t>Sum C2 - C11</t>
  </si>
  <si>
    <t>Total Distribution</t>
  </si>
  <si>
    <t>FF1 113.56d</t>
  </si>
  <si>
    <t>1) Latest SCE approved sales forecast as of April 15 of each year.</t>
  </si>
  <si>
    <t>2) SCE pump load forecast as of April 15 of each year.</t>
  </si>
  <si>
    <t>1) Prior Year CWIP, Total and by Project</t>
  </si>
  <si>
    <t>Def Operating Land &amp; Facilities Rent Rev</t>
  </si>
  <si>
    <t>FF-1 Total for Account 456.1 - Revenues from Trans. Of Electricity of Others, p300.22b (Must Equal Line 16)</t>
  </si>
  <si>
    <t>FF-1 Total for Acct 450 - Forfeited Discounts, p300.16b (Must Equal Line 2)
(Must Equal Line X)</t>
  </si>
  <si>
    <t>FF-1 Total for Acct 451 - Misc. Service Revenues, p300.17b 
(Must Equal Line 5)</t>
  </si>
  <si>
    <t>FF-1 Total for Acct 453 - Sales of Water and Power, p300.18b
(Must Equal Line 8)</t>
  </si>
  <si>
    <t>FF-1 Total for Acct 454 - Rent from Elec. Property, p300.19b
(Must Equal Line 11)</t>
  </si>
  <si>
    <t>FF-1 Total for Acct 456 - Other electric Revenues, p300.21b
(Must Equal Line 13)</t>
  </si>
  <si>
    <t>FF-1 Total for Account 457.1 - Regional Control Service Revenues, p300.23b (Must Equal Line 19)</t>
  </si>
  <si>
    <t>FF-1 Total for Account 457.2- Miscellaneous Revenues, p300.24b 
(Must Equal Line 22)</t>
  </si>
  <si>
    <t>FF-1 Total for Account 418.1 -Equity in Earnings of Subsidiary Companies, p117.36c (Must Equal Line 29 + 30)</t>
  </si>
  <si>
    <t>FF-1 Total for Account 417 - Revenues From Nonutility Operations  p117.33c (Must Equal Line 25 + 26)</t>
  </si>
  <si>
    <t>Calculation of the Contribution of CWIP to the Base TRR</t>
  </si>
  <si>
    <t>Cost of Capital Rate:</t>
  </si>
  <si>
    <t>Return:</t>
  </si>
  <si>
    <t>ROE Adder %:</t>
  </si>
  <si>
    <t>ROE Adder Tehachapi:</t>
  </si>
  <si>
    <t>ROE Adder DCR:</t>
  </si>
  <si>
    <t>FF Factor:</t>
  </si>
  <si>
    <t>U Factor:</t>
  </si>
  <si>
    <t>2) Summary of Prior Year Incentive Rate Base amounts (EOY Values)</t>
  </si>
  <si>
    <t>d) ROE Incentives:</t>
  </si>
  <si>
    <t>2) Devers to Colorado River</t>
  </si>
  <si>
    <t>2) Contribution from the Incremental Forecast Period TRR</t>
  </si>
  <si>
    <t>b) Return:</t>
  </si>
  <si>
    <t>Tehachapi:</t>
  </si>
  <si>
    <t>Devers to Colorado River:</t>
  </si>
  <si>
    <t>Eldorado Ivanpah:</t>
  </si>
  <si>
    <t>Lugo-Pisgah:</t>
  </si>
  <si>
    <t>Red Bluff:</t>
  </si>
  <si>
    <t>Whirlwind Sub Expansion:</t>
  </si>
  <si>
    <t>Colorado River Sub Expansion:</t>
  </si>
  <si>
    <t>South of Kramer:</t>
  </si>
  <si>
    <t>West of Devers:</t>
  </si>
  <si>
    <t>PY Total Return, Taxes, Incentive:</t>
  </si>
  <si>
    <t>Total without FF&amp;U:</t>
  </si>
  <si>
    <t>Total Contribution of CWIP to Retail Base TRR:</t>
  </si>
  <si>
    <t>Transmission Revenues: (Note 12)</t>
  </si>
  <si>
    <t>13) Only include Base Transmission Revenue attributable to this formula transmission rate.</t>
  </si>
  <si>
    <t>14) Other Transmission Revenue includes the following:</t>
  </si>
  <si>
    <t>12) Only provide if formula was in effect during Prior Year.</t>
  </si>
  <si>
    <t>See Note 14</t>
  </si>
  <si>
    <t>Operations and Maintenance Expenses</t>
  </si>
  <si>
    <t>1) Determination of Adjusted Operations and Maintenance Expenses for each account (Note 1)</t>
  </si>
  <si>
    <t>= C3 + C4</t>
  </si>
  <si>
    <t>= C7 + C8</t>
  </si>
  <si>
    <t>= C10 + C11</t>
  </si>
  <si>
    <t>= C3 + C7</t>
  </si>
  <si>
    <t>= C4 + C8</t>
  </si>
  <si>
    <t>Account/Work Activity  Rev</t>
  </si>
  <si>
    <t>Total Recorded O&amp;M Expenses</t>
  </si>
  <si>
    <t>Adjustments</t>
  </si>
  <si>
    <t>Adjusted Recorded O&amp;M Expenses</t>
  </si>
  <si>
    <t>Labor</t>
  </si>
  <si>
    <t>Non-Labor</t>
  </si>
  <si>
    <t>Transmission Accounts</t>
  </si>
  <si>
    <t>560 - Operations Engineering</t>
  </si>
  <si>
    <t>560 - Sylmar/Palo Verde</t>
  </si>
  <si>
    <t>561.000 Load Dispatching</t>
  </si>
  <si>
    <t>561.100 Load Dispatch-Reliability</t>
  </si>
  <si>
    <t>561.200 Load Dispatch Monitor and Operate Trans. System</t>
  </si>
  <si>
    <t>561.400 Scheduling, System Control and Dispatch Services</t>
  </si>
  <si>
    <t>561.500 Reliability, Planning and Standards Development</t>
  </si>
  <si>
    <t>562 - MOGS Station Expense</t>
  </si>
  <si>
    <t>562 - Operating Transmission Stations</t>
  </si>
  <si>
    <t>562 - Routine Testing and Inspection</t>
  </si>
  <si>
    <t>562 - Sylmar/Palo Verde</t>
  </si>
  <si>
    <t>563 - Inspect and Patrol Line</t>
  </si>
  <si>
    <t>564 - Underground Line Expense</t>
  </si>
  <si>
    <t>565 - Wheeling Costs</t>
  </si>
  <si>
    <t>565 - WAPA Transmission for Remote Service</t>
  </si>
  <si>
    <t>565 - Transmission for Four Corners</t>
  </si>
  <si>
    <t>566 - ISO/RSBA/TSP Balancing Accounts</t>
  </si>
  <si>
    <t>566 - NERC/CIP Compliance</t>
  </si>
  <si>
    <t>566 - Transmission Regulatory Policy</t>
  </si>
  <si>
    <t>566 - FERC Regulation &amp; Contracts</t>
  </si>
  <si>
    <t>566 - Grid Contract Management</t>
  </si>
  <si>
    <t>566 - Sylmar/Palo Verde/Other General Functions</t>
  </si>
  <si>
    <t>567 - Line Rents</t>
  </si>
  <si>
    <t>567 - Morongo Lease</t>
  </si>
  <si>
    <t>567 - Eldorado</t>
  </si>
  <si>
    <t>567 - Sylmar/Palo Verde</t>
  </si>
  <si>
    <t>568 - Maintenance Supervision and Engineering</t>
  </si>
  <si>
    <t>568 - Sylmar/Palo Verde</t>
  </si>
  <si>
    <t>569 - Maintenance of Structures</t>
  </si>
  <si>
    <t>569 - Sylmar/Palo Verde</t>
  </si>
  <si>
    <t>570 - Maintenance of Power Transformers</t>
  </si>
  <si>
    <t>570 - Maintenance of Transmission Circuit Breakers</t>
  </si>
  <si>
    <t>570 - Maintenance of Transmission Voltage Equipment</t>
  </si>
  <si>
    <t>570 - Maintenance of Miscellaneous Transmission Equipment</t>
  </si>
  <si>
    <t>570 - Sylmar/Palo Verde</t>
  </si>
  <si>
    <t>571 - Poles and Structures</t>
  </si>
  <si>
    <t>571 - Insulators and Conductors</t>
  </si>
  <si>
    <t xml:space="preserve">571 - Transmission Line Rights of Way </t>
  </si>
  <si>
    <t>571 - Sylmar/Palo Verde</t>
  </si>
  <si>
    <t>572 - Maintenance of Underground Transmission Lines</t>
  </si>
  <si>
    <t>572 - Sylmar/Palo Verde</t>
  </si>
  <si>
    <t>573 - Provision for Property Damage Expense to Trans. Fac.</t>
  </si>
  <si>
    <t>Total Transmission O&amp;M</t>
  </si>
  <si>
    <t>Distribution Accounts</t>
  </si>
  <si>
    <t>582 - Operation and Relay Protection of Distribution Substations</t>
  </si>
  <si>
    <t>582 - Testing and Inspecting Distribution Substation Equipment</t>
  </si>
  <si>
    <t>590 - Maintenance Supervision and Engineering</t>
  </si>
  <si>
    <t>591 - Maintenance of Structures</t>
  </si>
  <si>
    <t>592 - Maintenance of Distribution Transformers</t>
  </si>
  <si>
    <t>592 - Maintenance of Distribution Circuit Breakers</t>
  </si>
  <si>
    <t>592 - Maintenance of Distribution Voltage Control Equipment</t>
  </si>
  <si>
    <t>592 - Maintenance of Miscellaneous Distribution Equipment</t>
  </si>
  <si>
    <t>Accounts with no ISO Distribution Costs</t>
  </si>
  <si>
    <t>Total Distribution O&amp;M</t>
  </si>
  <si>
    <t>Total Transmission and Distribution O&amp;M</t>
  </si>
  <si>
    <t>Total Transmission O&amp;M Expenses in FERC Form 1:</t>
  </si>
  <si>
    <t>FF1 321.112b</t>
  </si>
  <si>
    <t>Total Distribution O&amp;M Expenses in FERC Form 1:</t>
  </si>
  <si>
    <t>FF1322.156b</t>
  </si>
  <si>
    <t>From C9 above</t>
  </si>
  <si>
    <t>From C10 above</t>
  </si>
  <si>
    <t>From C11 above</t>
  </si>
  <si>
    <t>ISO O&amp;M Expenses</t>
  </si>
  <si>
    <t>Total Transmission - ISO O&amp;M</t>
  </si>
  <si>
    <t>Total Distribution - ISO O&amp;M</t>
  </si>
  <si>
    <t>1) "Adjusted Operations and Maintenance Expenses for each account" are the total amounts of O&amp;M costs booked to each Transmission or Distribution account, less adjustments as noted.</t>
  </si>
  <si>
    <t>2) Reasons for excluded amounts:</t>
  </si>
  <si>
    <t>A: Exclude entire amount, all attributable to CAISO costs recovered in Energy Resource Recovery Account.</t>
  </si>
  <si>
    <t>B: Exclude amount related to MOGS Station Expense.</t>
  </si>
  <si>
    <t>C: Exclude amount attributable to CAISO costs recovered in Energy Resource Recovery Account.</t>
  </si>
  <si>
    <t>D: Exclude amount recovered through to Reliability Services Balancing Account, the Transmission Access Charge Balancing Account Adjustment,</t>
  </si>
  <si>
    <t>3) Input most recent available ratios based on</t>
  </si>
  <si>
    <t xml:space="preserve">      taxable income from state return filings.</t>
  </si>
  <si>
    <t>Remaining Electric Payroll Tax Expense to Allocate</t>
  </si>
  <si>
    <t>BOY:</t>
  </si>
  <si>
    <t>EOY:</t>
  </si>
  <si>
    <t>BOY/EOY Average:</t>
  </si>
  <si>
    <t xml:space="preserve">Depreciation </t>
  </si>
  <si>
    <t>Reserve</t>
  </si>
  <si>
    <t>a) Average BOY/EOY General and Intangible Depreciation Reserve</t>
  </si>
  <si>
    <t>Total G+I Dep. Reserve on Average BOY/EOY basis:</t>
  </si>
  <si>
    <t>G + I Plant Dep. Reserve (BOY/EOY Average):</t>
  </si>
  <si>
    <t>Total G+I Dep. Reserve on Average EOY basis:</t>
  </si>
  <si>
    <t>G + I Plant Dep. Reserve (EOY):</t>
  </si>
  <si>
    <t>Calculation of Wholesale Difference to the Base TRR</t>
  </si>
  <si>
    <t xml:space="preserve">The Wholesale Difference to the Base TRR represents the amount by which the Wholesale Base TRR differs as </t>
  </si>
  <si>
    <t>If the annual amortization affects Income Taxes, there is an additional annual Income Tax Effect.  The table</t>
  </si>
  <si>
    <t>summarizes these impacts for each item:</t>
  </si>
  <si>
    <t xml:space="preserve">Expense </t>
  </si>
  <si>
    <t>(Amortization)</t>
  </si>
  <si>
    <t>Tax Impact</t>
  </si>
  <si>
    <t>a) Depreciation</t>
  </si>
  <si>
    <t>b) Taxes Deferred -Make Up Adjustment (South Georgia)</t>
  </si>
  <si>
    <t>d) Taxes Deferred - Acct. 282 ACRS/MACRS</t>
  </si>
  <si>
    <t>e) Uncollectibles Expense</t>
  </si>
  <si>
    <t>1) Calculation of Wholesale Rate Base Difference and Wholesale Rate Base Adjustment</t>
  </si>
  <si>
    <t>a) Quantification of the Initial 2010 Wholesale Rate Base Difference and annual change</t>
  </si>
  <si>
    <t>The difference between Retail and Wholesale Rate Base is attributable to the following four items, with</t>
  </si>
  <si>
    <t>with the Initial Prior Year 2010 Rate Base differences and annual changes as follows:</t>
  </si>
  <si>
    <t>2010 Rate Base</t>
  </si>
  <si>
    <t>Annual</t>
  </si>
  <si>
    <t>(Wholesale</t>
  </si>
  <si>
    <t>Change</t>
  </si>
  <si>
    <t>less Retail)</t>
  </si>
  <si>
    <t>1) Accumulated Depreciation</t>
  </si>
  <si>
    <t>Fixed values</t>
  </si>
  <si>
    <t>2) Taxes Deferred - Make Up Adjustment</t>
  </si>
  <si>
    <t>4) Taxes Deferred - Acct. 282 ACRS/MACRS</t>
  </si>
  <si>
    <t>b) Quantification of the Wholesale Rate Base Adjustment</t>
  </si>
  <si>
    <t>the Wholesale Rate Base Difference for the Prior Year.</t>
  </si>
  <si>
    <t>Notes/Instructions</t>
  </si>
  <si>
    <t>Fixed Charge Rate</t>
  </si>
  <si>
    <t>Wholesale Rate Base Difference for Prior Year</t>
  </si>
  <si>
    <t>Wholesale Rate Base Adjustment</t>
  </si>
  <si>
    <t>a) Calculation of the Wholesale South Georgia Income Tax Adjustment to the TRR</t>
  </si>
  <si>
    <t>South Georgia Amortization</t>
  </si>
  <si>
    <t>Total Expense Difference:</t>
  </si>
  <si>
    <t>3) Calculation of the Wholesale Difference to the Base TRR</t>
  </si>
  <si>
    <t>Expense Difference</t>
  </si>
  <si>
    <t>Wholesale Difference to the Base TRR:</t>
  </si>
  <si>
    <t>Notes/Instructions:</t>
  </si>
  <si>
    <t>1) Fixed Charge Rate of capital and income tax costs associated with $1 of Rate Base</t>
  </si>
  <si>
    <t>is defined elsewhere in this formula as "AFCRCWIP".</t>
  </si>
  <si>
    <t>WholesaleDifference</t>
  </si>
  <si>
    <t>Calculation of the Wholesale Difference to the Base TRR</t>
  </si>
  <si>
    <t>Franchise Fee Exclusion</t>
  </si>
  <si>
    <t>Wholesale Difference to the Base TRR</t>
  </si>
  <si>
    <t xml:space="preserve">Base TRR (Retail) </t>
  </si>
  <si>
    <t>Amount to apply the Transmission W&amp;S AF:</t>
  </si>
  <si>
    <t>Transmission W&amp;S AF Portion of A&amp;G:</t>
  </si>
  <si>
    <t>Department</t>
  </si>
  <si>
    <t>A&amp;G</t>
  </si>
  <si>
    <t>Trans. And Dist. Business Unit</t>
  </si>
  <si>
    <t>Total Amount</t>
  </si>
  <si>
    <t>2) Determination of ISO Operations and Maintenance Expenses for each account (Note 5).</t>
  </si>
  <si>
    <t>Joint Pole - Aud - Unauth Penalty</t>
  </si>
  <si>
    <t>Microwave Agreement</t>
  </si>
  <si>
    <t>Miscellaneous Adjustments</t>
  </si>
  <si>
    <t>-</t>
  </si>
  <si>
    <t>Tax Gross Up Factor</t>
  </si>
  <si>
    <t>It represents the effect on expenses (Wholesale less Retail) of amortizing the associated balances each year.</t>
  </si>
  <si>
    <t>CALCULATION OF SCE WHOLESALE HIGH AND LOW VOLTAGE TRRS</t>
  </si>
  <si>
    <t>Gross Load =</t>
  </si>
  <si>
    <t>LV TRR =</t>
  </si>
  <si>
    <t>Low Voltage Access Charge =</t>
  </si>
  <si>
    <t>Low Voltage Wheeling Access Charge =</t>
  </si>
  <si>
    <t>High Voltage Utility-Specific Rate =</t>
  </si>
  <si>
    <t>HV Wholesale TRR =</t>
  </si>
  <si>
    <t>Sum of Monthly Peak Demands:</t>
  </si>
  <si>
    <t>HV Existing Contracts Access Charge:</t>
  </si>
  <si>
    <t>LV Wholesale TRR =</t>
  </si>
  <si>
    <t>LV Existing Contracts Access Charge:</t>
  </si>
  <si>
    <t>a) CWIP Balances:</t>
  </si>
  <si>
    <t>CWIP Amount:</t>
  </si>
  <si>
    <t>Cost of Capital:</t>
  </si>
  <si>
    <t>Equity ROR w Preferred Stock ("ER"):</t>
  </si>
  <si>
    <t>Tehachapi CWIP Amount:</t>
  </si>
  <si>
    <t>ROE  Adder $:</t>
  </si>
  <si>
    <t>ROE Adder $ = (CWIP/$1,000,000) * IREF * (ROE Adder/1%)</t>
  </si>
  <si>
    <t>PYTRR</t>
  </si>
  <si>
    <t>1) Contribution to the Prior Year TRR</t>
  </si>
  <si>
    <t>Cost of</t>
  </si>
  <si>
    <t>Income</t>
  </si>
  <si>
    <t>Capital</t>
  </si>
  <si>
    <t>Taxes</t>
  </si>
  <si>
    <t>a) Total of all CWIP projects</t>
  </si>
  <si>
    <t>b) Individual Project Contribution</t>
  </si>
  <si>
    <t>b) Individual CWIP Project Contribution to the Retail Base TRR</t>
  </si>
  <si>
    <t>FF&amp;U</t>
  </si>
  <si>
    <t>Direct CWIP Related Costs:</t>
  </si>
  <si>
    <t>Calculation of SCE Wholesale Rates (See Note 1)</t>
  </si>
  <si>
    <t>1) SCE's wholesale rates are subject to revision upon acceptance by the Commission of a revised TRBAA</t>
  </si>
  <si>
    <t xml:space="preserve">1) TRBAA is "Transmission Revenue Balancing Account Adjustment".  The TRBAA is determined pursuant to SCE's </t>
  </si>
  <si>
    <t>amount, or upon the date the Commission orders.</t>
  </si>
  <si>
    <t>Determination of Prior Year TRR without CWIP related costs:</t>
  </si>
  <si>
    <t>a) Determination of CWIP-Related Costs</t>
  </si>
  <si>
    <t>1) Direct (without ROE adder) CWIP costs</t>
  </si>
  <si>
    <t>2) CWIP ROE Adder costs:</t>
  </si>
  <si>
    <t>DCR CWIP Amount:</t>
  </si>
  <si>
    <t>Tehachapi ROE  Adder $:</t>
  </si>
  <si>
    <t>Tehachapi ROE Adder %:</t>
  </si>
  <si>
    <t>DCR ROE Adder %:</t>
  </si>
  <si>
    <t>DCR ROE  Adder $:</t>
  </si>
  <si>
    <t>IREF:</t>
  </si>
  <si>
    <t>b) Determination of AFCR:</t>
  </si>
  <si>
    <t>CWIPTRR</t>
  </si>
  <si>
    <t>Calculation of Contribution of CWIP to TRRs</t>
  </si>
  <si>
    <t>Overview of SCE Retail Base TRR</t>
  </si>
  <si>
    <t>3) The True Up Adjustment for the initial Base TRR is $0.</t>
  </si>
  <si>
    <t xml:space="preserve">1) Depreciation Expense for each account for each month is equal to the previous month balance of Transmission Plant - ISO for that </t>
  </si>
  <si>
    <t>2) Enter total amounts of plant from FERC Form 1 in Column 1, "Total Plant".</t>
  </si>
  <si>
    <t xml:space="preserve">1) Determine Prior Year Incentive Adder for each Incentive Project by multiplying the </t>
  </si>
  <si>
    <t>Forecast Plant Additions for In-Service ISO Transmission Plant</t>
  </si>
  <si>
    <t xml:space="preserve">Forecast Plant Additions represents the total increase in ISO Transmission Net Plant, not including CWIP, </t>
  </si>
  <si>
    <t>AFCRCWIP represents the return and income tax costs associated with $1 of CWIP,</t>
  </si>
  <si>
    <t>CWIP Plant - Prior Year:</t>
  </si>
  <si>
    <t>Prior Year TRR wo CWIP Related Costs:</t>
  </si>
  <si>
    <t>Percent</t>
  </si>
  <si>
    <t>Percentage</t>
  </si>
  <si>
    <t xml:space="preserve">the formula shall be weighted by the number of days each such rate was in effect.  For example, a 35% rate </t>
  </si>
  <si>
    <t xml:space="preserve"> ((.3500 x 120) + (.4000 x 245))/365 = .3836.</t>
  </si>
  <si>
    <t xml:space="preserve">in effect for 120 days superseded by a 40% rate in effect for the remainder of the year will be calculated as: </t>
  </si>
  <si>
    <t>1) In the event that statutory marginal tax rates change during the Prior Year, the effective tax rate used in</t>
  </si>
  <si>
    <t>Summary of Split of T&amp;D Plant into ISO and Non-ISO</t>
  </si>
  <si>
    <t>Total without FF&amp;U</t>
  </si>
  <si>
    <t>IFPTRR without FF&amp;U:</t>
  </si>
  <si>
    <t>Franchise Fees Expense:</t>
  </si>
  <si>
    <t>Uncollectibles Expense:</t>
  </si>
  <si>
    <t>Uncollectibles Expense -- Prior Year TRR</t>
  </si>
  <si>
    <t>Uncollectibles Expense -- IFPTRR</t>
  </si>
  <si>
    <t>FF&amp;U:</t>
  </si>
  <si>
    <t>CWIP component of IFPTRR without FF&amp;U:</t>
  </si>
  <si>
    <t>CWIP component of IFPTRR including FF&amp;U:</t>
  </si>
  <si>
    <t xml:space="preserve">Note 4: </t>
  </si>
  <si>
    <t>Franchise Fees Expenses component of the Prior Year TRR are based on Franchise Fee Factors.</t>
  </si>
  <si>
    <t>State Taxable</t>
  </si>
  <si>
    <t>Income to SCE</t>
  </si>
  <si>
    <t>Taxable Income</t>
  </si>
  <si>
    <t>FF</t>
  </si>
  <si>
    <t>= Sum C1 to C4</t>
  </si>
  <si>
    <t>FF&amp;U Expenses:</t>
  </si>
  <si>
    <t>CWIP Related Costs wo FF&amp;U:</t>
  </si>
  <si>
    <t>CWIP Related Costs with FF&amp;U:</t>
  </si>
  <si>
    <t>12-CP MW</t>
  </si>
  <si>
    <t>Loss Adjusted Average 12-CP</t>
  </si>
  <si>
    <t>siting, or informational purposes in column 1.</t>
  </si>
  <si>
    <t>4) Calculation of True-Up Incentive Adder</t>
  </si>
  <si>
    <t xml:space="preserve">1) Determine True Up Incentive Adder for each Incentive Project by multiplying the </t>
  </si>
  <si>
    <t>True-Up Incentive Adder =</t>
  </si>
  <si>
    <t>True Up Incentive Adder</t>
  </si>
  <si>
    <t xml:space="preserve">(HV Allocation Factor and </t>
  </si>
  <si>
    <t>571 - Transmission Work Order Related Expense</t>
  </si>
  <si>
    <t>Unamortized Issuance Costs</t>
  </si>
  <si>
    <t>Minus Net Gain (Loss) From Purchase and Tender Offers</t>
  </si>
  <si>
    <t>Less Unappropriated Undist. Sub. Earnings -- Acct. 216.1</t>
  </si>
  <si>
    <t>Less Accumulated Other Comprehensive Loss -- Account 219</t>
  </si>
  <si>
    <t>Calculation of Preferred Stock Amount</t>
  </si>
  <si>
    <t>Calculation of Cost of Preferred Stock</t>
  </si>
  <si>
    <t>June</t>
  </si>
  <si>
    <t>Col 13</t>
  </si>
  <si>
    <t>Col 14</t>
  </si>
  <si>
    <t>= C2 + C3</t>
  </si>
  <si>
    <t>IREF = CSCP * 0.01 * (1/(1 - CTR)) * $1,000,000</t>
  </si>
  <si>
    <t>CPUC Jurisdictional service related.</t>
  </si>
  <si>
    <t>CWIP component of IFPTRR wo FF&amp;U:</t>
  </si>
  <si>
    <t>c) Individual CWIP Project Contribution to the Wholesale Base TRR</t>
  </si>
  <si>
    <t>wo FF&amp;U</t>
  </si>
  <si>
    <t>with FF&amp;U</t>
  </si>
  <si>
    <t>6) Same as Note 5 except no Uncollectibles Expense in Column 3.</t>
  </si>
  <si>
    <t>Total Contribution of CWIP to Wholesale Base TRR:</t>
  </si>
  <si>
    <t>Franchise Fees Amount:</t>
  </si>
  <si>
    <t>Uncollectibles Amount:</t>
  </si>
  <si>
    <t>3) Total Contribution of CWIP to the Retail and Wholesale Base TRRs:</t>
  </si>
  <si>
    <t>A) Rate Base for True Up TRR</t>
  </si>
  <si>
    <t>Total without True Up Incentive Adder</t>
  </si>
  <si>
    <t>True Up TRR wo FF:</t>
  </si>
  <si>
    <t>True Up TRR:</t>
  </si>
  <si>
    <t>a) Attribute True Up TRR to months in the Prior Year (see Note #1) to determine "Monthly True Up TRR"</t>
  </si>
  <si>
    <t>b) Determine monthly retail transmission revenues attributable to this formula transmission rate received during Prior Year.</t>
  </si>
  <si>
    <t>2) Comparison of True Up TRR and Actual Retail Transmission Revenues received during the Prior Year,</t>
  </si>
  <si>
    <t>1) The true up period is the portion (all or part) of the Prior Year for which the Formula Transmission Rate was in effect.</t>
  </si>
  <si>
    <t>2) The Monthly True Up TRR is derived by multiplying the annual True Up TRR on Line 1 by 1/12, if formula was in effect.  In the event of</t>
  </si>
  <si>
    <t xml:space="preserve">b) In the event that a Commission Order revises SCE's True Up TRR for a previous Prior Year, </t>
  </si>
  <si>
    <t xml:space="preserve">8) If true up period is less than entire calendar year, then adjust calculation accordingly by including $0 Monthly True Up TRR and for </t>
  </si>
  <si>
    <t>TUTRR</t>
  </si>
  <si>
    <t>Calculation of the True Up TRR</t>
  </si>
  <si>
    <t>2) Prior Year Incentive Rate Base - End of Year</t>
  </si>
  <si>
    <t>3) Prior Year Incentive Rate Base - 13-Month Average</t>
  </si>
  <si>
    <t>3) Summary of Prior Year Incentive Rate Base amounts (13-Month Average values)</t>
  </si>
  <si>
    <t>a) CWIP Plant during the Prior Year is included in Rate Base (used in Prior Year TRR and True Up TRR).</t>
  </si>
  <si>
    <t xml:space="preserve">c) CWIP Plant receiving an ROE adder contributes to Prior Year Incentive Rate Base - EOY, </t>
  </si>
  <si>
    <t>or Prior Year Incentive Rate Base - 13 Month Average as appropriate.</t>
  </si>
  <si>
    <t>e) "TIP Net Plant In Service" in PY is used to calculate the Prior Year Incentive Rate Base (on 13-month average basis).</t>
  </si>
  <si>
    <t>d) "TIP Net Plant In Service" at EOY Prior Year is used to calculate the PY Incentive Rate Base (on EOY basis).</t>
  </si>
  <si>
    <t>b) The True Up Incentive Adder is a component of the True Up TRR.</t>
  </si>
  <si>
    <t>IREF, the Multiplicative Factor, and the million $ of True Up Incentive Net Plant.</t>
  </si>
  <si>
    <t>1) CWIP Contribution to the Prior Year TRR and True Up TRR</t>
  </si>
  <si>
    <t>e) Total of Return, Income Taxes, and ROE Incentives contribution to PYTRR and True Up TRR</t>
  </si>
  <si>
    <t>f) Contribution from each Project to the Prior Year TRR and True Up TRR</t>
  </si>
  <si>
    <t>2) Contribution to the True Up TRR</t>
  </si>
  <si>
    <t>CWIP Component of Wholesale Base TRR:</t>
  </si>
  <si>
    <t>Non-CWIP Component of Wholesale Base TRR:</t>
  </si>
  <si>
    <t>Calculation of Total High Voltage and Low Voltage components of Wholesale TRR</t>
  </si>
  <si>
    <t>c) Excess Deferred Taxes</t>
  </si>
  <si>
    <t>3) Excess Deferred Taxes</t>
  </si>
  <si>
    <t>Annual Amort. of "Excess Deferred Taxes":</t>
  </si>
  <si>
    <t>b) Calculation of "Excess Deferred Taxes" Grossed Up for Income Taxes</t>
  </si>
  <si>
    <t>Excess Deferred Taxes Grossed Up for Income Taxes:</t>
  </si>
  <si>
    <t>Non-ISO facilities related.</t>
  </si>
  <si>
    <t>2) Calculation of Wholesale Expense Difference</t>
  </si>
  <si>
    <t>5) Calculation of Total ROE for Plant-In Service in the True Up TRR</t>
  </si>
  <si>
    <t>a) Transmission Incentive Plant Net Plant In Service</t>
  </si>
  <si>
    <t>b) Calculation of ROE Adders on TIP Net Plant In Service</t>
  </si>
  <si>
    <t>After-Tax</t>
  </si>
  <si>
    <t>c) Equity Portion of Plant In Service Rate Base</t>
  </si>
  <si>
    <t>Total Rate Base:</t>
  </si>
  <si>
    <t>CWIP Portion of Rate Base:</t>
  </si>
  <si>
    <t>Plant In Service Rate Base:</t>
  </si>
  <si>
    <t>Equity percentage:</t>
  </si>
  <si>
    <t>Equity Portion of Plant In Service Rate Base:</t>
  </si>
  <si>
    <t>d) Total ROE for Plant In Service in the True Up TRR</t>
  </si>
  <si>
    <t>Plant In Service ROE Adder Percentage:</t>
  </si>
  <si>
    <t>Base ROE (Including 50 basis point</t>
  </si>
  <si>
    <t>CAISO Participation Adder):</t>
  </si>
  <si>
    <t>Total ROE for Plant In Service in True Up TRR:</t>
  </si>
  <si>
    <t>Column 2: The After Tax True Up Incentive Adder is derived by multiplying the amounts in</t>
  </si>
  <si>
    <t>1) Wholesale Depreciation Difference</t>
  </si>
  <si>
    <t>Negative amount is to be returned to customers by SCE (included in Base TRR as a negative amount).</t>
  </si>
  <si>
    <t>11) Interest for Current Month is calculated on average of beginning and end balances (wo interest) in Columns 3 and 5.</t>
  </si>
  <si>
    <t>Balances for Transmission Plant - ISO during the Prior Year, including December of previous year (See Note 1):</t>
  </si>
  <si>
    <t>Transmission Activity Used to Determine Monthly Transmission Plant - ISO Balances</t>
  </si>
  <si>
    <t>1) Total Transmission Activity by Account (See Note 3)</t>
  </si>
  <si>
    <t>4) Calculation of change in Non-Incentive ISO Plant:</t>
  </si>
  <si>
    <t>A) Change in ISO Plant Balance December to December (See Note 6)</t>
  </si>
  <si>
    <t>B) Change in Incentive ISO Plant (See Note 7)</t>
  </si>
  <si>
    <t>C) Change in Non-Incentive ISO Plant (See Note 8)</t>
  </si>
  <si>
    <t>3) General and Intangible Depreciation Reserve</t>
  </si>
  <si>
    <t>Transmission Activity Used to Determine Monthly Transmission Depreciation Reserve - ISO Balances</t>
  </si>
  <si>
    <t>4) Calculation of Other Transmission Activity</t>
  </si>
  <si>
    <t>Balances for Transmission Depreciation Reserve - ISO during the Prior Year, including December of previous year (See Note 1):</t>
  </si>
  <si>
    <t>2) Distribution Depreciation Reserve - ISO (See Note 2)</t>
  </si>
  <si>
    <t>3) Total Transmission Activity by Account represents accumulated depreciation changes for all Transmission plant.</t>
  </si>
  <si>
    <t>2) Depreciation Expense (See Note 4)</t>
  </si>
  <si>
    <t>3) Total Transmission Activity less Depreciation Expense (See Note 5)</t>
  </si>
  <si>
    <t>A) Change in Depreciation Reserve - ISO (See Note 6)</t>
  </si>
  <si>
    <t>B) Total Depreciation Expense (See Note 7)</t>
  </si>
  <si>
    <t>C) Other Activity (See Note 8)</t>
  </si>
  <si>
    <t>5) Other Transmission Activity (See Note 9)</t>
  </si>
  <si>
    <t>5) Total Transmission Activity for Incentive Projects</t>
  </si>
  <si>
    <t>Account 350-359</t>
  </si>
  <si>
    <t>Activity for</t>
  </si>
  <si>
    <t>360-362</t>
  </si>
  <si>
    <t>Projects</t>
  </si>
  <si>
    <t>Activity</t>
  </si>
  <si>
    <t xml:space="preserve">Source </t>
  </si>
  <si>
    <t>6) Calculation of Prior Year Net Plant in Service amounts for each Incentive Project</t>
  </si>
  <si>
    <t>a) Tehachapi</t>
  </si>
  <si>
    <t>Accumulated</t>
  </si>
  <si>
    <t>In-Service</t>
  </si>
  <si>
    <t>b) Rancho Vista</t>
  </si>
  <si>
    <t>c) Devers to Colorado River</t>
  </si>
  <si>
    <t>d) Eldorado Ivanpah</t>
  </si>
  <si>
    <t>e) Lugo Pisgah</t>
  </si>
  <si>
    <t>f) Red Bluff</t>
  </si>
  <si>
    <t>i) South of Kramer</t>
  </si>
  <si>
    <t>j) West of Devers</t>
  </si>
  <si>
    <t>6) Summary of Incentive Projects and incentives granted</t>
  </si>
  <si>
    <t>for each month</t>
  </si>
  <si>
    <t>C1: Sum of below projects</t>
  </si>
  <si>
    <t>1) Summary of Accumulated Deferred Income Taxes</t>
  </si>
  <si>
    <t>a) End of Year Accumulated Deferred Income Taxes</t>
  </si>
  <si>
    <t>Related</t>
  </si>
  <si>
    <t>b) Beginning of Year Accumulated Deferred Income Taxes</t>
  </si>
  <si>
    <t>Total Accumulated Deferred Income Taxes</t>
  </si>
  <si>
    <t>c) Average of Beginning and End of Year Accumulated Deferred Income Taxes</t>
  </si>
  <si>
    <t>Average BOY/EOY ADIT:</t>
  </si>
  <si>
    <t>2) Account 190 Detail</t>
  </si>
  <si>
    <t>END BAL</t>
  </si>
  <si>
    <t>Gas, Generation</t>
  </si>
  <si>
    <t>ACCT 190</t>
  </si>
  <si>
    <t>DESCRIPTION</t>
  </si>
  <si>
    <t>per G/L</t>
  </si>
  <si>
    <t>or Other Related</t>
  </si>
  <si>
    <t>ISO Only</t>
  </si>
  <si>
    <t>Plant Related</t>
  </si>
  <si>
    <t>Labor Related</t>
  </si>
  <si>
    <t>Electric:</t>
  </si>
  <si>
    <t>Continuation of Account 190 Detail</t>
  </si>
  <si>
    <t>Total Electric 190</t>
  </si>
  <si>
    <t>Account 190 Gas and Other Income:</t>
  </si>
  <si>
    <t>Total Account 190 Gas and Other Income</t>
  </si>
  <si>
    <t>Total Account 190</t>
  </si>
  <si>
    <t>FERC Form 1 Account 190</t>
  </si>
  <si>
    <t>3) Account 282 Detail</t>
  </si>
  <si>
    <t>ACCT 282</t>
  </si>
  <si>
    <t>FERC Form 1 Account 282</t>
  </si>
  <si>
    <t>FF1 275.5k</t>
  </si>
  <si>
    <t>4) Account 283 Detail</t>
  </si>
  <si>
    <t>ACCT 283</t>
  </si>
  <si>
    <t>Continuation of Account 283 Detail</t>
  </si>
  <si>
    <t>Electric (continued):</t>
  </si>
  <si>
    <t>Total Electric 283</t>
  </si>
  <si>
    <t>Total Account 283 Gas and Other</t>
  </si>
  <si>
    <t>Total Account 283</t>
  </si>
  <si>
    <t>g) Whirlwind Substation Expansion</t>
  </si>
  <si>
    <t>h) Colorado River Substation Expansion</t>
  </si>
  <si>
    <t>Office Equipment</t>
  </si>
  <si>
    <t>Duplicating Equipment</t>
  </si>
  <si>
    <t>Personal Computers</t>
  </si>
  <si>
    <t>Mainframe Computers</t>
  </si>
  <si>
    <t>PC Software</t>
  </si>
  <si>
    <t>DDSMS - CPU &amp; Processing</t>
  </si>
  <si>
    <t>DDSMS - Controllers, Receivers, Comm.</t>
  </si>
  <si>
    <t>DDSMS - Telemetering &amp; System</t>
  </si>
  <si>
    <t>DDSMS - Miscellaneous</t>
  </si>
  <si>
    <t>DDSMS - Map Board</t>
  </si>
  <si>
    <t>Stores Equipment</t>
  </si>
  <si>
    <t>Laboratory Equipment</t>
  </si>
  <si>
    <t>Misc Power Plant Equipment</t>
  </si>
  <si>
    <t>Telecom System Equipment</t>
  </si>
  <si>
    <t>Netcomm Radio Assembly</t>
  </si>
  <si>
    <t>Microwave Equip. &amp; Antenna Assembly</t>
  </si>
  <si>
    <t>Fiber Optic Communication Cables</t>
  </si>
  <si>
    <t>Telecom Infrastructure</t>
  </si>
  <si>
    <t>Transportation Equip.</t>
  </si>
  <si>
    <t>Garage &amp; Shop -- Equip.</t>
  </si>
  <si>
    <t>Tools &amp; Work Equip. -- Shop</t>
  </si>
  <si>
    <t>Power Oper Equip</t>
  </si>
  <si>
    <t>5) Monthly Interest Rates in accordance with interest rate specified in the regulations of FERC (See Instruction #3).</t>
  </si>
  <si>
    <t>FERC Form 1 Account 283</t>
  </si>
  <si>
    <t>CWIP in Rate Effective Period</t>
  </si>
  <si>
    <t>In Service Additions in Rate Effective Period:</t>
  </si>
  <si>
    <t>Low Voltage</t>
  </si>
  <si>
    <t>13-Month Averages:</t>
  </si>
  <si>
    <t>LV Allocation Factor)</t>
  </si>
  <si>
    <t>13-month avg.</t>
  </si>
  <si>
    <t>Face</t>
  </si>
  <si>
    <t>Issuance</t>
  </si>
  <si>
    <t>Issue</t>
  </si>
  <si>
    <t>Date</t>
  </si>
  <si>
    <t>Total Account 282</t>
  </si>
  <si>
    <t>Allocation Factors (Plant and Wages)</t>
  </si>
  <si>
    <t>Total Account 190 ADIT</t>
  </si>
  <si>
    <t>Total Account 282 ADIT</t>
  </si>
  <si>
    <t>(Sum of amounts in Columns 4 to 6)</t>
  </si>
  <si>
    <t>Total Account 283 ADIT</t>
  </si>
  <si>
    <t>570 - Substation Work Order Related Expense</t>
  </si>
  <si>
    <t>Other Regulatory Assets/Liabilities (BOY/EOY average):</t>
  </si>
  <si>
    <t>The Wholesale Rate Base Adjustment represents the impact on the Wholesale Base TRR relative to the Retail Base TRR of</t>
  </si>
  <si>
    <t>If an annual amortization amount affects Income Taxes, the expense difference must be grossed up for income taxes.</t>
  </si>
  <si>
    <t>Calculation of Forecast Gross Load</t>
  </si>
  <si>
    <t>CADI Vol Plan Assess</t>
  </si>
  <si>
    <t>FF1 263.1 (see note to left)</t>
  </si>
  <si>
    <t>Capitalized Overhead portion of Electric Payroll Tax Expense</t>
  </si>
  <si>
    <t>Base Transmission Revenue Requirement (Retail)</t>
  </si>
  <si>
    <t>Wholesale Base Transmission Revenue Requirement</t>
  </si>
  <si>
    <t>Calculation of Base Transmission Revenue Requirement</t>
  </si>
  <si>
    <t>Less Standby Transmission Revenues:</t>
  </si>
  <si>
    <t>Components of Wholesale</t>
  </si>
  <si>
    <t>Transmission Revenue Requirement:</t>
  </si>
  <si>
    <t>3) End-User Transmission Rates</t>
  </si>
  <si>
    <t>Calculation of 13-Month Average Capitalization Balances</t>
  </si>
  <si>
    <t>Item</t>
  </si>
  <si>
    <t>Bonds -- Account 221 (Note 1):</t>
  </si>
  <si>
    <t>Other Long Term Debt -- Account 224 (Note 3):</t>
  </si>
  <si>
    <t xml:space="preserve">1) Enter 13 months of balances for capital structure for Prior Year and December previous to Prior Year in Columns 2-14.  </t>
  </si>
  <si>
    <t>3) Capitalized Overhead portion of Electric Payroll Tax Expense</t>
  </si>
  <si>
    <t>= F + [S * (1 - F)]</t>
  </si>
  <si>
    <t>Franchise Fees and Uncollectibles Expense Factors</t>
  </si>
  <si>
    <t>2) Approved Uncollectibles Expense Factor(s)</t>
  </si>
  <si>
    <t>Transmission Owner Tariff and may be revised each January 1, upon commission acceptance of a revised TRBAA</t>
  </si>
  <si>
    <t>SCE's retail Base Transmission Revenue Requirement is the sum of the following components:</t>
  </si>
  <si>
    <t>Base TRR (retail)</t>
  </si>
  <si>
    <t>Does not include any project-specific ROE adders.</t>
  </si>
  <si>
    <t>Transmission Depreciation Reserve - ISO</t>
  </si>
  <si>
    <t>Distribution Depreciation Reserve - ISO</t>
  </si>
  <si>
    <t>Beginning and End of year amounts in Columns 2 and 14 are from FERC Form 1, as referenced in below notes.</t>
  </si>
  <si>
    <t>=Sum C2 to C4</t>
  </si>
  <si>
    <t>=Sum C2 to C11</t>
  </si>
  <si>
    <t>4) Gains and Losses on Transmission Plant Held for Future Use - Land is treated in accordance with Commission policy.</t>
  </si>
  <si>
    <t>3) Devers-Colorado River</t>
  </si>
  <si>
    <t>= C1 - C2</t>
  </si>
  <si>
    <t>= C1 - Previous</t>
  </si>
  <si>
    <t>Month C1</t>
  </si>
  <si>
    <t>Total PY Incentive Net Plant:</t>
  </si>
  <si>
    <t xml:space="preserve">End of Year </t>
  </si>
  <si>
    <t>13 Month Average</t>
  </si>
  <si>
    <t>2) Sum project-specific Incentive Adders to yield the total True Up Incentive Adder.</t>
  </si>
  <si>
    <t>Sum of above PY Incentive Adders</t>
  </si>
  <si>
    <t>for each individual project</t>
  </si>
  <si>
    <t xml:space="preserve">Depreciation Expense is the sum of: </t>
  </si>
  <si>
    <t>4) Depreciation Expense</t>
  </si>
  <si>
    <t>= C3 * C5</t>
  </si>
  <si>
    <t>= C4 * C5</t>
  </si>
  <si>
    <t>5) "ISO Operations and Maintenance Expenses" is the amount of costs in each Transmission or Distribution account related to ISO Transmission Facilities.</t>
  </si>
  <si>
    <t>Total ISO O&amp;M Expenses (in Column 6)</t>
  </si>
  <si>
    <t>a) Exclude amount of any Shareholder Adjustments, costs incurred on behalf of SCE shareholders, from relevant account in Column 1.</t>
  </si>
  <si>
    <t>Only projects that are in Rate Base in the year reported are included.</t>
  </si>
  <si>
    <t xml:space="preserve">Southern States Realty </t>
  </si>
  <si>
    <t>2, 15</t>
  </si>
  <si>
    <t>15-</t>
  </si>
  <si>
    <t>Costs</t>
  </si>
  <si>
    <t>Event</t>
  </si>
  <si>
    <t>Issue/Event</t>
  </si>
  <si>
    <t xml:space="preserve">1) </t>
  </si>
  <si>
    <t>FERC Form 1 Acct. 165 Recorded Amount:</t>
  </si>
  <si>
    <t>BOY Prepayments Amount:</t>
  </si>
  <si>
    <t>Supplies Balances</t>
  </si>
  <si>
    <t>Total Materials and</t>
  </si>
  <si>
    <t>Calculation of True Up TRR</t>
  </si>
  <si>
    <t>Calculation of True Up Adjustment Component of TRR</t>
  </si>
  <si>
    <t>Prior Period Adjustment:</t>
  </si>
  <si>
    <t>a</t>
  </si>
  <si>
    <t>b</t>
  </si>
  <si>
    <t>c</t>
  </si>
  <si>
    <t>d</t>
  </si>
  <si>
    <t>e</t>
  </si>
  <si>
    <t>f</t>
  </si>
  <si>
    <t>Adjustment:</t>
  </si>
  <si>
    <t>g</t>
  </si>
  <si>
    <t>Calculation of Incentive Adder component of the Prior Year TRR</t>
  </si>
  <si>
    <t>EOY HV</t>
  </si>
  <si>
    <t>(Note 1)</t>
  </si>
  <si>
    <t>1) "EOY HV Abandoned Plant" is amount of "EOY Abandoned Plant" that would have been High Voltage (&gt;= 200 kV).</t>
  </si>
  <si>
    <t>a) Fill in the name the project in order (First Project, Second Project, etc.).</t>
  </si>
  <si>
    <t>b) Fill in the table with annual End of Year ("EOY") Abandoned Plant, EOY HV Abandoned Plant, and</t>
  </si>
  <si>
    <t>Abandoned Plant (EOY)</t>
  </si>
  <si>
    <t>See Notes 1 and 2 below</t>
  </si>
  <si>
    <t>1) For High Voltage Column, sum of EOY HV Abandoned Plant for all Projects on Schedule 12 for EOY of Prior Year</t>
  </si>
  <si>
    <t>2) For Low Voltage Column, Sum of EOY Abandoned Plant less HV Abandoned Plant for all Projects on Schedule 12 for EOY of Prior Year.</t>
  </si>
  <si>
    <t>Instruction 1</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</si>
  <si>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</si>
  <si>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</si>
  <si>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</si>
  <si>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See Note 1 and Instruction 1</t>
  </si>
  <si>
    <t>See Note 2 and Instruction 2</t>
  </si>
  <si>
    <t>12aaa</t>
  </si>
  <si>
    <t>12bbb</t>
  </si>
  <si>
    <t>Other Regulatory Assets/Liabilities are a component of Rate Base representing costs that are created resulting from the ratemaking</t>
  </si>
  <si>
    <t xml:space="preserve">actions of regulatory agencies.  Pursuant to the Commission's Uniform System of Accounts, these items include amounts recorded </t>
  </si>
  <si>
    <t>in accounts 182.x and 254.  This Schedule shall not include any costs recovered through Schedule 12.</t>
  </si>
  <si>
    <t>Amortization and Regulatory Debits/Credits are amounts approved for recovery in this formula transmission rate representing the</t>
  </si>
  <si>
    <t>approved annual recovery of Other Regulatory Assets/Liabilities as an expense item in the Base TRR, consistent</t>
  </si>
  <si>
    <t xml:space="preserve">with a Commission Order.  </t>
  </si>
  <si>
    <t>Amortization and Regulatory Debits/Credits:</t>
  </si>
  <si>
    <t>Amortization or</t>
  </si>
  <si>
    <t>Debit/Credit</t>
  </si>
  <si>
    <t>1) Upon Commission approval of recovery of Other Regulatory Assets/Liabilities, Amortization and Regulatory Debits/Credits</t>
  </si>
  <si>
    <t>Amortization and Regulatory Debits/Credits</t>
  </si>
  <si>
    <t>Determination of Regulatory Assets/Liabilities and Associated Amortization and Regulatory Debits/Credits</t>
  </si>
  <si>
    <t xml:space="preserve"> One Time Adjustments include:</t>
  </si>
  <si>
    <t>Account 283 Gas and Other:</t>
  </si>
  <si>
    <t>Revenue From Decommission Trust Fund</t>
  </si>
  <si>
    <t>Revenue From Decommissioning Trust FAS115</t>
  </si>
  <si>
    <t>Revenue From Decommissioning Trust FAS115-1</t>
  </si>
  <si>
    <t>Operating Miscellaneous Land &amp; Facilities</t>
  </si>
  <si>
    <t>ECS - Infrastructure Leasing</t>
  </si>
  <si>
    <t>EOY Prepayments Amount:</t>
  </si>
  <si>
    <t>Prior Year TRR wo FF&amp;U:</t>
  </si>
  <si>
    <t>and the American Reinvestment Recovery Act for the Tehachapi Wind Energy Storage Project.</t>
  </si>
  <si>
    <t>Uncollectibles Expense Factor:</t>
  </si>
  <si>
    <t>Allocated based on CPUC GRC allocator in effect during the Prior Year.  The weighted average (by time) shall be used if more than one allocator is in effect during the Prior Year.</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</si>
  <si>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</si>
  <si>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D = Book Depreciation of AFUDC Equity Book Basis</t>
  </si>
  <si>
    <t>Return on Common Equity</t>
  </si>
  <si>
    <t xml:space="preserve">Equity Rate of Return Including Common and Preferred Stock </t>
  </si>
  <si>
    <t>ER = Equity Rate of Return Including Common and Preferred Stock</t>
  </si>
  <si>
    <t>ER = Equity ROR inc. Com. and Pref. Stock</t>
  </si>
  <si>
    <t>2) ISO Incentive Plant Activity (See Note 4)</t>
  </si>
  <si>
    <t>3) Total Transmission Activity Not Including Incentive Plant Activity (See Note 5):</t>
  </si>
  <si>
    <t>5) Other ISO Transmission Activity without Incentive Plant Activity (See Note 9):</t>
  </si>
  <si>
    <t>Prior Year:</t>
  </si>
  <si>
    <t>Balances for Distribution Plant - ISO for December of Prior Year and year before Prior Year (See Note 2)</t>
  </si>
  <si>
    <t>4) General Plant + Electric Miscellaneous Intangible Plant ("G&amp;I Plant")</t>
  </si>
  <si>
    <t>BOY amount from previous PY</t>
  </si>
  <si>
    <t>End of year ("EOY") amount</t>
  </si>
  <si>
    <t>A) Plant Classified as Transmission in  FERC Form 1 for Prior Year:</t>
  </si>
  <si>
    <t>to a Section 205 or 206 filing.</t>
  </si>
  <si>
    <r>
      <rPr>
        <b/>
        <sz val="10"/>
        <rFont val="Arial"/>
        <family val="2"/>
      </rPr>
      <t>Notes:</t>
    </r>
    <r>
      <rPr>
        <sz val="10"/>
        <rFont val="Arial"/>
        <family val="2"/>
      </rPr>
      <t xml:space="preserve"> 1) Depreciation rates may only be revised as approved by the Commission pursuant</t>
    </r>
  </si>
  <si>
    <t>Resulting Percentage is:</t>
  </si>
  <si>
    <t>Percent ISO</t>
  </si>
  <si>
    <t>Percent ISO for this acccount is equal to the total ISO labor in accounts 562 and 570 (Column 7) divided by total labor in this same account (Column 3).</t>
  </si>
  <si>
    <t>Percent ISO for this acccount is equal to the total ISO labor in accounts listed below (Column 7) divided by total labor in these same accounts (Column 3).</t>
  </si>
  <si>
    <t>expense is excluded from account 926 (see note 3).  Docket or Decision approving authorized PBOPs amount:</t>
  </si>
  <si>
    <r>
      <t xml:space="preserve">as approved by Commission Order 86 FERC </t>
    </r>
    <r>
      <rPr>
        <sz val="10"/>
        <color theme="1"/>
        <rFont val="Calibri"/>
        <family val="2"/>
      </rPr>
      <t>¶</t>
    </r>
    <r>
      <rPr>
        <sz val="10"/>
        <color theme="1"/>
        <rFont val="Arial"/>
        <family val="2"/>
      </rPr>
      <t xml:space="preserve"> 63,014 in Docket No. ER97-2355.</t>
    </r>
  </si>
  <si>
    <t>2) Franchise Fees Factor is calculated from CPUC Decision by dividing adopted Franchise Fees</t>
  </si>
  <si>
    <t xml:space="preserve">by Total Operating Revenues less Franchise Fees.  Uncollectibles Factor is calculated by </t>
  </si>
  <si>
    <t>3) Calculate in module 3 the weighted average FF and U factors from the factors in modules 1 and 2 based</t>
  </si>
  <si>
    <t>Calculated according to Instruction 3</t>
  </si>
  <si>
    <t>Factors represent factors that, when applied to TRR without FF and U will correctly determine FF and U expense.</t>
  </si>
  <si>
    <t>1) Enter Franchise Fee and Uncollectibles Factors as approved by the California Public Utilities Commission ("CPUC")</t>
  </si>
  <si>
    <t>Total  Transmission Lines (L 2 + L 3):</t>
  </si>
  <si>
    <t>HV and LV Components of Total ISO Plant on Lines 2, 3, 7, 8, and 9 are</t>
  </si>
  <si>
    <t>from the Plant Study, performed pursuant to Section 9 of Appendix IX:</t>
  </si>
  <si>
    <t>Source:</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</si>
  <si>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</si>
  <si>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16-</t>
  </si>
  <si>
    <t>418.1 Other (See Note 16)</t>
  </si>
  <si>
    <t>Tot. ISO Ratepayers' Share NTP&amp;S Gross Rev.</t>
  </si>
  <si>
    <t>whereas the Schedule 4 Cost of Capital Rate and Equity Rate of Return including Com. + Pref. Stock will be based on the weighted-average ROE.</t>
  </si>
  <si>
    <t>in modules 1 and 2 above pursuant to Instruction 2.  If approved factors changed during Prior Year, enter both,</t>
  </si>
  <si>
    <t>for each state.  See Notes 1 and 3.</t>
  </si>
  <si>
    <t>b) New Mexico</t>
  </si>
  <si>
    <t>c) Arizona</t>
  </si>
  <si>
    <t>d) District of Columbia</t>
  </si>
  <si>
    <t>a) California:</t>
  </si>
  <si>
    <t>2) Federal Source Statute:</t>
  </si>
  <si>
    <t>3) State Source Statues (Enter Reference to each State Marginal Tax Rate Statute below):</t>
  </si>
  <si>
    <t>F:  Exclude amount of costs transfered to account from A&amp;G Account 920 pursuant to Order 668</t>
  </si>
  <si>
    <t>in Schedule 19 (OandM) related to Order 668 costs transferred.</t>
  </si>
  <si>
    <t xml:space="preserve">c) Exclude entire amount of account 927 "Franchise Requirements" in Column 2, as those costs are recovered </t>
  </si>
  <si>
    <t xml:space="preserve">d) Exclude any amount of Account 930.1 "General Advertising Expense" not related to advertising for safety, </t>
  </si>
  <si>
    <t>e) Exclude any amount of expense relating to secondary land use and audit expenses not directly benefitting utility customers.</t>
  </si>
  <si>
    <t>b) Include as an adjustment in Column 1 for Account 920 any amount excluded from Accounts 569.100, 569.200, and 569.300</t>
  </si>
  <si>
    <t>FF1 207.99.g and 205.5g</t>
  </si>
  <si>
    <t>Credit</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</si>
  <si>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</si>
  <si>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</si>
  <si>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3) Amount in Column 2 from FF1 112.21d, amount in Column 14 from FF1 112.21c, amounts in columns 3-13 from SCE internal records. </t>
  </si>
  <si>
    <t>Southern States Realty is a subsidiary company.  Gross revenues are not reported in FF-1, only net earnings.  Net Earnings for Southern States Realty are reported on Acct 418.1, pg 225.17e.</t>
  </si>
  <si>
    <t>Mo/YR</t>
  </si>
  <si>
    <t>Beginning of Year ("BOY") amount</t>
  </si>
  <si>
    <t>a) 13-Month Average Calculation</t>
  </si>
  <si>
    <t>13-Month AverageValue:</t>
  </si>
  <si>
    <t>on the Transmission Wages and Salaries Allocation Factor.</t>
  </si>
  <si>
    <t>17-</t>
  </si>
  <si>
    <t>Note 1, f</t>
  </si>
  <si>
    <t xml:space="preserve">2) In the event that depreciation rates stated on Schedule 18 to be applied to Distribution Plant - ISO are revised mid-year, calculate Depreciation Expense for </t>
  </si>
  <si>
    <t>See Instructions 2b, 3, and Note 2</t>
  </si>
  <si>
    <t>Calculation of FITR for Prior Year:</t>
  </si>
  <si>
    <t>FITR</t>
  </si>
  <si>
    <t>Days</t>
  </si>
  <si>
    <t>Note</t>
  </si>
  <si>
    <t>Input FITR in effect for first part of year and number of days</t>
  </si>
  <si>
    <t>Input FITR in effect for second part of year and number of days</t>
  </si>
  <si>
    <t>FITR:</t>
  </si>
  <si>
    <t>(Col 2)</t>
  </si>
  <si>
    <t>(Col 1)</t>
  </si>
  <si>
    <t>Note 1, c Column 2, see also Note 2</t>
  </si>
  <si>
    <t>= ((Line a, C1)*(Line a, C2)+ (Line b, C1)*(Line b, C2))/365</t>
  </si>
  <si>
    <t>Sub-Total Local Taxes</t>
  </si>
  <si>
    <t>CA SUI Current</t>
  </si>
  <si>
    <t>Fed Unemp Tax Act- Current</t>
  </si>
  <si>
    <t>SF Pyrl Exp Tx - SCE</t>
  </si>
  <si>
    <t>(No "Credits and Other" or "AFUDC" Terms, since these are not related to CWIP)</t>
  </si>
  <si>
    <t>1) Nuclear Power Research Expenses.</t>
  </si>
  <si>
    <t>2) Write Off of Abandoned Project Expenses.</t>
  </si>
  <si>
    <t>f) Exclude from account 930.2:</t>
  </si>
  <si>
    <t>3) Any advertising expenses within the Consultants/Professional Services category.</t>
  </si>
  <si>
    <t>Note 1, c</t>
  </si>
  <si>
    <t xml:space="preserve">b) Forecast Period Incremental CWIP contributes to Incremental Forecast Period TRR </t>
  </si>
  <si>
    <r>
      <rPr>
        <b/>
        <sz val="10"/>
        <rFont val="Arial"/>
        <family val="2"/>
      </rPr>
      <t xml:space="preserve">Source: </t>
    </r>
    <r>
      <rPr>
        <sz val="10"/>
        <rFont val="Arial"/>
        <family val="2"/>
      </rPr>
      <t>6-PlantInService, Lines 1-13.</t>
    </r>
  </si>
  <si>
    <t>Depreciation Rates (Percent per year)  See "18-DepRates".</t>
  </si>
  <si>
    <t xml:space="preserve">Source:      From 4-TUTRR, </t>
  </si>
  <si>
    <t>The Prior Year TRR is calculated using End-of-Year Rate Base values, as set forth in the "1-BaseTRR" Worksheet.</t>
  </si>
  <si>
    <t>plant or CWIP, as set forth in the "2-IFPTRR" Worksheet.</t>
  </si>
  <si>
    <t>actual costs, as set forth in the "3-TrueUpAdjust" Worksheet.</t>
  </si>
  <si>
    <t>2) From 33-RetailRates.  See Line:</t>
  </si>
  <si>
    <t>amount.  See Note 1 on 29-WholesaleTRRs.</t>
  </si>
  <si>
    <t>For subsidiaries that are subject to GRSM, Column D contains gross revenues.  Input on Line 30D contains the associated expenses.</t>
  </si>
  <si>
    <t>566 - Training</t>
  </si>
  <si>
    <t>566 - Other</t>
  </si>
  <si>
    <t>Gen. and Int.</t>
  </si>
  <si>
    <t>=C4+C5</t>
  </si>
  <si>
    <t>FF1 219.28c and 200.21c for previous year</t>
  </si>
  <si>
    <t>FF1 219.28c and 200.21c</t>
  </si>
  <si>
    <t>(Years)</t>
  </si>
  <si>
    <t>List associated securities and event, Event Date, Amortization Amount, Amortization Period, and Annual Amortization:</t>
  </si>
  <si>
    <t>Total Annual Amortization (sum of "Issues/Events" listed above)</t>
  </si>
  <si>
    <t>Total Annual Amortization (sum of "Issues" listed above)</t>
  </si>
  <si>
    <t>List associated securities, Face Amount, Issuance Date, Issuance Costs, Amortization Period, and Annual Amortization:</t>
  </si>
  <si>
    <t>a) Outages</t>
  </si>
  <si>
    <t>ISO Outages</t>
  </si>
  <si>
    <t>Non-ISO Outages</t>
  </si>
  <si>
    <t>Total Outages</t>
  </si>
  <si>
    <t>Values</t>
  </si>
  <si>
    <t>Applied to Accounts</t>
  </si>
  <si>
    <t>b) Circuits</t>
  </si>
  <si>
    <t>ISO Circuits</t>
  </si>
  <si>
    <t>Non-ISO Circuits</t>
  </si>
  <si>
    <t>Total Circuits</t>
  </si>
  <si>
    <t>Outages Percent ISO</t>
  </si>
  <si>
    <t>Circuits Percent ISO</t>
  </si>
  <si>
    <t>c) Relay Routines</t>
  </si>
  <si>
    <t>ISO Relay Routines</t>
  </si>
  <si>
    <t>Total Relay Routines</t>
  </si>
  <si>
    <t>Relay Routines Percent ISO</t>
  </si>
  <si>
    <t>ISO Line Miles</t>
  </si>
  <si>
    <t>Non-ISO Line Miles</t>
  </si>
  <si>
    <t>Non-ISO Relay Routines</t>
  </si>
  <si>
    <t>Total Line Miles</t>
  </si>
  <si>
    <t>Line MIles Percent ISO</t>
  </si>
  <si>
    <t>d) Line Miles</t>
  </si>
  <si>
    <t>e) Underground Line Miles</t>
  </si>
  <si>
    <t>ISO Underground Line Miles</t>
  </si>
  <si>
    <t>Non-ISO Underground Line Miles</t>
  </si>
  <si>
    <t>Total Undergound Line Miles</t>
  </si>
  <si>
    <t>Underground Line MIles Percent ISO</t>
  </si>
  <si>
    <t>ISO Line Rent Costs</t>
  </si>
  <si>
    <t>Non-ISO Line Rent Costs</t>
  </si>
  <si>
    <t>Total Line Rent Costs</t>
  </si>
  <si>
    <t>Line Rent Costs Percent ISO</t>
  </si>
  <si>
    <t>ISO Morongo Acres</t>
  </si>
  <si>
    <t>Non-ISO Morongo Acres</t>
  </si>
  <si>
    <t>Total Morongo Acres</t>
  </si>
  <si>
    <t>Morongo Acres Percent ISO</t>
  </si>
  <si>
    <t>ISO Transformers</t>
  </si>
  <si>
    <t>Non-ISO Transformers</t>
  </si>
  <si>
    <t>Total Transformers</t>
  </si>
  <si>
    <t>Transformers Percent ISO</t>
  </si>
  <si>
    <t>ISO Circuit Breakers</t>
  </si>
  <si>
    <t>Total Circuit Breakers</t>
  </si>
  <si>
    <t>Circuit Breakers Percent ISO</t>
  </si>
  <si>
    <t>ISO Voltage Control Equipment</t>
  </si>
  <si>
    <t>Non-ISO Voltage Control Equipment</t>
  </si>
  <si>
    <t>Total Voltage Control Equipment</t>
  </si>
  <si>
    <t>Voltage Control Equipment Percent ISO</t>
  </si>
  <si>
    <t>ISO Substation Work Order Costs</t>
  </si>
  <si>
    <t>Non-ISO Substation Work Order Costs</t>
  </si>
  <si>
    <t>Total Substation Work Order Costs</t>
  </si>
  <si>
    <t>Substation Work Order Costs Percent ISO</t>
  </si>
  <si>
    <t>ISO Transmission Work Order Costs</t>
  </si>
  <si>
    <t>Non-ISO Transmission Work Order Costs</t>
  </si>
  <si>
    <t>Total Transmission Work Order Costs</t>
  </si>
  <si>
    <t>Transmission Work Order Costs Percent ISO</t>
  </si>
  <si>
    <t>ISO Transmission Fac. Property Damage</t>
  </si>
  <si>
    <t>Non-ISO Transmission Fac. Property Damage</t>
  </si>
  <si>
    <t>Total Transmission Facility Property Damage</t>
  </si>
  <si>
    <t>Trans. Fac. Property Damage Percent ISO</t>
  </si>
  <si>
    <t>ISO Distribution Transformers</t>
  </si>
  <si>
    <t>Non-ISO Distribution Transformers</t>
  </si>
  <si>
    <t>Total Distribution Transformers</t>
  </si>
  <si>
    <t>Distribution Transformers Percent ISO</t>
  </si>
  <si>
    <t>Non-ISO Distribution Circuit Breakers</t>
  </si>
  <si>
    <t>Total Distribution Circuit Breakers</t>
  </si>
  <si>
    <t>ISO Distribution Circuit Breakers</t>
  </si>
  <si>
    <t>Distribution Circuit Breakers Percent ISO</t>
  </si>
  <si>
    <t>ISO Distribution Voltage Control Equipment</t>
  </si>
  <si>
    <t>Total Distribution Voltage Control Equipment</t>
  </si>
  <si>
    <t>Distribution Voltage Control Equip. Pct. ISO</t>
  </si>
  <si>
    <t>Non-ISO Distribution Voltage Control Equip.</t>
  </si>
  <si>
    <t>Capitalization Rate (Note 4)</t>
  </si>
  <si>
    <t>4) Capitalization Rate approved in:</t>
  </si>
  <si>
    <t>For the following Prior Years:</t>
  </si>
  <si>
    <t>Certain "Percent ISO percentages are calculable based on other "Percent ISO" amounts, as follows:</t>
  </si>
  <si>
    <t>Note 6, a</t>
  </si>
  <si>
    <t>6) "Percent ISO" percentages are calculated in accordance with the method set forth in SCE's TO Tariff protocols.  See Column 9 for references to source of each  Percent ISO.</t>
  </si>
  <si>
    <t>100% per Protocols</t>
  </si>
  <si>
    <t>0% per Protocols</t>
  </si>
  <si>
    <t>Note 6, b</t>
  </si>
  <si>
    <t>Note 6, c</t>
  </si>
  <si>
    <t>Note 6, d</t>
  </si>
  <si>
    <t>a) Accounts 560 - Operations Engineering, 566 - Training, 566-Other, 569.100 Hardware, 569.200 Software, and 569.300 Comunication:</t>
  </si>
  <si>
    <t>Edison Material Supply (EMS)</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</si>
  <si>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</si>
  <si>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</si>
  <si>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</si>
  <si>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</si>
  <si>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Percent ISO for these accounts is equal to total ISO labor in accounts 561, 562, 563, 564, 566 (except Training and Other), 570, 571, and 572 (Column 7) </t>
  </si>
  <si>
    <t>divided by total labor in this same account (Column 3).</t>
  </si>
  <si>
    <t xml:space="preserve">Percent ISO for these acccounts is equal to the total ISO labor in account 592, exclusive of Maintenance of Miscellaneous Distribution Equipment (Column 7) </t>
  </si>
  <si>
    <t>Order approving revised ROE:</t>
  </si>
  <si>
    <t>In the event that the Return on Common Equity is revised from the initial value, enter cite to Commission Order approving the revised ROE on following line.</t>
  </si>
  <si>
    <t>b) Account 569 - Maintenance of Structures</t>
  </si>
  <si>
    <t>d) Accounts 582, 590, 591, and 592 - Maintenance of Miscellaneous Distribution Equipment</t>
  </si>
  <si>
    <t>c) Account 570 - Maintenance of Miscellaneous Transmission Equipment and Account 568 -Maintenance Supervision and Engineering</t>
  </si>
  <si>
    <t>Orders Providing for Abandoned Plant Cost Recovery:</t>
  </si>
  <si>
    <t>Commission Order</t>
  </si>
  <si>
    <t>7) SCE shall make no adjustments to recorded labor amounts related to non-labor labor and/or Indirect labor in Schedule 19.</t>
  </si>
  <si>
    <t>5) SCE shall make no adjustments to recorded labor amounts related to non-labor labor and/or Indirect labor in Schedule 20.</t>
  </si>
  <si>
    <t>Amortization of Excess Deferred Tax Liability</t>
  </si>
  <si>
    <t>Investment Tax Credit Flowed Through</t>
  </si>
  <si>
    <t>South Georgia Income Tax Adjustment</t>
  </si>
  <si>
    <t>2) No change in "Credits and Other" terms will be made absent a filing at the Commission</t>
  </si>
  <si>
    <t>compared to the Retail Base TRR.  This difference is attributable to differences in the following six items,</t>
  </si>
  <si>
    <t>These six items may affect the Base TRR by affecting Rate Base, or affecting an annual expense (amortization).</t>
  </si>
  <si>
    <t>EPRI Expenses</t>
  </si>
  <si>
    <t>d) Total Expense Difference</t>
  </si>
  <si>
    <t>Partial Year True Up Allocation Factors calculated based on three years (2008-2010) of monthly SCE retail base transmission revenues.</t>
  </si>
  <si>
    <t xml:space="preserve">2) Beginning with the True Up Adjustment calculation for 2012 utilizing the True Up TRR for 2012, exclude from CWIP recovery the capital cost of </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</si>
  <si>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</si>
  <si>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13-Month Average Value Account 154:</t>
  </si>
  <si>
    <t>13-Month Average Value:</t>
  </si>
  <si>
    <t xml:space="preserve"> Long Term Debt Advances from Associated Companies (Note 2a):</t>
  </si>
  <si>
    <t>Long Term Debt Advances from Associated Companies -- Account 223</t>
  </si>
  <si>
    <t>Interest on Debt to Associated Companies -- Account 430</t>
  </si>
  <si>
    <t>FF1 117.67c</t>
  </si>
  <si>
    <t xml:space="preserve">2a) Amount in Column 2 from FF1 112.20d, amount in Column 14 from FF1 112.20c, amounts in columns 3-13 from SCE internal records.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</si>
  <si>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</si>
  <si>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</si>
  <si>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 xml:space="preserve">construction of any SCE transmission project. </t>
  </si>
  <si>
    <t>SCE will permanently exclude from Plant In Service, Rate Base, and transmission rates these capital costs if the facilities are not used in the</t>
  </si>
  <si>
    <t>75% of O&amp;M and A&amp;G in Prior Year TRR:</t>
  </si>
  <si>
    <t>Total all Substations (L7  + L8 + L9)</t>
  </si>
  <si>
    <t>ROE at end of Prior Year</t>
  </si>
  <si>
    <t>In Effect</t>
  </si>
  <si>
    <t xml:space="preserve">Days ROE </t>
  </si>
  <si>
    <t>Commission Decisions approving ROE:</t>
  </si>
  <si>
    <t>See Line e below</t>
  </si>
  <si>
    <t>Calculation of weighted average Cost of Capital Rate in Prior Year:</t>
  </si>
  <si>
    <t>h</t>
  </si>
  <si>
    <t>i</t>
  </si>
  <si>
    <t>j</t>
  </si>
  <si>
    <t>Calculation of Equity Rate of Return Including Common and Preferred Stock:</t>
  </si>
  <si>
    <t>See Instruction 1</t>
  </si>
  <si>
    <t>If ROE does not change during year, then attribute all days to Line a "ROE at end of Prior Year" and none to "ROE at start of PY"</t>
  </si>
  <si>
    <t>Acct</t>
  </si>
  <si>
    <t>Wtd. Avg. ROE in Prior Year</t>
  </si>
  <si>
    <t>Wtd. Cost of Long Term Debt</t>
  </si>
  <si>
    <t>Wtd.Cost of Preferred Stock</t>
  </si>
  <si>
    <t>Wtd.Cost of Common Stock</t>
  </si>
  <si>
    <t>3) Schedule 19 "Percent ISO" Allocation Factors (Input values are from SCE Records)</t>
  </si>
  <si>
    <t>ROE Adder $ = (Project CWIP Amount/$1,000,000) * IREF * (ROE Adder % / 1%)</t>
  </si>
  <si>
    <t>3) The load forecast used in Schedule 32 shall be for the calendar year in which the rates are to be in effect.</t>
  </si>
  <si>
    <t>the formula to calculate the correct value in that cell, which can be accomplished in Excel using the Goal Seek function.</t>
  </si>
  <si>
    <t xml:space="preserve">1) Any amount of "Provision for Doubtful Accounts" costs. </t>
  </si>
  <si>
    <t>2) Any amount of "Accounting Suspense" costs.</t>
  </si>
  <si>
    <t>g) Exclude the following costs included in any account 920-935:</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</si>
  <si>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</si>
  <si>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</si>
  <si>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</si>
  <si>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</si>
  <si>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ROE start of Prior Year</t>
  </si>
  <si>
    <t>Beginning of Prior Year</t>
  </si>
  <si>
    <t>End of Prior Year</t>
  </si>
  <si>
    <t xml:space="preserve">1) Amounts on Line 13 from corresponding account Schedule 7, column 2.  </t>
  </si>
  <si>
    <t xml:space="preserve">The amounts for each month on the remaining lines are calculated by summing the following values: </t>
  </si>
  <si>
    <t>a) Other ISO Transmission Activity without Incentive Plant Activity on Lines 70-81 for the same month;</t>
  </si>
  <si>
    <t xml:space="preserve">c) The previous month balance of the Transmission Plant - ISO amounts on Lines 1-13.  </t>
  </si>
  <si>
    <t>b) ISO Incentive Plant Activity on Lines 41 to 52 for the same month; and</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</si>
  <si>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</si>
  <si>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</si>
  <si>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</si>
  <si>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</si>
  <si>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The amounts for each month on the remaining lines are calculated by summing the following values:</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</si>
  <si>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</si>
  <si>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</si>
  <si>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</si>
  <si>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</si>
  <si>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</si>
  <si>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</si>
  <si>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 xml:space="preserve">Days in </t>
  </si>
  <si>
    <t>Prior Year FF Factor:</t>
  </si>
  <si>
    <t>Prior Year  U Factor:</t>
  </si>
  <si>
    <t>on the number of days each FF and U factor was in effect during the Prior Year at issue.</t>
  </si>
  <si>
    <t>during the Prior Year in "Days in Prior Year" Column.</t>
  </si>
  <si>
    <t>and note period of time for which each applies in "From" and "To" columns, and number of days each was in effect</t>
  </si>
  <si>
    <t>((L1 FF Factor * L1 Days) + (L2 FF Factor * L2 Days))/365</t>
  </si>
  <si>
    <t>((L3 U Factor * L3 Days) + (L4 U Factor * L4 Days))/365</t>
  </si>
  <si>
    <t>Calculation or Source</t>
  </si>
  <si>
    <t>Avg. of Sum of Cols. 1 and 2 below</t>
  </si>
  <si>
    <t>Sum of Column 3 below</t>
  </si>
  <si>
    <t xml:space="preserve">  Commission Order</t>
  </si>
  <si>
    <t xml:space="preserve"> Granting Approval of </t>
  </si>
  <si>
    <t xml:space="preserve">  Regulatory Liability</t>
  </si>
  <si>
    <t>The Base Transmission Revenues shown in Column 1 shall be reduced to reflect any retail customer refunds provided by SCE associated with the</t>
  </si>
  <si>
    <t>formula transmission rate that are made through a CPUC-authorized mechanism.</t>
  </si>
  <si>
    <t xml:space="preserve"> Attachment 2 to Appendix IX</t>
  </si>
  <si>
    <t>Formula Rate Spreadsheet</t>
  </si>
  <si>
    <t>f) Line Rents Costs</t>
  </si>
  <si>
    <t>g) Morongo Acres</t>
  </si>
  <si>
    <t>h) Transformers</t>
  </si>
  <si>
    <t>i) Circuit Breakers</t>
  </si>
  <si>
    <t>j) Voltage Control Equipment</t>
  </si>
  <si>
    <t>k) Substation Work Order Cost</t>
  </si>
  <si>
    <t>l) Transmission Work Order Cost</t>
  </si>
  <si>
    <t>m) Transmission Facility Property Damage</t>
  </si>
  <si>
    <t>n) Distribution Transformers</t>
  </si>
  <si>
    <t>o) Distribution Circuit Breakers</t>
  </si>
  <si>
    <t>p) Distribution Voltage Control Equipment</t>
  </si>
  <si>
    <t>Amounts on Line 1 must match corresponding account Schedule 7, Column 2 for previous year.</t>
  </si>
  <si>
    <t xml:space="preserve">1) Amounts on Line 13 based on current year Plant Study.  Amounts on Line 1 shall be based previous year Plant Study, and </t>
  </si>
  <si>
    <t>shall match amounts on Line 13 in previous year Annual Update.</t>
  </si>
  <si>
    <t xml:space="preserve">Cost Adjustment </t>
  </si>
  <si>
    <t xml:space="preserve">4) The Cost Adjustment component may be included as provided in the Tariff protocols. </t>
  </si>
  <si>
    <t>(Instructions 1&amp;2)</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</si>
  <si>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</si>
  <si>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</si>
  <si>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</si>
  <si>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</si>
  <si>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</si>
  <si>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A:Total Electric Wages and Salaries</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</si>
  <si>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</si>
  <si>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</si>
  <si>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</si>
  <si>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</si>
  <si>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</si>
  <si>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</si>
  <si>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</si>
  <si>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</si>
  <si>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</si>
  <si>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</si>
  <si>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G:Total Gas Plant In Service</t>
  </si>
  <si>
    <t>FF1 201.8d</t>
  </si>
  <si>
    <t>H:Total Water Plant in Service</t>
  </si>
  <si>
    <t>FF1 201.8e</t>
  </si>
  <si>
    <t>I:Total Electric, Gas, and Water Plant In Service</t>
  </si>
  <si>
    <t>F+G+H</t>
  </si>
  <si>
    <t>J:Plant Percentage "Gas, Generation, or Other"</t>
  </si>
  <si>
    <t>(G+H) / I</t>
  </si>
  <si>
    <t>=C7-C9</t>
  </si>
  <si>
    <t>Corporate</t>
  </si>
  <si>
    <t>Overheads</t>
  </si>
  <si>
    <t>AFUDC</t>
  </si>
  <si>
    <t xml:space="preserve">Cost of </t>
  </si>
  <si>
    <t>ISO Corp OH Rate</t>
  </si>
  <si>
    <t>Cost of Removal Rate</t>
  </si>
  <si>
    <t>ISO AFUDC Rate</t>
  </si>
  <si>
    <t>C2*C3</t>
  </si>
  <si>
    <t>Accrual</t>
  </si>
  <si>
    <t>Plant Balance</t>
  </si>
  <si>
    <t>Sum of Depreciation Expense</t>
  </si>
  <si>
    <t>Composite Depreciation Rate</t>
  </si>
  <si>
    <t>4) ISO Corporate Overhead Loader</t>
  </si>
  <si>
    <t>7) Calculation of ISO Depreciation Rate</t>
  </si>
  <si>
    <t>5) ISO Cost of Removal Percent</t>
  </si>
  <si>
    <t>6) AFUDC Loader Rate</t>
  </si>
  <si>
    <t>2) Total Forecast Period CWIP Expenditures (see Note 1)</t>
  </si>
  <si>
    <t>Unloaded</t>
  </si>
  <si>
    <t xml:space="preserve">Total </t>
  </si>
  <si>
    <t>Prior Period</t>
  </si>
  <si>
    <t>Over Heads</t>
  </si>
  <si>
    <t>Expenditures</t>
  </si>
  <si>
    <t>CWIP Exp</t>
  </si>
  <si>
    <t>Plant Adds</t>
  </si>
  <si>
    <t>CWIP Closed</t>
  </si>
  <si>
    <t>Closed to PIS</t>
  </si>
  <si>
    <t>Period CWIP</t>
  </si>
  <si>
    <t>Incremental CWIP</t>
  </si>
  <si>
    <t>3) Forecast Period CWIP Expenditures by Project (see Note 1)</t>
  </si>
  <si>
    <t>3a) Project:</t>
  </si>
  <si>
    <t>= C1 + C2</t>
  </si>
  <si>
    <t>= Prior Month C7
+ C3 - C4 - C6</t>
  </si>
  <si>
    <t>= C7 - 
Dec Prior Year C7</t>
  </si>
  <si>
    <t>3b) Project:</t>
  </si>
  <si>
    <t>Devers to Colorado River</t>
  </si>
  <si>
    <t>3c) Project:</t>
  </si>
  <si>
    <t>Eldorado Ivanpah</t>
  </si>
  <si>
    <t>3d) Project:</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</si>
  <si>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</si>
  <si>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</si>
  <si>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</si>
  <si>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</si>
  <si>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</si>
  <si>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</si>
  <si>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</si>
  <si>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</si>
  <si>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</si>
  <si>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</si>
  <si>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</si>
  <si>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</si>
  <si>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3) If Commission approval is granted to include CWIP in Rate Base for additional projects, include additional tables for each of those additional projects.</t>
  </si>
  <si>
    <t>during the Rate Year, incremental to the year-end Prior Year amount.</t>
  </si>
  <si>
    <t>It is calculated on a 13-Month Average Basis during the Rate Year.</t>
  </si>
  <si>
    <t>1) Total Plant Additions Forecast (See Note 1)</t>
  </si>
  <si>
    <t>Loaded</t>
  </si>
  <si>
    <t>Eligible Plant</t>
  </si>
  <si>
    <t>2) Incentive Plant Forecast (See Note 1)</t>
  </si>
  <si>
    <t>N/A</t>
  </si>
  <si>
    <t>= Prior Month C7
+C1+C3</t>
  </si>
  <si>
    <t>= Prior Month C9
 + C8</t>
  </si>
  <si>
    <t>3) Non-Incentive Plant Forecast (See Note 1)</t>
  </si>
  <si>
    <t>= Prior Month C2
+C2+C5+C6</t>
  </si>
  <si>
    <t>December Prior Year plant balances and accrual rates are as shown on Schedule 17 Depreciation</t>
  </si>
  <si>
    <t>than 20% of the sum of SCE's forecast PBOP expense for the current year and the following year.</t>
  </si>
  <si>
    <t>Check of above-described condition:</t>
  </si>
  <si>
    <t>Years</t>
  </si>
  <si>
    <t>Absolute Value of sum of a and b:</t>
  </si>
  <si>
    <t>20% of Two-Year Forecast PBOPs Expenses</t>
  </si>
  <si>
    <t xml:space="preserve">Is Filing Necessary? </t>
  </si>
  <si>
    <t>Amount of PBOPs Expenses that SCE must</t>
  </si>
  <si>
    <t>(C1)</t>
  </si>
  <si>
    <t>(C2)</t>
  </si>
  <si>
    <t>(C3)</t>
  </si>
  <si>
    <t>file for if filing is necessary:</t>
  </si>
  <si>
    <t xml:space="preserve">50% of </t>
  </si>
  <si>
    <t xml:space="preserve">Filing </t>
  </si>
  <si>
    <t xml:space="preserve">PBOPs </t>
  </si>
  <si>
    <t>Recovery</t>
  </si>
  <si>
    <t>Expenses</t>
  </si>
  <si>
    <t>Current Authorized PBOPs Expense Amount:</t>
  </si>
  <si>
    <t>Over (-) or</t>
  </si>
  <si>
    <t>Under (+)</t>
  </si>
  <si>
    <t xml:space="preserve">First Year currently-effective </t>
  </si>
  <si>
    <t>Cumulative PBOP Recovery Difference:</t>
  </si>
  <si>
    <t xml:space="preserve">Sum of above </t>
  </si>
  <si>
    <t>2) The Future PBOP Recovery Difference is the difference between:</t>
  </si>
  <si>
    <t>a) The sum of SCE's Forecast PBOP Expense for the current year and next year ("Projected Expense"); and</t>
  </si>
  <si>
    <t xml:space="preserve">b) The sum of SCE's PBOPs Expense amount to be recovered under its Formula Rate for the current year </t>
  </si>
  <si>
    <t>and the next year at the current Authorized PBOPs Expense Amount ("Projected Recovery").</t>
  </si>
  <si>
    <t>Projected Expense:</t>
  </si>
  <si>
    <t>Sum of first two years of Forecast PBOPs Expenses</t>
  </si>
  <si>
    <t>Projected Recovery:</t>
  </si>
  <si>
    <t>Projected Expense less Projected Recovery</t>
  </si>
  <si>
    <t>Five Year Forecast PBOPs Expenses:</t>
  </si>
  <si>
    <t>Rate Year and Immediately succeeding Rate Year:</t>
  </si>
  <si>
    <t>PBOPs Filing Determination</t>
  </si>
  <si>
    <t>Determination of PBOPs Filing Requirement and PBOPs Filing Amounts</t>
  </si>
  <si>
    <t>If amount on Line 3 is greater than amount on Line 4, then SCE must make filing.</t>
  </si>
  <si>
    <t>If (L3&gt;L4) then "Yes", else "No"</t>
  </si>
  <si>
    <t>Pursuant to Section 8.b of the formula rate protocols, SCE must make a filing to adjust the current Authorized PBOPs Expense Amount</t>
  </si>
  <si>
    <t>Note 2, Line i</t>
  </si>
  <si>
    <t>(d+e) * 0.2</t>
  </si>
  <si>
    <t>Unfunded Reserves</t>
  </si>
  <si>
    <t>Determination of Unfunded Reserves</t>
  </si>
  <si>
    <t>(Line 17, Col 3)</t>
  </si>
  <si>
    <t>Unfunded</t>
  </si>
  <si>
    <t>Reserves</t>
  </si>
  <si>
    <t>Provision for Injuries and Damages</t>
  </si>
  <si>
    <t>Provision for Vac/Sick Leave</t>
  </si>
  <si>
    <t>Provision for Supplemental Executive Retirement Plan</t>
  </si>
  <si>
    <t>(Line 14 + Line 15 + Line 16)</t>
  </si>
  <si>
    <t>Calculations</t>
  </si>
  <si>
    <t>BOY/EOY</t>
  </si>
  <si>
    <t>Injuries and Damages - Acct. 2251010</t>
  </si>
  <si>
    <t>Company Records - Input (Negative)</t>
  </si>
  <si>
    <t>(27-Allocators, Line 9)</t>
  </si>
  <si>
    <t>ISO Transmission Rate Base Applicable</t>
  </si>
  <si>
    <t>Vacation Leave</t>
  </si>
  <si>
    <t>Vacation and Personal Time Accruals - Acct. 2350080</t>
  </si>
  <si>
    <t>Supplemental Executive Retirement Plan</t>
  </si>
  <si>
    <t>Times:</t>
  </si>
  <si>
    <t>Applicable Rate Base Percentage</t>
  </si>
  <si>
    <t>Sub-Total Supplemental Executive Retirement Plan</t>
  </si>
  <si>
    <t>Unfunded Reserves (Average BOY/EOY):</t>
  </si>
  <si>
    <t>Unfunded Reserves (EOY):</t>
  </si>
  <si>
    <t>(Line 17, Col 2)</t>
  </si>
  <si>
    <t>f) EPRI and EEI Expenses</t>
  </si>
  <si>
    <t>c) Calculation of EPRI and EEI Expense Exclusion</t>
  </si>
  <si>
    <t>EEI Expenses</t>
  </si>
  <si>
    <t>EPRI and EEI Expense Exclusion</t>
  </si>
  <si>
    <t>Sum of EPRI and EEI Expenses</t>
  </si>
  <si>
    <t>5) EPRI and EEI Expense Exclusion</t>
  </si>
  <si>
    <t xml:space="preserve">50% of the total balance in Column 1, plus an amount equal to the "Labor Percentage Gas, Generation, or Other" shown on Line E of Instruction 1 times 50% of the total balance in Column 1. </t>
  </si>
  <si>
    <t>The remaining amount shall be included in Column 6 "Labor Related".</t>
  </si>
  <si>
    <t>Preferred Stock Amount -- Account 204 (Note 8):</t>
  </si>
  <si>
    <t xml:space="preserve">8) Amount in Column 2 from FF1 112.3d, amount in Column 14 from FF1 112.3c, amounts in columns 3-13 from SCE internal records. </t>
  </si>
  <si>
    <t>9) Amounts in columns 2-14 are from SCE internal records.</t>
  </si>
  <si>
    <t>10) Amounts in columns 2-14 are from SCE internal records.</t>
  </si>
  <si>
    <t>Net Gain (Loss) From Purchase and Tender Offers Note 10):</t>
  </si>
  <si>
    <t>Total Proprietary Capital (Note 11):</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</si>
  <si>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</si>
  <si>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</si>
  <si>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</si>
  <si>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Note 2, d-h</t>
  </si>
  <si>
    <t>Calculation for Columns 2 and 3</t>
  </si>
  <si>
    <t>C2 = L1 * 0.5, C3 = C1 + C2</t>
  </si>
  <si>
    <t>C2 NA, C3 =Avg of L7,L8,L9, C1</t>
  </si>
  <si>
    <t>Absolute Value (Sum of L1 and L2)</t>
  </si>
  <si>
    <t>Calculation of Unfunded Reserves</t>
  </si>
  <si>
    <t>excluded.  For one-time costs, pre-in-service and post-in-service interest is included.</t>
  </si>
  <si>
    <t xml:space="preserve">Interest relates to refund of facility and one-time payments by generator.  For facility costs, pre-in-service date interest is  </t>
  </si>
  <si>
    <t>Total days in year:</t>
  </si>
  <si>
    <t>((Line a ROE * Line a days) + (Line b ROE * Line b days)) / Total Days in Year</t>
  </si>
  <si>
    <t>SCE Records and Workpapers</t>
  </si>
  <si>
    <t xml:space="preserve">5) </t>
  </si>
  <si>
    <t>Not Used</t>
  </si>
  <si>
    <t>NOT USED</t>
  </si>
  <si>
    <t xml:space="preserve">4) </t>
  </si>
  <si>
    <t>Remaining A&amp;G after exclusions &amp; NOIC Adjustment:</t>
  </si>
  <si>
    <t>NOIC</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</si>
  <si>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</si>
  <si>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</si>
  <si>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</si>
  <si>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r>
      <t xml:space="preserve">actual </t>
    </r>
    <r>
      <rPr>
        <b/>
        <sz val="10"/>
        <rFont val="Arial"/>
        <family val="2"/>
      </rPr>
      <t>non-capitalized</t>
    </r>
    <r>
      <rPr>
        <sz val="10"/>
        <rFont val="Arial"/>
        <family val="2"/>
      </rPr>
      <t xml:space="preserve"> A&amp;G NOIC payout.</t>
    </r>
  </si>
  <si>
    <t>Accrued NOIC Amount:</t>
  </si>
  <si>
    <t>Actual A&amp;G NOIC payout:</t>
  </si>
  <si>
    <t>2) Fill out "Itemization of Exclusions" table for all input cells. NOIC amount in</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</si>
  <si>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</si>
  <si>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</si>
  <si>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</si>
  <si>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</si>
  <si>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</si>
  <si>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</si>
  <si>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</si>
  <si>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</si>
  <si>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</si>
  <si>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Transmission NOIC (Note 3)</t>
  </si>
  <si>
    <t>Distribution NOIC (Note 3)</t>
  </si>
  <si>
    <t>Total TDBU NOIC</t>
  </si>
  <si>
    <t>Transmission NOIC (Note 4)</t>
  </si>
  <si>
    <t>Distribution NOIC (Note 4)</t>
  </si>
  <si>
    <t>E: Add NOIC annual payout</t>
  </si>
  <si>
    <t>the Transmission NOIC Percentage calculated below.  Distribution NOIC equals Total TDBU NOIC times the Distribution NOIC Percentage below.</t>
  </si>
  <si>
    <t>Total TDBU NOIC is on Line:</t>
  </si>
  <si>
    <t>Transmission NOIC Percentage:</t>
  </si>
  <si>
    <t>Distribution NOIC Percentage:</t>
  </si>
  <si>
    <t xml:space="preserve">4) NOIC attributable to ISO Transmission (Column 7) is calculated utilizing a percentage equal to the ratio of total ISO O&amp;M Labor Expenses in column 7 (exclusive of NOIC) to </t>
  </si>
  <si>
    <t>the total labor expenses in column 3 (exclusive of NOIC).  That allocator, which is identified below, is then applied to the value in Column 3 to arrive at the NOIC attributable to ISO Transmission in Column 7.</t>
  </si>
  <si>
    <t>Less A&amp;G NOIC</t>
  </si>
  <si>
    <t>NOIC wo A&amp;G NOIC</t>
  </si>
  <si>
    <t>Total non-A&amp;G W&amp;S with NOIC</t>
  </si>
  <si>
    <t>3) Total TDBU NOIC is allocated to Transmission and Distribution in proportion to labor in the respective functions.  Transmission NOIC ("Non-Officer Incentive Compensation") equals Total TDBU NOIC times</t>
  </si>
  <si>
    <t>Total NOIC (Non-Officer Incentive Compensation)</t>
  </si>
  <si>
    <t>dividing adopted Uncollectibles expense by Total Operating revenues less Uncollectibles Expense.  Resulting FF &amp; U</t>
  </si>
  <si>
    <t>3) Enter ISO portion of plant in Column 2, "Transmission Plant - ISO, or "Distribution Plant - ISO".</t>
  </si>
  <si>
    <t>Depreciation Rates (Percent per year)  See "18-DepRates" and Instruction 1.</t>
  </si>
  <si>
    <t>17a</t>
  </si>
  <si>
    <t>17b</t>
  </si>
  <si>
    <t>17c</t>
  </si>
  <si>
    <t>17d</t>
  </si>
  <si>
    <t>17e</t>
  </si>
  <si>
    <t>17f</t>
  </si>
  <si>
    <t>17g</t>
  </si>
  <si>
    <t>17h</t>
  </si>
  <si>
    <t>17i</t>
  </si>
  <si>
    <t>17j</t>
  </si>
  <si>
    <t>17k</t>
  </si>
  <si>
    <t>17l</t>
  </si>
  <si>
    <t>17m</t>
  </si>
  <si>
    <t>1) Depreciation rates on Lines 17a-17m input from Schedule 18.  However, in the event of a mid-year change in depreciation rates approved by the Commission,</t>
  </si>
  <si>
    <t xml:space="preserve">the rates stated on Schedule 18 will represent end of Prior Year rates.  To correctly calculate depreciation expense for Transmission Plant - ISO for the entire  </t>
  </si>
  <si>
    <t xml:space="preserve">Prior Year, input depreciation rates from Schedule 18 only for those months during which the new rates were in effect, and input previous </t>
  </si>
  <si>
    <t>effective rates in the months for which they were in effect.</t>
  </si>
  <si>
    <t xml:space="preserve">5) Enter any One Time Adjustments on Column 4, Line 11 (or other appropriate).  If SCE is owed enter as positive, if SCE is to return to customers enter as negative.  </t>
  </si>
  <si>
    <t>c) Reliability Services Revenue.</t>
  </si>
  <si>
    <t>b) Transmission Access Charge Balancing Account Adjustment.</t>
  </si>
  <si>
    <t xml:space="preserve">a) Transmission Revenue Balancing Account Adjustment revenue. </t>
  </si>
  <si>
    <t>1) Not Used</t>
  </si>
  <si>
    <t>2) Not Used</t>
  </si>
  <si>
    <t xml:space="preserve">6) </t>
  </si>
  <si>
    <t xml:space="preserve">7) </t>
  </si>
  <si>
    <t xml:space="preserve">2) </t>
  </si>
  <si>
    <t>3) Update notes 9 and 10 as necessary.</t>
  </si>
  <si>
    <t>a) Depreciation Expense (on Lines 40 to 51) for the same month;</t>
  </si>
  <si>
    <t>Mono Power Company is a subsidiary company.  Net Earnings are reported on Acct 418.1, pg 225.11e.  Revenues and costs shall be non-ISO.</t>
  </si>
  <si>
    <t>SCE Capital Company is a subsidiary company.  Net Earnings are reported on Acct 418.1, pg 225.23e.  Revenues and costs shall be non-ISO.</t>
  </si>
  <si>
    <t>3) Includes recorded Transmission Plant-In-Service additions, retirements, transfers and adjustments.  From SCE internal acounting records.</t>
  </si>
  <si>
    <t>3) Total annual amortization associated with events listed in note 10 on 5-ROR-2.</t>
  </si>
  <si>
    <t>4) Total annual amortization associated with preferred equity issues listed in note 9 on 5-ROR-2.</t>
  </si>
  <si>
    <t>Sum of Column D, Line 43 and Column G, Line 32</t>
  </si>
  <si>
    <t xml:space="preserve">Instruction 3: For any balances in account 190 relating to "Executive Incentive Comp" or "Executive Incentive Plan", the amount included in Column 3 "Gas, Generation or Other Related" shall be </t>
  </si>
  <si>
    <t>Instruction 4: Classify any ADIT line items relating to refunding and retirement of debt as Plant related (Column 5).</t>
  </si>
  <si>
    <t>Instruction 5: For any balances in account 190 relating to stock options, the entire amount is included in Column 3 “Gas, Generation or Other Related.”</t>
  </si>
  <si>
    <t>Accrual Rate</t>
  </si>
  <si>
    <t>18 Dep Rates L1</t>
  </si>
  <si>
    <t>18 Dep Rates L2</t>
  </si>
  <si>
    <t>18 Dep Rates L3</t>
  </si>
  <si>
    <t>18 Dep Rates L4</t>
  </si>
  <si>
    <t>18 Dep Rates L5</t>
  </si>
  <si>
    <t>18 Dep Rates L6</t>
  </si>
  <si>
    <t>18 Dep Rates L7</t>
  </si>
  <si>
    <t>18 Dep Rates L8</t>
  </si>
  <si>
    <t>18 Dep Rates L9</t>
  </si>
  <si>
    <t>18 Dep Rates L10</t>
  </si>
  <si>
    <t>4j</t>
  </si>
  <si>
    <t>Uneconomic Line Extension</t>
  </si>
  <si>
    <t>4k</t>
  </si>
  <si>
    <t>Opt Out CARE-Res-Ini</t>
  </si>
  <si>
    <t>4l</t>
  </si>
  <si>
    <t>Opt Out CARE-Res-Mo</t>
  </si>
  <si>
    <t>4m</t>
  </si>
  <si>
    <t>Opt Out NonCARE-Res-Ini</t>
  </si>
  <si>
    <t>4n</t>
  </si>
  <si>
    <t>Opt Out NonCARE-Res-Mo</t>
  </si>
  <si>
    <t>10x</t>
  </si>
  <si>
    <t>Op Misc Land/Fac Rev</t>
  </si>
  <si>
    <t>10y</t>
  </si>
  <si>
    <t>T-Unauth Pole Rent</t>
  </si>
  <si>
    <t>10z</t>
  </si>
  <si>
    <t>T-P&amp;E Fees</t>
  </si>
  <si>
    <t>Grant Amortization</t>
  </si>
  <si>
    <t>GHG Allowance Revenue</t>
  </si>
  <si>
    <t>12ccc</t>
  </si>
  <si>
    <t>12ddd</t>
  </si>
  <si>
    <t>3) Amortization of December balance over Rate Effective Period:</t>
  </si>
  <si>
    <t>1) Enter applicable years on Column 1, Lines 11-34 and 43-54.</t>
  </si>
  <si>
    <t>2) Enter Previous Period True Up Adjustment (if any) on Column 4, Lines 23-34.  See Note 4 for definition of Previous Period True Up Adjustment.</t>
  </si>
  <si>
    <t>18 C.F.R. §35.19a on lines 11 to 34, Column 6.  If interest rate for any months not known, use most recent known month.</t>
  </si>
  <si>
    <t>4) Enter "Total Amortization" amount on Line 57, column 6 to set September Month Ending Balance Column 7, Line 54 equal to $0.  Iterate if necessary to solve.</t>
  </si>
  <si>
    <t>(i.e., so that the Month Beginning Balance in Column 3, Line 43 is completely amortized away by the Amortization amounts in Column 4).</t>
  </si>
  <si>
    <t>6) Fill in matrix of all retail revenues from Prior Year in table on lines 95 to 106.</t>
  </si>
  <si>
    <t>7) Enter Total Sales to Ultimate Consumers on line 109 and verify that it equals the total on line 107.</t>
  </si>
  <si>
    <t>These are the 12 monthly values of the "True Up Adjustment Received/Returned" in Column 8, Lines 43 -54 from the previous Informational Filing,</t>
  </si>
  <si>
    <t>They are input into Column 4, lines 23-34 of this current Informational Filing, corresponding to the Rate Effective Period of the previous Informational Filing.</t>
  </si>
  <si>
    <t>8) The Interest Rate in Rate Effective Period is equal to average of interest rates in previous 12 months (lines 23-34).</t>
  </si>
  <si>
    <t>9) The "Month Beginning Balance"  is Month Ending Balance from previous month in Column 7 (January is from Column 9, Line 34).</t>
  </si>
  <si>
    <t>10) Amortization equals amount in Line 57 divided by 12 each month.  See Instruction #4 also for further detail.</t>
  </si>
  <si>
    <t xml:space="preserve">1) Forecast Period is the calendar year two years after the Prior Year (i.e., PY+2).   </t>
  </si>
  <si>
    <t>2) Sum of project specific values from lines 55-79, 81-105, 107-131, 133-157, 159-183, 185-209, 211-235, 237-261, 263-287, 289-313,…</t>
  </si>
  <si>
    <t>= C1 * 
16-Plnt Add Line 74</t>
  </si>
  <si>
    <t>= (C4 - C5) *
16-Plnt Add Line 74</t>
  </si>
  <si>
    <t>C4 10-CWIP
L30-53</t>
  </si>
  <si>
    <t>C5 10-CWIP
L30-53</t>
  </si>
  <si>
    <t>C6 10-CWIP
L30-53</t>
  </si>
  <si>
    <t>= Prior Month C7 
* L91/12</t>
  </si>
  <si>
    <t>=C11* (1-L75)
* (1+L74+L76)</t>
  </si>
  <si>
    <t>2) Sum of Incentive Plant Calculations and Non-Incentive Calculations, lines 26-49 and lines 50-73</t>
  </si>
  <si>
    <t>Column 8, Line 55</t>
  </si>
  <si>
    <t>Domestic</t>
  </si>
  <si>
    <t>GS-1</t>
  </si>
  <si>
    <t xml:space="preserve">       GS-1 continued</t>
  </si>
  <si>
    <t>TC-1</t>
  </si>
  <si>
    <t>GS-2</t>
  </si>
  <si>
    <t>TOU-GS-3</t>
  </si>
  <si>
    <t>TOU-8-SEC</t>
  </si>
  <si>
    <t>TOU-8-PRI</t>
  </si>
  <si>
    <t>TOU-8-SUB</t>
  </si>
  <si>
    <t>TOU-8-Standby-SEC</t>
  </si>
  <si>
    <t>TOU-8-Standby-PRI</t>
  </si>
  <si>
    <t>TOU-8-Standby-SUB</t>
  </si>
  <si>
    <t>TOU-PA-2</t>
  </si>
  <si>
    <t>TOU-PA-3</t>
  </si>
  <si>
    <t>Street Lighting</t>
  </si>
  <si>
    <t>Sales Forecast Billing Determinants:</t>
  </si>
  <si>
    <t>= Retail Base TRR * Line1:Col1</t>
  </si>
  <si>
    <t>Applies to supplemental kW demand charges</t>
  </si>
  <si>
    <t>Applies to contracted standby kW demand charges</t>
  </si>
  <si>
    <t>Recorded Billing Determinants: to be applied to the Supplemental kW demand charges, and the Contracted Standby kW demand charges</t>
  </si>
  <si>
    <t>GWh</t>
  </si>
  <si>
    <t>Maximum demand - MW</t>
  </si>
  <si>
    <t>Standby demand - MW</t>
  </si>
  <si>
    <t>Total energy rate - $/kWh</t>
  </si>
  <si>
    <t>Total demand rate - $/kW-month</t>
  </si>
  <si>
    <r>
      <t>1b</t>
    </r>
    <r>
      <rPr>
        <b/>
        <vertAlign val="subscript"/>
        <sz val="10"/>
        <rFont val="Arial"/>
        <family val="2"/>
      </rPr>
      <t>2</t>
    </r>
  </si>
  <si>
    <t>from Line1:Col2</t>
  </si>
  <si>
    <t>9a</t>
  </si>
  <si>
    <t>9b</t>
  </si>
  <si>
    <t>9c</t>
  </si>
  <si>
    <t>9d</t>
  </si>
  <si>
    <t>= Line16:Col6 * 0.746</t>
  </si>
  <si>
    <t>= Line16:Col7 * 0.746</t>
  </si>
  <si>
    <t>Standby Demand Revenue</t>
  </si>
  <si>
    <t>Supplemental Demand Charge - $/kW-month</t>
  </si>
  <si>
    <t>Contracted standby kW demand Charge - $/kW-month</t>
  </si>
  <si>
    <t>Supplemental Demand Charge - $/HP-month</t>
  </si>
  <si>
    <t>Contracted standby kW demand Charge - $/HP-month</t>
  </si>
  <si>
    <t>16a</t>
  </si>
  <si>
    <t>16b</t>
  </si>
  <si>
    <t>16c</t>
  </si>
  <si>
    <t>16d</t>
  </si>
  <si>
    <t>16e</t>
  </si>
  <si>
    <t>16f</t>
  </si>
  <si>
    <t>16g</t>
  </si>
  <si>
    <t>16h</t>
  </si>
  <si>
    <t>16i</t>
  </si>
  <si>
    <t>16j</t>
  </si>
  <si>
    <t>16k</t>
  </si>
  <si>
    <t>16l</t>
  </si>
  <si>
    <t>16m</t>
  </si>
  <si>
    <t>16n</t>
  </si>
  <si>
    <t>16o</t>
  </si>
  <si>
    <t>1) See Col 9 of Lines 35a, 35b, 35c, etc.</t>
  </si>
  <si>
    <t>26a</t>
  </si>
  <si>
    <t>26b</t>
  </si>
  <si>
    <t>26c</t>
  </si>
  <si>
    <t>26d</t>
  </si>
  <si>
    <t>26e</t>
  </si>
  <si>
    <t>26f</t>
  </si>
  <si>
    <t>26g</t>
  </si>
  <si>
    <t>26h</t>
  </si>
  <si>
    <t>26i</t>
  </si>
  <si>
    <t>26j</t>
  </si>
  <si>
    <t>26k</t>
  </si>
  <si>
    <t>26l</t>
  </si>
  <si>
    <t>26m</t>
  </si>
  <si>
    <t>26n</t>
  </si>
  <si>
    <t>26o</t>
  </si>
  <si>
    <t>= Line35:(Col1+Col2+Col3)/3</t>
  </si>
  <si>
    <t>from Line1:Col3</t>
  </si>
  <si>
    <t>3-Year Average</t>
  </si>
  <si>
    <t>12-CP Allocation factors</t>
  </si>
  <si>
    <t>35a</t>
  </si>
  <si>
    <t>35b</t>
  </si>
  <si>
    <t>35c</t>
  </si>
  <si>
    <t>35d</t>
  </si>
  <si>
    <t>35e</t>
  </si>
  <si>
    <t>35f</t>
  </si>
  <si>
    <t>35g</t>
  </si>
  <si>
    <t>35h</t>
  </si>
  <si>
    <t>35i</t>
  </si>
  <si>
    <t>35j</t>
  </si>
  <si>
    <t>35k</t>
  </si>
  <si>
    <t>35l</t>
  </si>
  <si>
    <t>35m</t>
  </si>
  <si>
    <t>35n</t>
  </si>
  <si>
    <t>35o</t>
  </si>
  <si>
    <t>In the event that the Formula Rate timelines in effect during the previous Informational Filing differ from this Informational Filing, enter the Previous Period True Up Adjustment</t>
  </si>
  <si>
    <t>in this Informational Filing on the lines corrresponding to the Rate Effective Period from the previous Informational Filing.</t>
  </si>
  <si>
    <t>4) Cost Adjustment may be included as provided in the Tariff protocols.</t>
  </si>
  <si>
    <t>Forecast 12-CP Retail Load:</t>
  </si>
  <si>
    <t>Income Taxes = [((RB * ER) + D) * (CTR/(1 – CTR))]  + CO/(1 – CTR)</t>
  </si>
  <si>
    <t>Actual non-capitalized NOIC Payouts:</t>
  </si>
  <si>
    <t>1/16 (O&amp;M + A&amp;G)</t>
  </si>
  <si>
    <t>Row _, Column i</t>
  </si>
  <si>
    <r>
      <t>Row_</t>
    </r>
    <r>
      <rPr>
        <sz val="10"/>
        <rFont val="Arial"/>
        <family val="2"/>
      </rPr>
      <t>, Column i</t>
    </r>
  </si>
  <si>
    <t>- %</t>
  </si>
  <si>
    <t xml:space="preserve"> ____</t>
  </si>
  <si>
    <t>2) Enter forecast project specific values on lines 55-79, 81-105, 107-131, 133-157, 159-183, 185-209, 211-235, 237-261, 263-287, 289-313, ...</t>
  </si>
  <si>
    <t>Lugo-Pisgah</t>
  </si>
  <si>
    <t>Beginning of Year Amount</t>
  </si>
  <si>
    <t>End of Year Amount</t>
  </si>
  <si>
    <t>--</t>
  </si>
  <si>
    <t>----</t>
  </si>
  <si>
    <t xml:space="preserve">   ---</t>
  </si>
  <si>
    <t xml:space="preserve">---  </t>
  </si>
  <si>
    <t>Y/N</t>
  </si>
  <si>
    <t>Presentation of Prior Year CWIP and Forecast Period Incremental CWIP</t>
  </si>
  <si>
    <t>Full Development of Retail and Wholesale Base TRRs</t>
  </si>
  <si>
    <t>True Up TRR without Franchise Fees and Uncollectibles Expense included:</t>
  </si>
  <si>
    <t>k</t>
  </si>
  <si>
    <t xml:space="preserve">b) EOY General and Intangible Depreciation Reserve </t>
  </si>
  <si>
    <t>G: Exclude any amount of ACE awards or Spot Bonuses in O&amp;M accounts 560-592..</t>
  </si>
  <si>
    <t>3) Devers to Col. River</t>
  </si>
  <si>
    <t>7, 17</t>
  </si>
  <si>
    <t>divided by total labor in these same accounts (column 3):</t>
  </si>
  <si>
    <t>Straddle Subs (Cross 200 kV bound.):</t>
  </si>
  <si>
    <t>H: Excludes shareholder funded costs</t>
  </si>
  <si>
    <t>569.100 - Hardware</t>
  </si>
  <si>
    <t>569.200 - Software</t>
  </si>
  <si>
    <t>569.300 - Communication</t>
  </si>
  <si>
    <t>Gross Plant that can directly be determined to be HV or LV:</t>
  </si>
  <si>
    <t>B) Return on Capital</t>
  </si>
  <si>
    <t>C) Income Taxes</t>
  </si>
  <si>
    <t>D) True Up TRR Calculation</t>
  </si>
  <si>
    <t>E) Calculation of final True Up TRR with Franchise Fees and Uncollectibles Expenses</t>
  </si>
  <si>
    <t xml:space="preserve">1) No change in Return on Common Equity will be made absent a Section 205 filing at the Commission. </t>
  </si>
  <si>
    <t>AFCRCWIP = CLTD  + (COS * (1/(1 - CTR)))</t>
  </si>
  <si>
    <t xml:space="preserve">Year </t>
  </si>
  <si>
    <t>= Sum (Cols. 2-14)/13</t>
  </si>
  <si>
    <t>Reacquired Bonds -- Account 222 (Note 2): enter - of FF1</t>
  </si>
  <si>
    <t>Unamortized Issuance Costs (Note 9): enter negative</t>
  </si>
  <si>
    <t>Unappropriated Undist. Sub. Earnings -- Acct. 216.1 (Note 12): enter - of FF1</t>
  </si>
  <si>
    <t>Accumulated Other Comprehensive Loss -- Account 219 (Note 13): enter - of FF1</t>
  </si>
  <si>
    <t>27a</t>
  </si>
  <si>
    <t>PBOPs True UP TRR Adjustment</t>
  </si>
  <si>
    <t>35-PBOPs L 14</t>
  </si>
  <si>
    <t>Complete Lines 10-14 every Annual Update beginning with the Annual Update submitted in 2014 (for Rate Year 2015).</t>
  </si>
  <si>
    <t>Calculation of PBOPs True Up TRR Adjustment (See Note 3):</t>
  </si>
  <si>
    <t>Authorized PBOPs Expense Amount for Prior Year:</t>
  </si>
  <si>
    <t>Note 1 for Prior Year</t>
  </si>
  <si>
    <t>Reduction from previous year:</t>
  </si>
  <si>
    <t>Wages and Salaries Allocation Factor:</t>
  </si>
  <si>
    <t>PBOPs True Up TRR Adjustment:</t>
  </si>
  <si>
    <t>Decision</t>
  </si>
  <si>
    <t>(See Instruction 1)</t>
  </si>
  <si>
    <t>(C4)</t>
  </si>
  <si>
    <t>(C5)</t>
  </si>
  <si>
    <t>= C2 - C3</t>
  </si>
  <si>
    <t>= C1 - C4</t>
  </si>
  <si>
    <t>Adjusted</t>
  </si>
  <si>
    <t>3) The PBOPs True Up TRR Adjustment determines the amount by which the True Up TRR for the Prior Year should be adjusted in order to correctly reflect the</t>
  </si>
  <si>
    <t>Authorized PBOPs Expense Amount that was in effect for the Prior Year (rather than the stated amount that is in effect for the current year as shown on</t>
  </si>
  <si>
    <t>Schedule 20, Note 3, Line a).</t>
  </si>
  <si>
    <t>1) "Current Authorized PBOPs Expense Amounts" in Note 1 are the amounts in effect beginning the first year these amounts were authorized.</t>
  </si>
  <si>
    <t>This schedule is to be filled out (if required by the protocols) utilizing the amounts in effect at that time.  If a filing to revise the Authorized</t>
  </si>
  <si>
    <t>PBOPs Expense Amounts is required, SCE shall make such filing after the Draft Annual Update is posted.</t>
  </si>
  <si>
    <t>SCE shall request that the Commission make the revised Authorized PBOPs Expense Amounts (as determined on Lines 5-9) effective beginning on</t>
  </si>
  <si>
    <t>January 1 of the filing year.</t>
  </si>
  <si>
    <t xml:space="preserve">If the Commission approves SCE's filing, the Authorized PBOPs Expense Amount on Schedule 20, Note 3, Line a for the subsequent </t>
  </si>
  <si>
    <t>Annual Update shall then correspond to the first "Filing PBOPs Expense" in Column 3, Line 5 above.  Absent another filing, subsequent Authorized</t>
  </si>
  <si>
    <t>PBOPs Expense Amounts in subsequent Annual Updates will correspond to the amounts in lines 6-9.</t>
  </si>
  <si>
    <t>2) Fill out table through the year immediately preceeding the current calendar year in which the Annual Update is filed.</t>
  </si>
  <si>
    <t>Enter in C1 "PBOPs Expenses" for each year equal to SCE's actual PBOPs expenses.</t>
  </si>
  <si>
    <t>Enter in C2 PBOPs Recovery based on Commission-approved amounts from most recent PBOPs filing for each year in Prior PBOPs Recovery Period.</t>
  </si>
  <si>
    <t>Enter in C3 "Previous Over (-) or Under (+) Recovery" from previous filing to revise PBOPs amounts (Lines 5 and 6, C2), if any.  Enter with same sign,</t>
  </si>
  <si>
    <t>and corresponding to the years over which it was amortized.</t>
  </si>
  <si>
    <t xml:space="preserve">C4 "Adjusted PBOPs Recovery" represents PBOPs Recovery with the previous period over or undercollection removed. </t>
  </si>
  <si>
    <r>
      <t xml:space="preserve">Complete Lines 1-9 of this Schedule every other Annual Update beginning with the </t>
    </r>
    <r>
      <rPr>
        <sz val="10"/>
        <rFont val="Arial"/>
        <family val="2"/>
      </rPr>
      <t>Annual Update submitted in 2014 (for Rate Year 2015).</t>
    </r>
  </si>
  <si>
    <t>if the absolute value of the sum of the Cumulative PBOP Recovery Difference and the Future PBOPs Recovery Difference is greater</t>
  </si>
  <si>
    <t>Cumulative PBOPs Recovery Difference</t>
  </si>
  <si>
    <t>Future PBOPs Recovery Difference</t>
  </si>
  <si>
    <t xml:space="preserve">1) The Cumulative PBOPs Recovery Difference is the cumulative over-recovery or under-recovery of SCE’s PBOPs expense amount </t>
  </si>
  <si>
    <t xml:space="preserve">during the period beginning on the date the currently-effective Authorized PBOBs Expense Amounts became effective and </t>
  </si>
  <si>
    <t>ending on December 31 of the immediately preceding year (“Prior PBOPs Recovery Period”)</t>
  </si>
  <si>
    <t>Current Authorized PBOPs Expense Amounts:</t>
  </si>
  <si>
    <t>Calculation of Cumulative PBOPs Recovery Difference (see Instruction 2):</t>
  </si>
  <si>
    <t>PBOPs Amounts became effective:</t>
  </si>
  <si>
    <t>Sum from Note 1 for current and next year.</t>
  </si>
  <si>
    <t>Forecast PBOPs</t>
  </si>
  <si>
    <t>Twenty Percent of sum of forecast PBOPs Expense for current</t>
  </si>
  <si>
    <t>Calculation of Future PBOPs Recovery Difference:</t>
  </si>
  <si>
    <t>Future PBOPs Recovery Difference:</t>
  </si>
  <si>
    <t>Sch. 20 Note 3, Line a</t>
  </si>
  <si>
    <t>5) Only exclude if not already excluded in Schedule 20.</t>
  </si>
  <si>
    <t>One Time True Up Adjustment amounts (see Instruction #5) attributable to a previous Prior Year are entered on Column 4, Line 11 (or other appropriate).</t>
  </si>
  <si>
    <t>Entering on Line 11 (or other appropriate) ensures these One Time Adjustments are recovered from or returned to customers.</t>
  </si>
  <si>
    <t>LV Substations (Less Than 200kV)</t>
  </si>
  <si>
    <t>(Line 24)</t>
  </si>
  <si>
    <t>(Line 29)</t>
  </si>
  <si>
    <t>(Line 36)</t>
  </si>
  <si>
    <t>(Line 22 x Line 23)</t>
  </si>
  <si>
    <t>(Line 27 x Line 28)</t>
  </si>
  <si>
    <t>(Line 32 x Line 33)</t>
  </si>
  <si>
    <r>
      <t xml:space="preserve">(Line </t>
    </r>
    <r>
      <rPr>
        <sz val="10"/>
        <rFont val="Arial"/>
        <family val="2"/>
      </rPr>
      <t xml:space="preserve">34 x Line </t>
    </r>
    <r>
      <rPr>
        <sz val="10"/>
        <rFont val="Arial"/>
        <family val="2"/>
      </rPr>
      <t>35)</t>
    </r>
  </si>
  <si>
    <t>d) Amounts resulting from input errors impacting the True Up TRR in a previous Formula Rate filing pursuant to Protocol Section 3(d)(8).</t>
  </si>
  <si>
    <t>Data Network Systems</t>
  </si>
  <si>
    <t>Telecom Power Systems</t>
  </si>
  <si>
    <t>1-BaseTRR WS, Line 86</t>
  </si>
  <si>
    <t>NEM Adjustment</t>
  </si>
  <si>
    <t>NEM GWh</t>
  </si>
  <si>
    <t>Billing Determinants with NEM Adjustment</t>
  </si>
  <si>
    <t>Revenue associated with Supplemental Demand or Energy</t>
  </si>
  <si>
    <t>Note 12</t>
  </si>
  <si>
    <t>Note 13</t>
  </si>
  <si>
    <t>2) Sales forecast in total Giga-watt hours usage, represents the customers' total annual GWh usage.  Based on same forecast as Gross Load forecast in Schedule 32, Line 1, but at customer meter level.</t>
  </si>
  <si>
    <t>Domestic (con't)</t>
  </si>
  <si>
    <t>Note 8</t>
  </si>
  <si>
    <t>Sales Forecast (Not Including Backup)</t>
  </si>
  <si>
    <t>Sales Forecast (Backup)</t>
  </si>
  <si>
    <t>= (Line1:Col3 + Line1:Col4) - Line1:Col5</t>
  </si>
  <si>
    <t>= Line1:Col2 / (Line1:Col8*10^6)</t>
  </si>
  <si>
    <t>= Line1:Col2 / ((Line1:Col6 + Line1:Col7)*10^3)</t>
  </si>
  <si>
    <t xml:space="preserve"> GWh</t>
  </si>
  <si>
    <t>Backup GWh</t>
  </si>
  <si>
    <t>Notes 9,10</t>
  </si>
  <si>
    <r>
      <t>2) Determination of</t>
    </r>
    <r>
      <rPr>
        <b/>
        <strike/>
        <sz val="12"/>
        <rFont val="Arial"/>
        <family val="2"/>
      </rPr>
      <t xml:space="preserve"> </t>
    </r>
    <r>
      <rPr>
        <b/>
        <sz val="12"/>
        <rFont val="Arial"/>
        <family val="2"/>
      </rPr>
      <t>Demand Rates for Large Power (TOU-8) Rate Groups</t>
    </r>
  </si>
  <si>
    <t>from Line1:Col7</t>
  </si>
  <si>
    <t>= Col1 / Col2 / 10^3</t>
  </si>
  <si>
    <t>= Col 6 / (Col 7 * 10^3)</t>
  </si>
  <si>
    <r>
      <t>Standby</t>
    </r>
    <r>
      <rPr>
        <b/>
        <u/>
        <sz val="10"/>
        <rFont val="Arial"/>
        <family val="2"/>
      </rPr>
      <t xml:space="preserve"> </t>
    </r>
    <r>
      <rPr>
        <b/>
        <sz val="10"/>
        <rFont val="Arial"/>
        <family val="2"/>
      </rPr>
      <t>Allocated costs</t>
    </r>
  </si>
  <si>
    <t>Standby Demand - MW</t>
  </si>
  <si>
    <t>Contracted Standby Demand Charge $/kW</t>
  </si>
  <si>
    <t>Non-Standby Allocated Costs</t>
  </si>
  <si>
    <t>Sum of Standby and Non-Standby Demand</t>
  </si>
  <si>
    <t>Supplemental kW demand Charge $/kW</t>
  </si>
  <si>
    <t>= Col 2 + Col 3</t>
  </si>
  <si>
    <t>= Line1:Col2 - Line16:Col3</t>
  </si>
  <si>
    <t>= Line16:Col7 * Line1:Col7 *10^3</t>
  </si>
  <si>
    <t>= Line16:Col2 / (Line1:Col8 * 10^6)</t>
  </si>
  <si>
    <t>= Line16:Col2 / Line1:Col6 / 10^3</t>
  </si>
  <si>
    <t>from Line9:Col3</t>
  </si>
  <si>
    <t>Note 14</t>
  </si>
  <si>
    <t>Total Revenues</t>
  </si>
  <si>
    <t>Note 15</t>
  </si>
  <si>
    <t>Note 16</t>
  </si>
  <si>
    <t xml:space="preserve">    Does not include Backup GWh included in Column 4 (the sum of Column 3 and 4 equals total Sales Forecast).</t>
  </si>
  <si>
    <t>3) Backup GWh represents the amount of electric service that is provided by SCE to a customer who has an onsite generating facility during unscheduled outages of the customer’s on-site generator.</t>
  </si>
  <si>
    <t xml:space="preserve">    Only applies to TOU-8-Standby-SEC, TOU-8-Standby-PRI, TOU-8-Standby-SUB Rate Groups.</t>
  </si>
  <si>
    <t>4) Amount of energy included in the sales forecast that is not subject to transmission charges pursuant to the California Public Utilities Commission (“CPUC”) approved Net Energy Metering Program.</t>
  </si>
  <si>
    <t>5) Sales forecast pertaining to the sum of monthly maximum supplemental Mega-watt demand, applies to demand charge schedules</t>
  </si>
  <si>
    <t>6) Sales forecast pertaining to the sum of monthly contracted standby Mega-watt demand, applies to standby schedules</t>
  </si>
  <si>
    <t>7) Net Forecast in total Giga-watt hours usage - represents the customers' annual Net GWh, applicable to Non-Demand Charge Schedules such as Residential or Small General Service</t>
  </si>
  <si>
    <t>8) Recorded sales from Sample meters adjusted for population - use to set the total demand rate for the optional time-of-use schedules within the GS-1 rate group</t>
  </si>
  <si>
    <t>9) Line 1b2, Col11 = Line 1b Col9 * Line 1b Col11 * 10^6</t>
  </si>
  <si>
    <t>10) Total demand rate for the optional time-of-use schedules within the GS-1 rate group, Line 1b2:Col10 =  Line 1b2:Col12 ( which = Line 1b2:Col11  / ((Line1b:Col12 + Line1b:Col13) * 10^3)</t>
  </si>
  <si>
    <t>11) Sum of the TOU-8 Standby and TOU-8 Non-Standby billing determinants in Line1:Col6</t>
  </si>
  <si>
    <t>12) For TOU-8 Rates revenue = Supplemental Demand Charge on Line 9 Column 8 * Maximum Demand on Lines 1 Column 6</t>
  </si>
  <si>
    <r>
      <t>13) For optional time-of-use schedules within the GS-1 rate group (Line16b:Col6), = (Line1b</t>
    </r>
    <r>
      <rPr>
        <vertAlign val="subscript"/>
        <sz val="10"/>
        <rFont val="Arial"/>
        <family val="2"/>
      </rPr>
      <t>2</t>
    </r>
    <r>
      <rPr>
        <sz val="10"/>
        <rFont val="Arial"/>
        <family val="2"/>
      </rPr>
      <t>:Col11</t>
    </r>
    <r>
      <rPr>
        <sz val="10"/>
        <rFont val="Arial"/>
        <family val="2"/>
      </rPr>
      <t xml:space="preserve"> - Line16:Col3) / Line1b:Col12</t>
    </r>
    <r>
      <rPr>
        <sz val="10"/>
        <rFont val="Arial"/>
        <family val="2"/>
      </rPr>
      <t xml:space="preserve"> / 10^3</t>
    </r>
  </si>
  <si>
    <r>
      <t>14) For the non TOU-8-Standby rate group, it is the minimum of Line16i:Col7, or the total demand rate in Line1:Col10</t>
    </r>
    <r>
      <rPr>
        <strike/>
        <sz val="10"/>
        <rFont val="Arial"/>
        <family val="2"/>
      </rPr>
      <t>9</t>
    </r>
  </si>
  <si>
    <t>15)  Applicable to time-of-use schedules within the GS-1 rate group</t>
  </si>
  <si>
    <t>16)  Applicable to the optional schedules that contain horse power charge such as PA-1</t>
  </si>
  <si>
    <t>17) GWh for TOU-8-Standby-SEC, TOU-8-Standby-PRI, TOU-8-Standby-SUB Rate Groups are placed in TOU-8-SEC, TOU-8-PRI, TOU-8-SUB Rate Groups respectively.</t>
  </si>
  <si>
    <t>Includes Schedules D, D-CARE, D-FERA,TOU-D-T, TOU-EV-1, TOU-D-TEV, DE, D-SDP, D-SDP-O, DM, DMS-1, DMS-2, DMS-3, and DS.</t>
  </si>
  <si>
    <t xml:space="preserve">  D (Option CPP), D-CARE (Option CPP), TOU-D-Option A, TOU-D-Option B, TOU-D-3</t>
  </si>
  <si>
    <t>Includes Schedules GS-1, TOU-EV-3, and TOU-GS-1 (Option A, B, RTP, CPP, Standby, GS-APS, GS-APS-E, and ME).</t>
  </si>
  <si>
    <t>Includes Schedules TC-1, Wi-Fi-1, and WTR.</t>
  </si>
  <si>
    <t xml:space="preserve">Includes Schedules GS-2, TOU-EV-4, and TOU-GS-2 (Option A, B, R, RTP, CPP, Standby, GS-APS, GS-APS-E, and ME). </t>
  </si>
  <si>
    <t>Includes Schedules TOU-GS-3-CPP, and TOU-GS-3 (Option A, B, R, RTP, SOP, Standby, TOU-BIP, GS-APS, GS-APS-E, and ME).</t>
  </si>
  <si>
    <t>Includes Schedules TOU-8-CPP, TOU-8-RBU, and TOU-8 (Option A, B, R, RTP, TOU-BIP, GS-APS, GS-APS-E, Backup-B, and ME).</t>
  </si>
  <si>
    <t>Includes Schedules TOU-8-Standby (Option B, RTP, TOU-BIP, GS-APS, GS-APS-E, and ME).</t>
  </si>
  <si>
    <t>Includes Schedules TOU-8-Standby (Option A, A2, B, RTP, TOU-BIP, GS-APS, GS-APS-E, and ME).</t>
  </si>
  <si>
    <t>Includes Schedules  PA-1, PA-2, TOU-PA-ICE, and TOU-PA-2 (Option A, B, RTP, SOP-1, SOP-2, CPP, Standby, and AP-I).</t>
  </si>
  <si>
    <t>Includes Schedules  TOU-PA-3-CPP, and TOU-PA-3 (Option A, B, RTP, SOP-1, SOP-2, Standby, and AP-I).</t>
  </si>
  <si>
    <t>Includes Schedules AL-2, AL-2-B, DWL, LS-1, LS-2, LS-3, LS-3-B, and OL-1.</t>
  </si>
  <si>
    <t>from Line1:Col4</t>
  </si>
  <si>
    <t>= Col 7 + Col 8</t>
  </si>
  <si>
    <t>= Line35:(Col4*Col5/Col6*Col9)</t>
  </si>
  <si>
    <t>= Line35:(Col10 / total of Col10)</t>
  </si>
  <si>
    <t>Note 17</t>
  </si>
  <si>
    <t>Recorded GWh (Average)</t>
  </si>
  <si>
    <t>Standby Adjusted Sales Forecast - GWh</t>
  </si>
  <si>
    <t>Total Sales Forecast - GWh</t>
  </si>
  <si>
    <t>Sum of Lines 1 to 3</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</si>
</sst>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0%"/>
    <numFmt numFmtId="166" formatCode="&quot;$&quot;#,##0.00"/>
    <numFmt numFmtId="167" formatCode="_(* #,##0_);_(* \(#,##0\);_(* &quot;-&quot;??_);_(@_)"/>
    <numFmt numFmtId="168" formatCode="0.000%"/>
    <numFmt numFmtId="169" formatCode="0.000"/>
    <numFmt numFmtId="170" formatCode="0.0%"/>
    <numFmt numFmtId="171" formatCode="#,##0.000"/>
    <numFmt numFmtId="172" formatCode="0.00000%"/>
    <numFmt numFmtId="173" formatCode="&quot;$&quot;#,##0.00000"/>
    <numFmt numFmtId="174" formatCode="0.0000"/>
    <numFmt numFmtId="175" formatCode="_(&quot;$&quot;* #,##0.00_);_(&quot;$&quot;* \(#,##0.00\);_(&quot;$&quot;* &quot;-&quot;_);_(@_)"/>
    <numFmt numFmtId="176" formatCode="_-* #,##0.00\ _D_M_-;\-* #,##0.00\ _D_M_-;_-* &quot;-&quot;??\ _D_M_-;_-@_-"/>
    <numFmt numFmtId="177" formatCode="_-* #,##0\ _D_M_-;\-* #,##0\ _D_M_-;_-* &quot;-&quot;??\ _D_M_-;_-@_-"/>
    <numFmt numFmtId="178" formatCode="_(&quot;$&quot;* #,##0_);_(&quot;$&quot;* \(#,##0\);_(&quot;$&quot;* &quot;-&quot;??_);_(@_)"/>
    <numFmt numFmtId="179" formatCode="#,##0.0_);[Red]\(#,##0.0\)"/>
    <numFmt numFmtId="180" formatCode="m/d/yy;@"/>
    <numFmt numFmtId="181" formatCode="&quot;$&quot;#,##0.000000"/>
  </numFmts>
  <fonts count="6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u/>
      <sz val="10"/>
      <name val="Arial"/>
      <family val="2"/>
    </font>
    <font>
      <b/>
      <sz val="10"/>
      <color indexed="13"/>
      <name val="Arial"/>
      <family val="2"/>
    </font>
    <font>
      <sz val="10"/>
      <color indexed="13"/>
      <name val="Arial"/>
      <family val="2"/>
    </font>
    <font>
      <u/>
      <sz val="10"/>
      <name val="Arial"/>
      <family val="2"/>
    </font>
    <font>
      <u/>
      <sz val="10"/>
      <name val="Arial"/>
      <family val="2"/>
    </font>
    <font>
      <u/>
      <sz val="10"/>
      <color indexed="12"/>
      <name val="Arial"/>
      <family val="2"/>
    </font>
    <font>
      <sz val="8"/>
      <name val="Times New Roman"/>
      <family val="1"/>
    </font>
    <font>
      <sz val="10"/>
      <name val="Calibri"/>
      <family val="2"/>
    </font>
    <font>
      <b/>
      <sz val="10"/>
      <name val="Calibri"/>
      <family val="2"/>
    </font>
    <font>
      <sz val="9"/>
      <name val="Arial"/>
      <family val="2"/>
    </font>
    <font>
      <u/>
      <sz val="9"/>
      <name val="Arial"/>
      <family val="2"/>
    </font>
    <font>
      <u val="singleAccounting"/>
      <sz val="10"/>
      <name val="Arial"/>
      <family val="2"/>
    </font>
    <font>
      <i/>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vertAlign val="subscript"/>
      <sz val="10"/>
      <name val="Arial"/>
      <family val="2"/>
    </font>
    <font>
      <b/>
      <sz val="16"/>
      <name val="Arial"/>
      <family val="2"/>
    </font>
    <font>
      <b/>
      <sz val="11"/>
      <color theme="1"/>
      <name val="Calibri"/>
      <family val="2"/>
      <scheme val="minor"/>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Calibri"/>
      <family val="2"/>
      <scheme val="minor"/>
    </font>
    <font>
      <b/>
      <sz val="10"/>
      <color rgb="FFFF0000"/>
      <name val="Arial"/>
      <family val="2"/>
    </font>
    <font>
      <u/>
      <sz val="10"/>
      <color theme="1"/>
      <name val="Arial"/>
      <family val="2"/>
    </font>
    <font>
      <sz val="11"/>
      <name val="Calibri"/>
      <family val="2"/>
      <scheme val="minor"/>
    </font>
    <font>
      <b/>
      <sz val="11"/>
      <name val="Calibri"/>
      <family val="2"/>
      <scheme val="minor"/>
    </font>
    <font>
      <sz val="10"/>
      <color theme="1"/>
      <name val="Calibri"/>
      <family val="2"/>
      <scheme val="minor"/>
    </font>
    <font>
      <b/>
      <i/>
      <sz val="10"/>
      <name val="Arial"/>
      <family val="2"/>
    </font>
    <font>
      <sz val="10"/>
      <name val="Calibri"/>
      <family val="2"/>
      <scheme val="minor"/>
    </font>
    <font>
      <sz val="10"/>
      <name val="Arial"/>
      <family val="2"/>
    </font>
    <font>
      <strike/>
      <sz val="10"/>
      <name val="Arial"/>
      <family val="2"/>
    </font>
    <font>
      <sz val="10"/>
      <color rgb="FF000000"/>
      <name val="Arial"/>
      <family val="2"/>
    </font>
    <font>
      <sz val="10"/>
      <color theme="1"/>
      <name val="Calibri"/>
      <family val="2"/>
    </font>
    <font>
      <sz val="12"/>
      <name val="Times New Roman"/>
      <family val="1"/>
    </font>
    <font>
      <b/>
      <sz val="20"/>
      <name val="Arial"/>
      <family val="2"/>
    </font>
    <font>
      <sz val="9"/>
      <color indexed="81"/>
      <name val="Tahoma"/>
      <family val="2"/>
    </font>
    <font>
      <b/>
      <sz val="9"/>
      <color indexed="81"/>
      <name val="Tahoma"/>
      <family val="2"/>
    </font>
    <font>
      <b/>
      <sz val="12"/>
      <name val="Arial"/>
      <family val="2"/>
    </font>
    <font>
      <vertAlign val="subscript"/>
      <sz val="10"/>
      <name val="Arial"/>
      <family val="2"/>
    </font>
    <font>
      <u/>
      <sz val="10"/>
      <color rgb="FFFF0000"/>
      <name val="Arial"/>
      <family val="2"/>
    </font>
    <font>
      <sz val="11"/>
      <name val="Arial"/>
      <family val="2"/>
    </font>
    <font>
      <sz val="11"/>
      <color theme="1"/>
      <name val="Arial"/>
      <family val="2"/>
    </font>
    <font>
      <u/>
      <sz val="11"/>
      <color theme="1"/>
      <name val="Arial"/>
      <family val="2"/>
    </font>
    <font>
      <strike/>
      <sz val="10"/>
      <color rgb="FFFF0000"/>
      <name val="Arial"/>
      <family val="2"/>
    </font>
    <font>
      <b/>
      <strike/>
      <sz val="12"/>
      <name val="Arial"/>
      <family val="2"/>
    </font>
    <font>
      <b/>
      <strike/>
      <u/>
      <sz val="10"/>
      <color rgb="FFFF0000"/>
      <name val="Arial"/>
      <family val="2"/>
    </font>
    <font>
      <b/>
      <strike/>
      <sz val="10"/>
      <color rgb="FFFF0000"/>
      <name val="Arial"/>
      <family val="2"/>
    </font>
  </fonts>
  <fills count="38">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indexed="13"/>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s>
  <borders count="21">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auto="1"/>
      </left>
      <right/>
      <top style="medium">
        <color auto="1"/>
      </top>
      <bottom style="medium">
        <color auto="1"/>
      </bottom>
      <diagonal/>
    </border>
  </borders>
  <cellStyleXfs count="136">
    <xf numFmtId="0" fontId="0" fillId="0" borderId="0"/>
    <xf numFmtId="0" fontId="24" fillId="8" borderId="0" applyNumberFormat="0" applyBorder="0" applyAlignment="0" applyProtection="0"/>
    <xf numFmtId="0" fontId="24" fillId="9" borderId="0" applyNumberFormat="0" applyBorder="0" applyAlignment="0" applyProtection="0"/>
    <xf numFmtId="0" fontId="25" fillId="10"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5" fillId="18"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1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5" fillId="9" borderId="0" applyNumberFormat="0" applyBorder="0" applyAlignment="0" applyProtection="0"/>
    <xf numFmtId="0" fontId="24" fillId="20" borderId="0" applyNumberFormat="0" applyBorder="0" applyAlignment="0" applyProtection="0"/>
    <xf numFmtId="0" fontId="24" fillId="13" borderId="0" applyNumberFormat="0" applyBorder="0" applyAlignment="0" applyProtection="0"/>
    <xf numFmtId="0" fontId="25" fillId="21" borderId="0" applyNumberFormat="0" applyBorder="0" applyAlignment="0" applyProtection="0"/>
    <xf numFmtId="43" fontId="7"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6" fontId="10" fillId="0" borderId="0" applyFont="0" applyFill="0" applyBorder="0" applyAlignment="0" applyProtection="0"/>
    <xf numFmtId="44" fontId="7" fillId="0" borderId="0" applyFont="0" applyFill="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16" fillId="0" borderId="0" applyNumberFormat="0" applyFill="0" applyBorder="0" applyAlignment="0" applyProtection="0">
      <alignment vertical="top"/>
      <protection locked="0"/>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38" fontId="17" fillId="0" borderId="0"/>
    <xf numFmtId="9" fontId="7" fillId="0" borderId="0" applyFont="0" applyFill="0" applyBorder="0" applyAlignment="0" applyProtection="0"/>
    <xf numFmtId="9" fontId="30" fillId="0" borderId="0" applyFont="0" applyFill="0" applyBorder="0" applyAlignment="0" applyProtection="0"/>
    <xf numFmtId="9" fontId="10" fillId="0" borderId="0" applyFont="0" applyFill="0" applyBorder="0" applyAlignment="0" applyProtection="0"/>
    <xf numFmtId="4" fontId="29" fillId="25" borderId="1" applyNumberFormat="0" applyProtection="0">
      <alignment vertical="center"/>
    </xf>
    <xf numFmtId="4" fontId="31" fillId="25" borderId="1" applyNumberFormat="0" applyProtection="0">
      <alignment vertical="center"/>
    </xf>
    <xf numFmtId="4" fontId="29" fillId="25" borderId="1" applyNumberFormat="0" applyProtection="0">
      <alignment horizontal="left" vertical="center" indent="1"/>
    </xf>
    <xf numFmtId="0" fontId="29" fillId="25" borderId="1" applyNumberFormat="0" applyProtection="0">
      <alignment horizontal="left" vertical="top" indent="1"/>
    </xf>
    <xf numFmtId="4" fontId="29" fillId="27" borderId="0" applyNumberFormat="0" applyProtection="0">
      <alignment horizontal="left" vertical="center" indent="1"/>
    </xf>
    <xf numFmtId="4" fontId="27" fillId="2" borderId="1" applyNumberFormat="0" applyProtection="0">
      <alignment horizontal="right" vertical="center"/>
    </xf>
    <xf numFmtId="4" fontId="27" fillId="4" borderId="1" applyNumberFormat="0" applyProtection="0">
      <alignment horizontal="right" vertical="center"/>
    </xf>
    <xf numFmtId="4" fontId="27" fillId="11" borderId="1" applyNumberFormat="0" applyProtection="0">
      <alignment horizontal="right" vertical="center"/>
    </xf>
    <xf numFmtId="4" fontId="27" fillId="6" borderId="1" applyNumberFormat="0" applyProtection="0">
      <alignment horizontal="right" vertical="center"/>
    </xf>
    <xf numFmtId="4" fontId="27" fillId="7" borderId="1" applyNumberFormat="0" applyProtection="0">
      <alignment horizontal="right" vertical="center"/>
    </xf>
    <xf numFmtId="4" fontId="27" fillId="19" borderId="1" applyNumberFormat="0" applyProtection="0">
      <alignment horizontal="right" vertical="center"/>
    </xf>
    <xf numFmtId="4" fontId="27" fillId="15" borderId="1" applyNumberFormat="0" applyProtection="0">
      <alignment horizontal="right" vertical="center"/>
    </xf>
    <xf numFmtId="4" fontId="27" fillId="28" borderId="1" applyNumberFormat="0" applyProtection="0">
      <alignment horizontal="right" vertical="center"/>
    </xf>
    <xf numFmtId="4" fontId="27" fillId="5" borderId="1" applyNumberFormat="0" applyProtection="0">
      <alignment horizontal="right" vertical="center"/>
    </xf>
    <xf numFmtId="4" fontId="29" fillId="29" borderId="2" applyNumberFormat="0" applyProtection="0">
      <alignment horizontal="left" vertical="center" indent="1"/>
    </xf>
    <xf numFmtId="4" fontId="27" fillId="30" borderId="0" applyNumberFormat="0" applyProtection="0">
      <alignment horizontal="left" vertical="center" indent="1"/>
    </xf>
    <xf numFmtId="4" fontId="32" fillId="31" borderId="0" applyNumberFormat="0" applyProtection="0">
      <alignment horizontal="left" vertical="center" indent="1"/>
    </xf>
    <xf numFmtId="4" fontId="27" fillId="27" borderId="1" applyNumberFormat="0" applyProtection="0">
      <alignment horizontal="right" vertical="center"/>
    </xf>
    <xf numFmtId="4" fontId="27" fillId="30" borderId="0" applyNumberFormat="0" applyProtection="0">
      <alignment horizontal="left" vertical="center" indent="1"/>
    </xf>
    <xf numFmtId="4" fontId="27" fillId="27" borderId="0" applyNumberFormat="0" applyProtection="0">
      <alignment horizontal="left" vertical="center" indent="1"/>
    </xf>
    <xf numFmtId="0" fontId="10" fillId="31" borderId="1" applyNumberFormat="0" applyProtection="0">
      <alignment horizontal="left" vertical="center" indent="1"/>
    </xf>
    <xf numFmtId="0" fontId="10" fillId="31" borderId="1" applyNumberFormat="0" applyProtection="0">
      <alignment horizontal="left" vertical="top" indent="1"/>
    </xf>
    <xf numFmtId="0" fontId="10" fillId="27" borderId="1" applyNumberFormat="0" applyProtection="0">
      <alignment horizontal="left" vertical="center" indent="1"/>
    </xf>
    <xf numFmtId="0" fontId="10" fillId="27" borderId="1" applyNumberFormat="0" applyProtection="0">
      <alignment horizontal="left" vertical="top" indent="1"/>
    </xf>
    <xf numFmtId="0" fontId="10" fillId="3" borderId="1" applyNumberFormat="0" applyProtection="0">
      <alignment horizontal="left" vertical="center" indent="1"/>
    </xf>
    <xf numFmtId="0" fontId="10" fillId="3" borderId="1" applyNumberFormat="0" applyProtection="0">
      <alignment horizontal="left" vertical="top" indent="1"/>
    </xf>
    <xf numFmtId="0" fontId="10" fillId="30" borderId="1" applyNumberFormat="0" applyProtection="0">
      <alignment horizontal="left" vertical="center" indent="1"/>
    </xf>
    <xf numFmtId="0" fontId="10" fillId="30" borderId="1" applyNumberFormat="0" applyProtection="0">
      <alignment horizontal="left" vertical="top" indent="1"/>
    </xf>
    <xf numFmtId="0" fontId="10" fillId="32" borderId="3" applyNumberFormat="0">
      <protection locked="0"/>
    </xf>
    <xf numFmtId="4" fontId="27" fillId="26" borderId="1" applyNumberFormat="0" applyProtection="0">
      <alignment vertical="center"/>
    </xf>
    <xf numFmtId="4" fontId="33" fillId="26" borderId="1" applyNumberFormat="0" applyProtection="0">
      <alignment vertical="center"/>
    </xf>
    <xf numFmtId="4" fontId="27" fillId="26" borderId="1" applyNumberFormat="0" applyProtection="0">
      <alignment horizontal="left" vertical="center" indent="1"/>
    </xf>
    <xf numFmtId="0" fontId="27" fillId="26" borderId="1" applyNumberFormat="0" applyProtection="0">
      <alignment horizontal="left" vertical="top" indent="1"/>
    </xf>
    <xf numFmtId="4" fontId="27" fillId="30" borderId="1" applyNumberFormat="0" applyProtection="0">
      <alignment horizontal="right" vertical="center"/>
    </xf>
    <xf numFmtId="4" fontId="33" fillId="30" borderId="1" applyNumberFormat="0" applyProtection="0">
      <alignment horizontal="right" vertical="center"/>
    </xf>
    <xf numFmtId="4" fontId="27" fillId="27" borderId="1" applyNumberFormat="0" applyProtection="0">
      <alignment horizontal="left" vertical="center" indent="1"/>
    </xf>
    <xf numFmtId="0" fontId="27" fillId="27" borderId="1" applyNumberFormat="0" applyProtection="0">
      <alignment horizontal="left" vertical="top" indent="1"/>
    </xf>
    <xf numFmtId="4" fontId="34" fillId="33" borderId="0" applyNumberFormat="0" applyProtection="0">
      <alignment horizontal="left" vertical="center" indent="1"/>
    </xf>
    <xf numFmtId="4" fontId="28" fillId="30" borderId="1" applyNumberFormat="0" applyProtection="0">
      <alignment horizontal="right" vertical="center"/>
    </xf>
    <xf numFmtId="0" fontId="35" fillId="0" borderId="0" applyNumberFormat="0" applyFill="0" applyBorder="0" applyAlignment="0" applyProtection="0"/>
    <xf numFmtId="0" fontId="7" fillId="0" borderId="0"/>
    <xf numFmtId="0" fontId="6" fillId="0" borderId="0"/>
    <xf numFmtId="0" fontId="6" fillId="0" borderId="0"/>
    <xf numFmtId="176" fontId="7" fillId="0" borderId="0" applyFont="0" applyFill="0" applyBorder="0" applyAlignment="0" applyProtection="0"/>
    <xf numFmtId="0" fontId="7" fillId="31" borderId="1" applyNumberFormat="0" applyProtection="0">
      <alignment horizontal="left" vertical="center" indent="1"/>
    </xf>
    <xf numFmtId="0" fontId="7" fillId="31" borderId="1" applyNumberFormat="0" applyProtection="0">
      <alignment horizontal="left" vertical="top" indent="1"/>
    </xf>
    <xf numFmtId="0" fontId="7" fillId="27" borderId="1" applyNumberFormat="0" applyProtection="0">
      <alignment horizontal="left" vertical="center" indent="1"/>
    </xf>
    <xf numFmtId="0" fontId="7" fillId="27" borderId="1" applyNumberFormat="0" applyProtection="0">
      <alignment horizontal="left" vertical="top" indent="1"/>
    </xf>
    <xf numFmtId="0" fontId="7" fillId="3" borderId="1" applyNumberFormat="0" applyProtection="0">
      <alignment horizontal="left" vertical="center" indent="1"/>
    </xf>
    <xf numFmtId="0" fontId="7" fillId="3" borderId="1" applyNumberFormat="0" applyProtection="0">
      <alignment horizontal="left" vertical="top" indent="1"/>
    </xf>
    <xf numFmtId="0" fontId="7" fillId="30" borderId="1" applyNumberFormat="0" applyProtection="0">
      <alignment horizontal="left" vertical="center" indent="1"/>
    </xf>
    <xf numFmtId="0" fontId="7" fillId="30" borderId="1" applyNumberFormat="0" applyProtection="0">
      <alignment horizontal="left" vertical="top" indent="1"/>
    </xf>
    <xf numFmtId="0" fontId="7" fillId="32" borderId="3" applyNumberFormat="0">
      <protection locked="0"/>
    </xf>
    <xf numFmtId="0" fontId="51"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6" fontId="7" fillId="0" borderId="0" applyFont="0" applyFill="0" applyBorder="0" applyAlignment="0" applyProtection="0"/>
    <xf numFmtId="44"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5"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30" fillId="0" borderId="0"/>
    <xf numFmtId="0" fontId="30" fillId="0" borderId="0"/>
    <xf numFmtId="0" fontId="30" fillId="0" borderId="0"/>
    <xf numFmtId="0" fontId="30" fillId="0" borderId="0"/>
    <xf numFmtId="0" fontId="30" fillId="0" borderId="0"/>
    <xf numFmtId="43" fontId="40" fillId="0" borderId="0" applyFont="0" applyFill="0" applyBorder="0" applyAlignment="0" applyProtection="0"/>
    <xf numFmtId="9" fontId="7" fillId="0" borderId="0" applyFont="0" applyFill="0" applyBorder="0" applyAlignment="0" applyProtection="0"/>
    <xf numFmtId="0" fontId="7" fillId="0" borderId="0"/>
  </cellStyleXfs>
  <cellXfs count="1160">
    <xf numFmtId="0" fontId="0" fillId="0" borderId="0" xfId="0"/>
    <xf numFmtId="0" fontId="8" fillId="0" borderId="0" xfId="0" applyFont="1"/>
    <xf numFmtId="0" fontId="8" fillId="0" borderId="0" xfId="0" applyFont="1" applyAlignment="1">
      <alignment horizontal="center"/>
    </xf>
    <xf numFmtId="0" fontId="11" fillId="0" borderId="0" xfId="0" applyFont="1" applyAlignment="1">
      <alignment horizontal="center"/>
    </xf>
    <xf numFmtId="0" fontId="8" fillId="0" borderId="0" xfId="0" quotePrefix="1" applyFont="1" applyAlignment="1">
      <alignment horizontal="center"/>
    </xf>
    <xf numFmtId="0" fontId="10" fillId="0" borderId="0" xfId="0" applyFont="1" applyFill="1" applyBorder="1" applyAlignment="1">
      <alignment horizontal="left" indent="1"/>
    </xf>
    <xf numFmtId="164" fontId="0" fillId="0" borderId="0" xfId="0" applyNumberFormat="1"/>
    <xf numFmtId="165" fontId="0" fillId="0" borderId="0" xfId="0" applyNumberFormat="1"/>
    <xf numFmtId="0" fontId="0" fillId="35" borderId="0" xfId="0" applyFill="1"/>
    <xf numFmtId="0" fontId="12" fillId="35" borderId="0" xfId="0" applyFont="1" applyFill="1"/>
    <xf numFmtId="0" fontId="13" fillId="35" borderId="0" xfId="0" applyFont="1" applyFill="1"/>
    <xf numFmtId="0" fontId="10" fillId="0" borderId="0" xfId="0" applyFont="1"/>
    <xf numFmtId="0" fontId="10" fillId="0" borderId="0" xfId="0" applyFont="1" applyAlignment="1">
      <alignment horizontal="left" indent="1"/>
    </xf>
    <xf numFmtId="0" fontId="0" fillId="0" borderId="0" xfId="0" applyFill="1"/>
    <xf numFmtId="0" fontId="10" fillId="0" borderId="0" xfId="0" applyFont="1" applyFill="1"/>
    <xf numFmtId="0" fontId="0" fillId="0" borderId="0" xfId="0" applyAlignment="1">
      <alignment horizontal="left" indent="1"/>
    </xf>
    <xf numFmtId="0" fontId="10" fillId="0" borderId="0" xfId="28" applyFont="1"/>
    <xf numFmtId="0" fontId="10" fillId="0" borderId="0" xfId="28" applyFont="1" applyBorder="1" applyAlignment="1"/>
    <xf numFmtId="0" fontId="10" fillId="0" borderId="0" xfId="28" applyFont="1" applyBorder="1"/>
    <xf numFmtId="0" fontId="10" fillId="0" borderId="0" xfId="28" applyFont="1" applyBorder="1" applyAlignment="1">
      <alignment horizontal="left"/>
    </xf>
    <xf numFmtId="0" fontId="10" fillId="0" borderId="0" xfId="28" applyNumberFormat="1" applyFont="1" applyFill="1" applyBorder="1" applyAlignment="1">
      <alignment horizontal="left"/>
    </xf>
    <xf numFmtId="0" fontId="8" fillId="0" borderId="0" xfId="28" applyNumberFormat="1" applyFont="1" applyFill="1" applyBorder="1" applyAlignment="1">
      <alignment horizontal="left"/>
    </xf>
    <xf numFmtId="3" fontId="10" fillId="0" borderId="0" xfId="28" applyNumberFormat="1" applyFont="1" applyFill="1" applyBorder="1" applyAlignment="1"/>
    <xf numFmtId="1" fontId="10" fillId="0" borderId="0" xfId="28" applyNumberFormat="1" applyFont="1" applyFill="1" applyBorder="1" applyAlignment="1">
      <alignment horizontal="center"/>
    </xf>
    <xf numFmtId="0" fontId="11" fillId="0" borderId="0" xfId="28" applyFont="1" applyBorder="1" applyAlignment="1">
      <alignment horizontal="center"/>
    </xf>
    <xf numFmtId="0" fontId="8" fillId="0" borderId="0" xfId="28" applyFont="1" applyAlignment="1">
      <alignment horizontal="center"/>
    </xf>
    <xf numFmtId="167" fontId="10" fillId="0" borderId="0" xfId="28" applyNumberFormat="1" applyFont="1" applyFill="1" applyBorder="1" applyAlignment="1">
      <alignment horizontal="right"/>
    </xf>
    <xf numFmtId="167" fontId="10" fillId="0" borderId="0" xfId="20" applyNumberFormat="1" applyFont="1" applyFill="1" applyBorder="1" applyAlignment="1">
      <alignment horizontal="right"/>
    </xf>
    <xf numFmtId="0" fontId="11" fillId="0" borderId="0" xfId="28" applyFont="1" applyFill="1" applyBorder="1" applyAlignment="1">
      <alignment horizontal="center"/>
    </xf>
    <xf numFmtId="3" fontId="10" fillId="0" borderId="0" xfId="28" applyNumberFormat="1" applyFont="1" applyFill="1" applyBorder="1" applyAlignment="1">
      <alignment horizontal="left" indent="1"/>
    </xf>
    <xf numFmtId="0" fontId="11" fillId="0" borderId="0" xfId="28" applyFont="1" applyAlignment="1">
      <alignment horizontal="center"/>
    </xf>
    <xf numFmtId="0" fontId="10" fillId="0" borderId="0" xfId="28" applyFont="1" applyBorder="1" applyAlignment="1">
      <alignment horizontal="right"/>
    </xf>
    <xf numFmtId="164" fontId="10" fillId="0" borderId="0" xfId="20" applyNumberFormat="1" applyFont="1" applyFill="1" applyBorder="1" applyAlignment="1">
      <alignment horizontal="right"/>
    </xf>
    <xf numFmtId="0" fontId="10" fillId="0" borderId="0" xfId="28" applyNumberFormat="1" applyFont="1" applyFill="1" applyBorder="1" applyAlignment="1">
      <alignment horizontal="right"/>
    </xf>
    <xf numFmtId="167" fontId="10" fillId="0" borderId="0" xfId="28" quotePrefix="1" applyNumberFormat="1" applyFont="1" applyFill="1" applyBorder="1" applyAlignment="1">
      <alignment horizontal="left" indent="1"/>
    </xf>
    <xf numFmtId="0" fontId="0" fillId="0" borderId="0" xfId="0" applyAlignment="1">
      <alignment horizontal="right"/>
    </xf>
    <xf numFmtId="0" fontId="12" fillId="35" borderId="0" xfId="0" applyFont="1" applyFill="1" applyBorder="1"/>
    <xf numFmtId="0" fontId="13" fillId="35" borderId="0" xfId="0" applyFont="1" applyFill="1" applyBorder="1"/>
    <xf numFmtId="0" fontId="8" fillId="0" borderId="0" xfId="0" applyFont="1" applyFill="1" applyBorder="1"/>
    <xf numFmtId="0" fontId="10" fillId="0" borderId="0" xfId="0" applyFont="1" applyFill="1" applyBorder="1"/>
    <xf numFmtId="3" fontId="10" fillId="0" borderId="0" xfId="28" applyNumberFormat="1" applyFont="1" applyFill="1" applyBorder="1" applyAlignment="1">
      <alignment horizontal="left"/>
    </xf>
    <xf numFmtId="10" fontId="0" fillId="0" borderId="0" xfId="0" applyNumberFormat="1"/>
    <xf numFmtId="0" fontId="0" fillId="34" borderId="0" xfId="0" applyFill="1"/>
    <xf numFmtId="0" fontId="8" fillId="0" borderId="0" xfId="0" applyFont="1" applyFill="1"/>
    <xf numFmtId="0" fontId="14" fillId="0" borderId="0" xfId="0" applyFont="1" applyFill="1"/>
    <xf numFmtId="0" fontId="10" fillId="0" borderId="0" xfId="0" applyFont="1" applyFill="1" applyAlignment="1">
      <alignment horizontal="left" indent="1"/>
    </xf>
    <xf numFmtId="164" fontId="10" fillId="0" borderId="0" xfId="0" applyNumberFormat="1" applyFont="1" applyFill="1"/>
    <xf numFmtId="165" fontId="10" fillId="0" borderId="0" xfId="0" applyNumberFormat="1" applyFont="1" applyFill="1"/>
    <xf numFmtId="0" fontId="10" fillId="0" borderId="0" xfId="0" applyFont="1" applyAlignment="1">
      <alignment horizontal="left"/>
    </xf>
    <xf numFmtId="0" fontId="11" fillId="0" borderId="0" xfId="0" applyFont="1"/>
    <xf numFmtId="0" fontId="0" fillId="0" borderId="0" xfId="0" quotePrefix="1"/>
    <xf numFmtId="0" fontId="11" fillId="0" borderId="0" xfId="0" applyFont="1" applyAlignment="1">
      <alignment horizontal="left"/>
    </xf>
    <xf numFmtId="0" fontId="0" fillId="0" borderId="0" xfId="0" quotePrefix="1" applyAlignment="1">
      <alignment horizontal="center"/>
    </xf>
    <xf numFmtId="0" fontId="8" fillId="0" borderId="0" xfId="0" applyFont="1" applyAlignment="1">
      <alignment horizontal="left" indent="2"/>
    </xf>
    <xf numFmtId="0" fontId="0" fillId="0" borderId="0" xfId="0" applyAlignment="1">
      <alignment horizontal="right" indent="1"/>
    </xf>
    <xf numFmtId="164" fontId="15" fillId="0" borderId="0" xfId="0" applyNumberFormat="1" applyFont="1"/>
    <xf numFmtId="164" fontId="10" fillId="0" borderId="0" xfId="0" applyNumberFormat="1" applyFont="1" applyAlignment="1">
      <alignment horizontal="right"/>
    </xf>
    <xf numFmtId="0" fontId="0" fillId="0" borderId="0" xfId="0" applyAlignment="1">
      <alignment horizontal="left" indent="2"/>
    </xf>
    <xf numFmtId="0" fontId="0" fillId="0" borderId="0" xfId="0" applyBorder="1"/>
    <xf numFmtId="0" fontId="0" fillId="0" borderId="0" xfId="0" applyAlignment="1">
      <alignment horizontal="center"/>
    </xf>
    <xf numFmtId="0" fontId="11" fillId="0" borderId="0" xfId="0" applyFont="1" applyBorder="1" applyAlignment="1">
      <alignment horizontal="center"/>
    </xf>
    <xf numFmtId="164" fontId="0" fillId="0" borderId="0" xfId="0" applyNumberFormat="1" applyFill="1"/>
    <xf numFmtId="3" fontId="10" fillId="0" borderId="0" xfId="0" applyNumberFormat="1" applyFont="1" applyFill="1"/>
    <xf numFmtId="0" fontId="0" fillId="0" borderId="0" xfId="0" applyAlignment="1">
      <alignment horizontal="left"/>
    </xf>
    <xf numFmtId="0" fontId="10" fillId="0" borderId="0" xfId="0" applyFont="1" applyFill="1" applyBorder="1" applyAlignment="1">
      <alignment horizontal="left"/>
    </xf>
    <xf numFmtId="168" fontId="0" fillId="0" borderId="0" xfId="0" applyNumberFormat="1"/>
    <xf numFmtId="168" fontId="15" fillId="0" borderId="0" xfId="0" applyNumberFormat="1" applyFont="1"/>
    <xf numFmtId="165" fontId="0" fillId="0" borderId="0" xfId="0" applyNumberFormat="1" applyFill="1"/>
    <xf numFmtId="168" fontId="0" fillId="0" borderId="0" xfId="0" applyNumberFormat="1" applyAlignment="1">
      <alignment horizontal="left" indent="1"/>
    </xf>
    <xf numFmtId="0" fontId="8" fillId="0" borderId="0" xfId="0" applyFont="1" applyAlignment="1">
      <alignment horizontal="right"/>
    </xf>
    <xf numFmtId="0" fontId="10" fillId="0" borderId="0" xfId="0" quotePrefix="1" applyFont="1" applyFill="1" applyAlignment="1">
      <alignment horizontal="left" indent="1"/>
    </xf>
    <xf numFmtId="0" fontId="8" fillId="0" borderId="0" xfId="0" applyFont="1" applyAlignment="1">
      <alignment horizontal="left" indent="1"/>
    </xf>
    <xf numFmtId="166" fontId="0" fillId="0" borderId="0" xfId="0" applyNumberFormat="1"/>
    <xf numFmtId="0" fontId="10" fillId="0" borderId="0" xfId="0" applyFont="1" applyFill="1" applyBorder="1" applyAlignment="1">
      <alignment vertical="top"/>
    </xf>
    <xf numFmtId="164" fontId="8" fillId="0" borderId="0" xfId="0" applyNumberFormat="1" applyFont="1"/>
    <xf numFmtId="167" fontId="8" fillId="0" borderId="0" xfId="20" applyNumberFormat="1" applyFont="1" applyFill="1" applyBorder="1" applyAlignment="1">
      <alignment horizontal="center"/>
    </xf>
    <xf numFmtId="0" fontId="14" fillId="0" borderId="0" xfId="0" applyFont="1"/>
    <xf numFmtId="0" fontId="14" fillId="0" borderId="0" xfId="0" applyFont="1" applyAlignment="1">
      <alignment horizontal="left"/>
    </xf>
    <xf numFmtId="0" fontId="10" fillId="0" borderId="0" xfId="28" applyFont="1" applyBorder="1" applyAlignment="1">
      <alignment horizontal="left" indent="1"/>
    </xf>
    <xf numFmtId="10" fontId="0" fillId="0" borderId="0" xfId="0" applyNumberFormat="1" applyFill="1"/>
    <xf numFmtId="0" fontId="0" fillId="0" borderId="0" xfId="0" applyFill="1" applyAlignment="1">
      <alignment horizontal="right"/>
    </xf>
    <xf numFmtId="165" fontId="15" fillId="0" borderId="0" xfId="0" applyNumberFormat="1" applyFont="1"/>
    <xf numFmtId="3" fontId="0" fillId="0" borderId="0" xfId="0" applyNumberFormat="1" applyAlignment="1">
      <alignment horizontal="center"/>
    </xf>
    <xf numFmtId="0" fontId="8" fillId="0" borderId="0" xfId="0" applyFont="1" applyAlignment="1">
      <alignment horizontal="left"/>
    </xf>
    <xf numFmtId="0" fontId="11" fillId="0" borderId="0" xfId="0" quotePrefix="1" applyFont="1" applyAlignment="1">
      <alignment horizontal="center"/>
    </xf>
    <xf numFmtId="1" fontId="10" fillId="0" borderId="0" xfId="28" applyNumberFormat="1" applyFont="1" applyFill="1" applyBorder="1" applyAlignment="1">
      <alignment horizontal="right"/>
    </xf>
    <xf numFmtId="0" fontId="10" fillId="0" borderId="0" xfId="0" applyFont="1" applyBorder="1" applyAlignment="1">
      <alignment vertical="top"/>
    </xf>
    <xf numFmtId="0" fontId="10" fillId="0" borderId="0" xfId="0" applyFont="1" applyAlignment="1">
      <alignment horizontal="center"/>
    </xf>
    <xf numFmtId="164" fontId="10" fillId="0" borderId="0" xfId="0" applyNumberFormat="1" applyFont="1" applyAlignment="1">
      <alignment horizontal="center"/>
    </xf>
    <xf numFmtId="0" fontId="8" fillId="0" borderId="0" xfId="0" applyFont="1" applyAlignment="1">
      <alignment wrapText="1"/>
    </xf>
    <xf numFmtId="164" fontId="14" fillId="0" borderId="0" xfId="0" applyNumberFormat="1" applyFont="1"/>
    <xf numFmtId="0" fontId="10" fillId="0" borderId="0" xfId="0" applyFont="1" applyAlignment="1">
      <alignment horizontal="right"/>
    </xf>
    <xf numFmtId="0" fontId="10" fillId="36" borderId="0" xfId="0" applyFont="1" applyFill="1" applyAlignment="1">
      <alignment horizontal="left" indent="1"/>
    </xf>
    <xf numFmtId="0" fontId="10" fillId="0" borderId="0" xfId="0" quotePrefix="1" applyFont="1" applyAlignment="1">
      <alignment horizontal="center"/>
    </xf>
    <xf numFmtId="0" fontId="0" fillId="36" borderId="0" xfId="0" applyFill="1"/>
    <xf numFmtId="2" fontId="0" fillId="0" borderId="0" xfId="0" applyNumberFormat="1"/>
    <xf numFmtId="0" fontId="10" fillId="0" borderId="0" xfId="0" applyFont="1" applyAlignment="1">
      <alignment horizontal="left" indent="2"/>
    </xf>
    <xf numFmtId="3" fontId="0" fillId="0" borderId="0" xfId="0" applyNumberFormat="1"/>
    <xf numFmtId="164" fontId="10" fillId="0" borderId="0" xfId="0" applyNumberFormat="1" applyFont="1"/>
    <xf numFmtId="0" fontId="8" fillId="0" borderId="0" xfId="0" applyFont="1" applyAlignment="1">
      <alignment horizontal="left" indent="3"/>
    </xf>
    <xf numFmtId="0" fontId="10" fillId="0" borderId="0" xfId="0" applyFont="1" applyFill="1" applyAlignment="1">
      <alignment horizontal="center"/>
    </xf>
    <xf numFmtId="164" fontId="0" fillId="36" borderId="0" xfId="0" applyNumberFormat="1" applyFill="1"/>
    <xf numFmtId="0" fontId="10" fillId="0" borderId="0" xfId="0" applyFont="1" applyFill="1" applyAlignment="1">
      <alignment horizontal="left"/>
    </xf>
    <xf numFmtId="0" fontId="8" fillId="0" borderId="0" xfId="0" applyFont="1" applyFill="1" applyAlignment="1">
      <alignment horizontal="center"/>
    </xf>
    <xf numFmtId="164" fontId="14" fillId="0" borderId="0" xfId="0" applyNumberFormat="1" applyFont="1" applyFill="1"/>
    <xf numFmtId="0" fontId="0" fillId="0" borderId="0" xfId="0" applyFill="1" applyAlignment="1">
      <alignment horizontal="left" indent="1"/>
    </xf>
    <xf numFmtId="0" fontId="10" fillId="0" borderId="0" xfId="0" quotePrefix="1" applyFont="1" applyAlignment="1">
      <alignment horizontal="left" indent="1"/>
    </xf>
    <xf numFmtId="0" fontId="10" fillId="36" borderId="0" xfId="0" applyFont="1" applyFill="1"/>
    <xf numFmtId="166" fontId="10" fillId="0" borderId="0" xfId="0" applyNumberFormat="1" applyFont="1" applyAlignment="1">
      <alignment horizontal="left" indent="1"/>
    </xf>
    <xf numFmtId="0" fontId="0" fillId="37" borderId="0" xfId="0" applyFill="1"/>
    <xf numFmtId="0" fontId="11" fillId="0" borderId="0" xfId="0" applyFont="1" applyFill="1" applyBorder="1" applyAlignment="1">
      <alignment horizontal="center"/>
    </xf>
    <xf numFmtId="0" fontId="12" fillId="0" borderId="0" xfId="0" applyFont="1" applyFill="1" applyBorder="1"/>
    <xf numFmtId="0" fontId="13" fillId="0" borderId="0" xfId="0" applyFont="1" applyFill="1" applyBorder="1"/>
    <xf numFmtId="0" fontId="11" fillId="0" borderId="0" xfId="0" applyFont="1" applyFill="1" applyAlignment="1">
      <alignment horizontal="center"/>
    </xf>
    <xf numFmtId="168" fontId="10" fillId="0" borderId="0" xfId="0" applyNumberFormat="1" applyFont="1"/>
    <xf numFmtId="0" fontId="18" fillId="0" borderId="0" xfId="34" applyFont="1"/>
    <xf numFmtId="167" fontId="18" fillId="0" borderId="0" xfId="19" applyNumberFormat="1" applyFont="1" applyBorder="1"/>
    <xf numFmtId="0" fontId="18" fillId="0" borderId="0" xfId="34" applyFont="1" applyBorder="1" applyAlignment="1">
      <alignment horizontal="left"/>
    </xf>
    <xf numFmtId="0" fontId="18" fillId="0" borderId="0" xfId="34" applyFont="1" applyBorder="1"/>
    <xf numFmtId="10" fontId="18" fillId="0" borderId="0" xfId="37" applyNumberFormat="1" applyFont="1" applyBorder="1" applyAlignment="1">
      <alignment horizontal="left" indent="3"/>
    </xf>
    <xf numFmtId="0" fontId="18" fillId="0" borderId="0" xfId="34" applyFont="1" applyBorder="1" applyAlignment="1">
      <alignment horizontal="right" wrapText="1"/>
    </xf>
    <xf numFmtId="42" fontId="18" fillId="0" borderId="0" xfId="34" applyNumberFormat="1" applyFont="1"/>
    <xf numFmtId="175" fontId="18" fillId="0" borderId="0" xfId="34" applyNumberFormat="1" applyFont="1"/>
    <xf numFmtId="0" fontId="19" fillId="0" borderId="0" xfId="34" applyFont="1"/>
    <xf numFmtId="0" fontId="19" fillId="0" borderId="0" xfId="34" applyFont="1" applyBorder="1" applyAlignment="1">
      <alignment vertical="center" wrapText="1"/>
    </xf>
    <xf numFmtId="42" fontId="19" fillId="0" borderId="0" xfId="19" applyNumberFormat="1" applyFont="1" applyBorder="1" applyAlignment="1">
      <alignment vertical="center"/>
    </xf>
    <xf numFmtId="170" fontId="19" fillId="0" borderId="0" xfId="37" applyNumberFormat="1" applyFont="1" applyBorder="1" applyAlignment="1">
      <alignment horizontal="center" vertical="center"/>
    </xf>
    <xf numFmtId="42" fontId="0" fillId="0" borderId="0" xfId="0" applyNumberFormat="1"/>
    <xf numFmtId="164" fontId="18" fillId="0" borderId="0" xfId="19" applyNumberFormat="1" applyFont="1" applyBorder="1"/>
    <xf numFmtId="3" fontId="10" fillId="0" borderId="0" xfId="0" applyNumberFormat="1" applyFont="1"/>
    <xf numFmtId="0" fontId="18" fillId="0" borderId="0" xfId="28" applyFont="1"/>
    <xf numFmtId="164" fontId="0" fillId="0" borderId="0" xfId="0" applyNumberFormat="1" applyAlignment="1"/>
    <xf numFmtId="165" fontId="20" fillId="0" borderId="0" xfId="0" applyNumberFormat="1" applyFont="1"/>
    <xf numFmtId="165" fontId="21" fillId="0" borderId="0" xfId="0" applyNumberFormat="1" applyFont="1"/>
    <xf numFmtId="166" fontId="0" fillId="0" borderId="0" xfId="0" applyNumberFormat="1" applyFill="1"/>
    <xf numFmtId="166" fontId="10" fillId="0" borderId="0" xfId="0" applyNumberFormat="1" applyFont="1" applyFill="1" applyAlignment="1">
      <alignment horizontal="left" indent="1"/>
    </xf>
    <xf numFmtId="0" fontId="10" fillId="0" borderId="0" xfId="28" applyNumberFormat="1" applyFont="1" applyFill="1" applyBorder="1" applyAlignment="1">
      <alignment horizontal="left" indent="1"/>
    </xf>
    <xf numFmtId="168" fontId="10" fillId="0" borderId="0" xfId="0" applyNumberFormat="1" applyFont="1" applyAlignment="1">
      <alignment horizontal="left" indent="1"/>
    </xf>
    <xf numFmtId="165" fontId="10" fillId="0" borderId="0" xfId="0" applyNumberFormat="1" applyFont="1" applyAlignment="1">
      <alignment horizontal="left" indent="1"/>
    </xf>
    <xf numFmtId="0" fontId="0" fillId="36" borderId="0" xfId="0" applyFill="1" applyAlignment="1">
      <alignment horizontal="center"/>
    </xf>
    <xf numFmtId="0" fontId="10" fillId="0" borderId="0" xfId="28" applyNumberFormat="1" applyFont="1" applyFill="1" applyBorder="1" applyAlignment="1">
      <alignment horizontal="left" indent="2"/>
    </xf>
    <xf numFmtId="0" fontId="8" fillId="0" borderId="0" xfId="0" quotePrefix="1" applyFont="1" applyAlignment="1">
      <alignment horizontal="right"/>
    </xf>
    <xf numFmtId="165" fontId="14" fillId="0" borderId="0" xfId="0" applyNumberFormat="1" applyFont="1"/>
    <xf numFmtId="164" fontId="10" fillId="0" borderId="0" xfId="19" applyNumberFormat="1" applyFont="1" applyBorder="1"/>
    <xf numFmtId="164" fontId="10" fillId="0" borderId="0" xfId="0" applyNumberFormat="1" applyFont="1" applyAlignment="1">
      <alignment horizontal="left" indent="1"/>
    </xf>
    <xf numFmtId="164" fontId="10" fillId="0" borderId="0" xfId="19" applyNumberFormat="1" applyFont="1" applyBorder="1" applyAlignment="1">
      <alignment horizontal="left" indent="1"/>
    </xf>
    <xf numFmtId="10" fontId="10" fillId="0" borderId="0" xfId="37" applyNumberFormat="1" applyFont="1" applyBorder="1" applyAlignment="1">
      <alignment horizontal="center"/>
    </xf>
    <xf numFmtId="0" fontId="11" fillId="0" borderId="0" xfId="34" applyFont="1" applyAlignment="1">
      <alignment horizontal="center"/>
    </xf>
    <xf numFmtId="0" fontId="8" fillId="0" borderId="0" xfId="34" applyFont="1" applyBorder="1"/>
    <xf numFmtId="0" fontId="10" fillId="0" borderId="0" xfId="34" applyFont="1" applyBorder="1" applyAlignment="1">
      <alignment horizontal="left" indent="2"/>
    </xf>
    <xf numFmtId="0" fontId="8" fillId="0" borderId="0" xfId="34" applyFont="1" applyBorder="1" applyAlignment="1">
      <alignment horizontal="left"/>
    </xf>
    <xf numFmtId="0" fontId="8" fillId="0" borderId="0" xfId="34" applyFont="1" applyBorder="1" applyAlignment="1">
      <alignment horizontal="left" wrapText="1"/>
    </xf>
    <xf numFmtId="0" fontId="10" fillId="0" borderId="0" xfId="34" applyFont="1" applyBorder="1" applyAlignment="1">
      <alignment horizontal="left" wrapText="1"/>
    </xf>
    <xf numFmtId="0" fontId="8" fillId="0" borderId="0" xfId="34" applyFont="1" applyBorder="1" applyAlignment="1">
      <alignment vertical="center" wrapText="1"/>
    </xf>
    <xf numFmtId="0" fontId="8" fillId="0" borderId="0" xfId="34" applyFont="1"/>
    <xf numFmtId="0" fontId="8" fillId="0" borderId="0" xfId="34" applyFont="1" applyAlignment="1">
      <alignment horizontal="center"/>
    </xf>
    <xf numFmtId="0" fontId="10" fillId="0" borderId="0" xfId="34" applyFont="1"/>
    <xf numFmtId="0" fontId="10" fillId="36" borderId="0" xfId="34" applyFont="1" applyFill="1"/>
    <xf numFmtId="0" fontId="11" fillId="0" borderId="0" xfId="34" applyFont="1" applyFill="1" applyAlignment="1">
      <alignment horizontal="center"/>
    </xf>
    <xf numFmtId="167" fontId="10" fillId="0" borderId="0" xfId="19" applyNumberFormat="1" applyFont="1" applyBorder="1"/>
    <xf numFmtId="170" fontId="10" fillId="0" borderId="0" xfId="37" applyNumberFormat="1" applyFont="1" applyBorder="1" applyAlignment="1">
      <alignment horizontal="left" indent="3"/>
    </xf>
    <xf numFmtId="0" fontId="10" fillId="0" borderId="0" xfId="34" applyFont="1" applyBorder="1" applyAlignment="1">
      <alignment horizontal="left"/>
    </xf>
    <xf numFmtId="41" fontId="10" fillId="0" borderId="0" xfId="19" applyNumberFormat="1" applyFont="1" applyBorder="1"/>
    <xf numFmtId="41" fontId="10" fillId="0" borderId="0" xfId="34" applyNumberFormat="1" applyFont="1" applyBorder="1"/>
    <xf numFmtId="10" fontId="10" fillId="0" borderId="0" xfId="34" applyNumberFormat="1" applyFont="1" applyBorder="1" applyAlignment="1">
      <alignment horizontal="center"/>
    </xf>
    <xf numFmtId="0" fontId="10" fillId="0" borderId="0" xfId="34" applyFont="1" applyBorder="1" applyAlignment="1">
      <alignment horizontal="right" wrapText="1"/>
    </xf>
    <xf numFmtId="0" fontId="8" fillId="0" borderId="0" xfId="34" applyFont="1" applyBorder="1" applyAlignment="1">
      <alignment horizontal="left" vertical="center" wrapText="1"/>
    </xf>
    <xf numFmtId="0" fontId="39" fillId="36" borderId="0" xfId="34" applyFont="1" applyFill="1"/>
    <xf numFmtId="0" fontId="10" fillId="36" borderId="0" xfId="0" applyFont="1" applyFill="1" applyAlignment="1"/>
    <xf numFmtId="0" fontId="10" fillId="0" borderId="0" xfId="0" quotePrefix="1" applyFont="1" applyAlignment="1">
      <alignment horizontal="center" vertical="justify"/>
    </xf>
    <xf numFmtId="0" fontId="8" fillId="36" borderId="0" xfId="0" applyFont="1" applyFill="1" applyAlignment="1">
      <alignment horizontal="center"/>
    </xf>
    <xf numFmtId="0" fontId="11" fillId="36" borderId="0" xfId="0" applyFont="1" applyFill="1" applyAlignment="1">
      <alignment horizontal="center"/>
    </xf>
    <xf numFmtId="0" fontId="8" fillId="0" borderId="0" xfId="28" applyFont="1" applyFill="1" applyBorder="1" applyAlignment="1">
      <alignment horizontal="left"/>
    </xf>
    <xf numFmtId="1" fontId="10" fillId="0" borderId="0" xfId="28" quotePrefix="1" applyNumberFormat="1" applyFont="1" applyFill="1" applyBorder="1" applyAlignment="1">
      <alignment horizontal="right"/>
    </xf>
    <xf numFmtId="164" fontId="10" fillId="0" borderId="0" xfId="0" quotePrefix="1" applyNumberFormat="1" applyFont="1" applyAlignment="1">
      <alignment horizontal="center"/>
    </xf>
    <xf numFmtId="0" fontId="8" fillId="0" borderId="0" xfId="0" applyFont="1" applyBorder="1" applyAlignment="1">
      <alignment horizontal="center"/>
    </xf>
    <xf numFmtId="0" fontId="8" fillId="0" borderId="3" xfId="0" applyFont="1" applyBorder="1" applyAlignment="1">
      <alignment horizontal="center"/>
    </xf>
    <xf numFmtId="0" fontId="8" fillId="0" borderId="3" xfId="0" applyFont="1" applyFill="1" applyBorder="1" applyAlignment="1">
      <alignment horizontal="center"/>
    </xf>
    <xf numFmtId="0" fontId="8" fillId="0" borderId="3" xfId="0" applyNumberFormat="1" applyFont="1" applyBorder="1" applyAlignment="1">
      <alignment horizontal="center" wrapText="1"/>
    </xf>
    <xf numFmtId="0" fontId="8" fillId="0" borderId="3" xfId="0" applyNumberFormat="1" applyFont="1" applyFill="1" applyBorder="1" applyAlignment="1">
      <alignment wrapText="1"/>
    </xf>
    <xf numFmtId="0" fontId="8" fillId="0" borderId="3" xfId="0" applyNumberFormat="1" applyFont="1" applyBorder="1" applyAlignment="1">
      <alignment wrapText="1"/>
    </xf>
    <xf numFmtId="0" fontId="8" fillId="0" borderId="3" xfId="0" applyFont="1" applyFill="1" applyBorder="1" applyAlignment="1">
      <alignment horizontal="center" wrapText="1"/>
    </xf>
    <xf numFmtId="0" fontId="8" fillId="0" borderId="3" xfId="0" applyFont="1" applyBorder="1" applyAlignment="1">
      <alignment horizontal="center" wrapText="1"/>
    </xf>
    <xf numFmtId="0" fontId="10" fillId="0" borderId="3" xfId="0" quotePrefix="1" applyNumberFormat="1" applyFont="1" applyFill="1" applyBorder="1" applyAlignment="1">
      <alignment horizontal="center"/>
    </xf>
    <xf numFmtId="0" fontId="10" fillId="0" borderId="3" xfId="0" quotePrefix="1" applyNumberFormat="1" applyFont="1" applyFill="1" applyBorder="1" applyAlignment="1">
      <alignment horizontal="left"/>
    </xf>
    <xf numFmtId="0" fontId="10" fillId="0" borderId="3" xfId="0" quotePrefix="1" applyNumberFormat="1" applyFont="1" applyFill="1" applyBorder="1"/>
    <xf numFmtId="0" fontId="10" fillId="0" borderId="3" xfId="0" applyFont="1" applyFill="1" applyBorder="1" applyAlignment="1">
      <alignment horizontal="center"/>
    </xf>
    <xf numFmtId="37" fontId="10" fillId="0" borderId="3" xfId="0" applyNumberFormat="1" applyFont="1" applyFill="1" applyBorder="1" applyAlignment="1">
      <alignment horizontal="center"/>
    </xf>
    <xf numFmtId="0" fontId="10" fillId="0" borderId="3" xfId="0" quotePrefix="1" applyNumberFormat="1" applyFont="1" applyBorder="1" applyAlignment="1">
      <alignment horizontal="center"/>
    </xf>
    <xf numFmtId="0" fontId="10" fillId="0" borderId="3" xfId="0" quotePrefix="1" applyNumberFormat="1" applyFont="1" applyBorder="1"/>
    <xf numFmtId="0" fontId="10" fillId="0" borderId="3" xfId="0" applyFont="1" applyBorder="1" applyAlignment="1">
      <alignment horizontal="center"/>
    </xf>
    <xf numFmtId="0" fontId="8" fillId="0" borderId="0" xfId="0" quotePrefix="1" applyNumberFormat="1" applyFont="1" applyBorder="1" applyAlignment="1">
      <alignment horizontal="center"/>
    </xf>
    <xf numFmtId="0" fontId="8" fillId="0" borderId="0" xfId="0" applyNumberFormat="1" applyFont="1" applyFill="1" applyBorder="1"/>
    <xf numFmtId="0" fontId="8" fillId="0" borderId="0" xfId="0" quotePrefix="1" applyNumberFormat="1" applyFont="1" applyBorder="1"/>
    <xf numFmtId="0" fontId="8" fillId="0" borderId="0" xfId="0" quotePrefix="1" applyNumberFormat="1" applyFont="1" applyFill="1" applyBorder="1"/>
    <xf numFmtId="37" fontId="10" fillId="0" borderId="0" xfId="0" applyNumberFormat="1" applyFont="1" applyFill="1" applyBorder="1" applyAlignment="1">
      <alignment horizontal="center"/>
    </xf>
    <xf numFmtId="0" fontId="10" fillId="0" borderId="0" xfId="0" applyFont="1" applyBorder="1" applyAlignment="1">
      <alignment horizontal="center"/>
    </xf>
    <xf numFmtId="0" fontId="10" fillId="0" borderId="0" xfId="0" quotePrefix="1" applyNumberFormat="1" applyFont="1" applyBorder="1" applyAlignment="1">
      <alignment horizontal="center"/>
    </xf>
    <xf numFmtId="0" fontId="10" fillId="0" borderId="3" xfId="0" applyFont="1" applyFill="1" applyBorder="1"/>
    <xf numFmtId="37" fontId="8" fillId="0" borderId="0" xfId="0" applyNumberFormat="1" applyFont="1" applyFill="1" applyBorder="1" applyAlignment="1">
      <alignment horizontal="center"/>
    </xf>
    <xf numFmtId="0" fontId="10" fillId="0" borderId="3" xfId="0" quotePrefix="1" applyNumberFormat="1" applyFont="1" applyBorder="1" applyAlignment="1">
      <alignment horizontal="left"/>
    </xf>
    <xf numFmtId="0" fontId="10" fillId="0" borderId="3" xfId="0" applyNumberFormat="1" applyFont="1" applyFill="1" applyBorder="1"/>
    <xf numFmtId="0" fontId="10" fillId="0" borderId="3" xfId="0" applyNumberFormat="1" applyFont="1" applyFill="1" applyBorder="1" applyAlignment="1">
      <alignment horizontal="left"/>
    </xf>
    <xf numFmtId="39" fontId="10" fillId="0" borderId="0" xfId="19" applyNumberFormat="1" applyFont="1" applyBorder="1" applyAlignment="1">
      <alignment horizontal="center"/>
    </xf>
    <xf numFmtId="0" fontId="10" fillId="0" borderId="0" xfId="0" applyFont="1" applyFill="1" applyBorder="1" applyAlignment="1">
      <alignment horizontal="center"/>
    </xf>
    <xf numFmtId="39" fontId="10" fillId="0" borderId="0" xfId="19" applyNumberFormat="1" applyFont="1" applyFill="1" applyBorder="1" applyAlignment="1">
      <alignment horizontal="center"/>
    </xf>
    <xf numFmtId="0" fontId="10" fillId="0" borderId="0" xfId="0" applyFont="1" applyBorder="1"/>
    <xf numFmtId="0" fontId="8" fillId="0" borderId="3" xfId="0" applyNumberFormat="1" applyFont="1" applyFill="1" applyBorder="1" applyAlignment="1">
      <alignment horizontal="right"/>
    </xf>
    <xf numFmtId="0" fontId="10" fillId="0" borderId="0" xfId="0" quotePrefix="1" applyNumberFormat="1" applyFont="1" applyBorder="1"/>
    <xf numFmtId="0" fontId="10" fillId="0" borderId="0" xfId="0" quotePrefix="1" applyNumberFormat="1" applyFont="1" applyFill="1" applyBorder="1"/>
    <xf numFmtId="164" fontId="10" fillId="0" borderId="0" xfId="19" applyNumberFormat="1" applyFont="1" applyBorder="1" applyAlignment="1">
      <alignment horizontal="right"/>
    </xf>
    <xf numFmtId="0" fontId="14" fillId="0" borderId="0" xfId="0" applyFont="1" applyBorder="1" applyAlignment="1">
      <alignment horizontal="center"/>
    </xf>
    <xf numFmtId="49" fontId="10" fillId="0" borderId="0" xfId="19" applyNumberFormat="1" applyFont="1" applyBorder="1" applyAlignment="1">
      <alignment horizontal="left" indent="1"/>
    </xf>
    <xf numFmtId="0" fontId="40" fillId="0" borderId="0" xfId="0" applyFont="1"/>
    <xf numFmtId="0" fontId="40" fillId="0" borderId="0" xfId="0" applyFont="1" applyAlignment="1">
      <alignment horizontal="right"/>
    </xf>
    <xf numFmtId="164" fontId="40" fillId="0" borderId="0" xfId="0" applyNumberFormat="1" applyFont="1"/>
    <xf numFmtId="0" fontId="41" fillId="0" borderId="0" xfId="0" applyFont="1" applyAlignment="1">
      <alignment horizontal="center"/>
    </xf>
    <xf numFmtId="164" fontId="40" fillId="0" borderId="0" xfId="0" applyNumberFormat="1" applyFont="1" applyFill="1"/>
    <xf numFmtId="164" fontId="40" fillId="36" borderId="0" xfId="0" applyNumberFormat="1" applyFont="1" applyFill="1"/>
    <xf numFmtId="164" fontId="40" fillId="0" borderId="0" xfId="0" applyNumberFormat="1" applyFont="1" applyAlignment="1">
      <alignment horizontal="right"/>
    </xf>
    <xf numFmtId="164" fontId="40" fillId="0" borderId="0" xfId="0" quotePrefix="1" applyNumberFormat="1" applyFont="1" applyAlignment="1">
      <alignment horizontal="center"/>
    </xf>
    <xf numFmtId="164" fontId="40" fillId="0" borderId="0" xfId="0" quotePrefix="1" applyNumberFormat="1" applyFont="1" applyFill="1" applyAlignment="1">
      <alignment horizontal="center"/>
    </xf>
    <xf numFmtId="0" fontId="40" fillId="0" borderId="0" xfId="0" applyFont="1" applyFill="1"/>
    <xf numFmtId="10" fontId="40" fillId="0" borderId="0" xfId="0" applyNumberFormat="1" applyFont="1" applyFill="1"/>
    <xf numFmtId="164" fontId="41" fillId="0" borderId="0" xfId="0" applyNumberFormat="1" applyFont="1" applyAlignment="1">
      <alignment horizontal="center"/>
    </xf>
    <xf numFmtId="0" fontId="38" fillId="0" borderId="0" xfId="0" applyFont="1" applyAlignment="1">
      <alignment horizontal="center"/>
    </xf>
    <xf numFmtId="164" fontId="42" fillId="0" borderId="0" xfId="0" applyNumberFormat="1" applyFont="1" applyAlignment="1">
      <alignment horizontal="center"/>
    </xf>
    <xf numFmtId="0" fontId="43" fillId="0" borderId="0" xfId="0" applyFont="1" applyAlignment="1">
      <alignment horizontal="center"/>
    </xf>
    <xf numFmtId="164" fontId="40" fillId="0" borderId="0" xfId="0" applyNumberFormat="1" applyFont="1" applyFill="1" applyAlignment="1">
      <alignment horizontal="right"/>
    </xf>
    <xf numFmtId="166" fontId="40" fillId="0" borderId="0" xfId="0" applyNumberFormat="1" applyFont="1"/>
    <xf numFmtId="0" fontId="40" fillId="0" borderId="0" xfId="0" applyFont="1" applyAlignment="1">
      <alignment horizontal="left" indent="1"/>
    </xf>
    <xf numFmtId="165" fontId="40" fillId="0" borderId="0" xfId="0" applyNumberFormat="1" applyFont="1"/>
    <xf numFmtId="0" fontId="40" fillId="0" borderId="0" xfId="0" applyFont="1" applyAlignment="1">
      <alignment horizontal="center"/>
    </xf>
    <xf numFmtId="0" fontId="8" fillId="36" borderId="0" xfId="0" quotePrefix="1" applyFont="1" applyFill="1" applyAlignment="1">
      <alignment horizontal="center"/>
    </xf>
    <xf numFmtId="0" fontId="8" fillId="0" borderId="0" xfId="28" applyFont="1"/>
    <xf numFmtId="0" fontId="10" fillId="36" borderId="0" xfId="28" applyFont="1" applyFill="1"/>
    <xf numFmtId="0" fontId="8" fillId="0" borderId="0" xfId="28" applyFont="1" applyFill="1" applyBorder="1" applyAlignment="1">
      <alignment horizontal="left" vertical="center"/>
    </xf>
    <xf numFmtId="0" fontId="8" fillId="0" borderId="0" xfId="28" applyFont="1" applyFill="1" applyBorder="1" applyAlignment="1">
      <alignment horizontal="center" vertical="center" wrapText="1"/>
    </xf>
    <xf numFmtId="0" fontId="8" fillId="0" borderId="0" xfId="28" applyFont="1" applyFill="1" applyBorder="1" applyAlignment="1">
      <alignment horizontal="center" vertical="center"/>
    </xf>
    <xf numFmtId="0" fontId="8" fillId="0" borderId="0" xfId="28" applyFont="1" applyFill="1" applyBorder="1" applyAlignment="1">
      <alignment horizontal="center"/>
    </xf>
    <xf numFmtId="0" fontId="8" fillId="0" borderId="0" xfId="28" applyFont="1" applyBorder="1" applyAlignment="1">
      <alignment horizontal="center" vertical="center" wrapText="1"/>
    </xf>
    <xf numFmtId="0" fontId="10" fillId="0" borderId="0" xfId="28" applyFont="1" applyFill="1" applyBorder="1" applyAlignment="1">
      <alignment horizontal="left" vertical="center" indent="1"/>
    </xf>
    <xf numFmtId="164" fontId="10" fillId="0" borderId="0" xfId="28" applyNumberFormat="1" applyFont="1" applyFill="1" applyBorder="1" applyAlignment="1">
      <alignment horizontal="right"/>
    </xf>
    <xf numFmtId="164" fontId="14" fillId="0" borderId="0" xfId="28" applyNumberFormat="1" applyFont="1" applyFill="1" applyBorder="1" applyAlignment="1">
      <alignment horizontal="right"/>
    </xf>
    <xf numFmtId="164" fontId="10" fillId="0" borderId="0" xfId="28" applyNumberFormat="1" applyFont="1" applyFill="1" applyAlignment="1">
      <alignment vertical="center"/>
    </xf>
    <xf numFmtId="0" fontId="10" fillId="0" borderId="0" xfId="28" applyFont="1" applyFill="1"/>
    <xf numFmtId="41" fontId="10" fillId="0" borderId="0" xfId="20" applyNumberFormat="1" applyFont="1" applyFill="1"/>
    <xf numFmtId="41" fontId="10" fillId="0" borderId="0" xfId="28" applyNumberFormat="1" applyFont="1" applyFill="1"/>
    <xf numFmtId="41" fontId="10" fillId="0" borderId="0" xfId="20" applyNumberFormat="1" applyFont="1"/>
    <xf numFmtId="41" fontId="10" fillId="0" borderId="0" xfId="20" applyNumberFormat="1" applyFont="1" applyAlignment="1" applyProtection="1">
      <alignment horizontal="right" indent="2"/>
    </xf>
    <xf numFmtId="0" fontId="8" fillId="0" borderId="0" xfId="28" applyFont="1" applyFill="1"/>
    <xf numFmtId="0" fontId="10" fillId="0" borderId="0" xfId="28" applyFont="1" applyFill="1" applyAlignment="1">
      <alignment horizontal="left" wrapText="1" indent="1"/>
    </xf>
    <xf numFmtId="164" fontId="10" fillId="0" borderId="0" xfId="28" applyNumberFormat="1" applyFont="1" applyFill="1"/>
    <xf numFmtId="42" fontId="22" fillId="0" borderId="0" xfId="28" applyNumberFormat="1" applyFont="1"/>
    <xf numFmtId="0" fontId="8" fillId="0" borderId="0" xfId="28" applyFont="1" applyAlignment="1">
      <alignment horizontal="right"/>
    </xf>
    <xf numFmtId="42" fontId="10" fillId="0" borderId="0" xfId="28" applyNumberFormat="1" applyFont="1"/>
    <xf numFmtId="42" fontId="10" fillId="0" borderId="0" xfId="20" applyNumberFormat="1" applyFont="1" applyBorder="1"/>
    <xf numFmtId="42" fontId="10" fillId="0" borderId="0" xfId="28" applyNumberFormat="1" applyFont="1" applyBorder="1"/>
    <xf numFmtId="164" fontId="10" fillId="0" borderId="0" xfId="20" applyNumberFormat="1" applyFont="1" applyBorder="1"/>
    <xf numFmtId="43" fontId="10" fillId="0" borderId="0" xfId="28" applyNumberFormat="1" applyFont="1"/>
    <xf numFmtId="41" fontId="10" fillId="0" borderId="0" xfId="28" applyNumberFormat="1" applyFont="1"/>
    <xf numFmtId="0" fontId="8" fillId="0" borderId="0" xfId="28" applyFont="1" applyAlignment="1">
      <alignment horizontal="center" wrapText="1"/>
    </xf>
    <xf numFmtId="0" fontId="11" fillId="0" borderId="0" xfId="28" applyFont="1"/>
    <xf numFmtId="0" fontId="10" fillId="0" borderId="0" xfId="28" applyFont="1" applyFill="1" applyBorder="1" applyAlignment="1">
      <alignment horizontal="right" vertical="center"/>
    </xf>
    <xf numFmtId="10" fontId="10" fillId="0" borderId="0" xfId="39" applyNumberFormat="1" applyFont="1" applyFill="1" applyBorder="1" applyAlignment="1">
      <alignment vertical="center"/>
    </xf>
    <xf numFmtId="0" fontId="23" fillId="0" borderId="0" xfId="28" applyFont="1" applyAlignment="1">
      <alignment vertical="center"/>
    </xf>
    <xf numFmtId="0" fontId="10" fillId="0" borderId="0" xfId="28" applyFont="1" applyAlignment="1">
      <alignment vertical="center"/>
    </xf>
    <xf numFmtId="0" fontId="10" fillId="0" borderId="0" xfId="28" applyFont="1" applyFill="1" applyBorder="1"/>
    <xf numFmtId="10" fontId="10" fillId="0" borderId="0" xfId="39" applyNumberFormat="1" applyFont="1" applyFill="1" applyBorder="1"/>
    <xf numFmtId="42" fontId="10" fillId="0" borderId="0" xfId="20" applyNumberFormat="1" applyFont="1" applyFill="1"/>
    <xf numFmtId="39" fontId="8" fillId="0" borderId="3" xfId="22" quotePrefix="1" applyNumberFormat="1" applyFont="1" applyBorder="1" applyAlignment="1">
      <alignment horizontal="center" wrapText="1"/>
    </xf>
    <xf numFmtId="39" fontId="8" fillId="0" borderId="3" xfId="22" applyNumberFormat="1" applyFont="1" applyBorder="1" applyAlignment="1">
      <alignment horizontal="center" wrapText="1"/>
    </xf>
    <xf numFmtId="39" fontId="10" fillId="0" borderId="3" xfId="22" quotePrefix="1" applyNumberFormat="1" applyFont="1" applyFill="1" applyBorder="1" applyAlignment="1">
      <alignment horizontal="center"/>
    </xf>
    <xf numFmtId="176" fontId="8" fillId="0" borderId="3" xfId="22" applyNumberFormat="1" applyFont="1" applyBorder="1" applyAlignment="1">
      <alignment horizontal="center" wrapText="1"/>
    </xf>
    <xf numFmtId="39" fontId="8" fillId="0" borderId="0" xfId="22" quotePrefix="1" applyNumberFormat="1" applyFont="1" applyBorder="1" applyAlignment="1">
      <alignment horizontal="center"/>
    </xf>
    <xf numFmtId="37" fontId="8" fillId="0" borderId="3" xfId="22" quotePrefix="1" applyNumberFormat="1" applyFont="1" applyBorder="1" applyAlignment="1">
      <alignment horizontal="center"/>
    </xf>
    <xf numFmtId="37" fontId="8" fillId="0" borderId="0" xfId="22" quotePrefix="1" applyNumberFormat="1" applyFont="1" applyBorder="1" applyAlignment="1">
      <alignment horizontal="center"/>
    </xf>
    <xf numFmtId="37" fontId="10" fillId="0" borderId="3" xfId="22" quotePrefix="1" applyNumberFormat="1" applyFont="1" applyFill="1" applyBorder="1" applyAlignment="1">
      <alignment horizontal="center"/>
    </xf>
    <xf numFmtId="39" fontId="10" fillId="0" borderId="0" xfId="22" quotePrefix="1" applyNumberFormat="1" applyFont="1" applyBorder="1" applyAlignment="1">
      <alignment horizontal="center"/>
    </xf>
    <xf numFmtId="176" fontId="10" fillId="0" borderId="0" xfId="22" applyNumberFormat="1" applyFont="1" applyBorder="1" applyAlignment="1">
      <alignment horizontal="center"/>
    </xf>
    <xf numFmtId="0" fontId="10" fillId="0" borderId="3" xfId="22" applyNumberFormat="1" applyFont="1" applyFill="1" applyBorder="1" applyAlignment="1">
      <alignment horizontal="left"/>
    </xf>
    <xf numFmtId="37" fontId="10" fillId="36" borderId="3" xfId="22" quotePrefix="1" applyNumberFormat="1" applyFont="1" applyFill="1" applyBorder="1" applyAlignment="1">
      <alignment horizontal="center"/>
    </xf>
    <xf numFmtId="0" fontId="10" fillId="36" borderId="3" xfId="0" applyFont="1" applyFill="1" applyBorder="1" applyAlignment="1">
      <alignment horizontal="center"/>
    </xf>
    <xf numFmtId="37" fontId="10" fillId="36" borderId="3" xfId="0" applyNumberFormat="1" applyFont="1" applyFill="1" applyBorder="1" applyAlignment="1">
      <alignment horizontal="center"/>
    </xf>
    <xf numFmtId="37" fontId="10" fillId="36" borderId="3" xfId="22" applyNumberFormat="1" applyFont="1" applyFill="1" applyBorder="1" applyAlignment="1">
      <alignment horizontal="center"/>
    </xf>
    <xf numFmtId="39" fontId="10" fillId="36" borderId="3" xfId="22" quotePrefix="1" applyNumberFormat="1" applyFont="1" applyFill="1" applyBorder="1" applyAlignment="1">
      <alignment horizontal="center"/>
    </xf>
    <xf numFmtId="39" fontId="10" fillId="36" borderId="4" xfId="22" quotePrefix="1" applyNumberFormat="1" applyFont="1" applyFill="1" applyBorder="1" applyAlignment="1">
      <alignment horizontal="center"/>
    </xf>
    <xf numFmtId="37" fontId="8" fillId="36" borderId="3" xfId="22" quotePrefix="1" applyNumberFormat="1" applyFont="1" applyFill="1" applyBorder="1" applyAlignment="1">
      <alignment horizontal="center"/>
    </xf>
    <xf numFmtId="177" fontId="10" fillId="36" borderId="3" xfId="22" applyNumberFormat="1" applyFont="1" applyFill="1" applyBorder="1"/>
    <xf numFmtId="37" fontId="8" fillId="0" borderId="0" xfId="22" quotePrefix="1" applyNumberFormat="1" applyFont="1" applyFill="1" applyBorder="1" applyAlignment="1">
      <alignment horizontal="center"/>
    </xf>
    <xf numFmtId="39" fontId="8" fillId="0" borderId="0" xfId="22" quotePrefix="1" applyNumberFormat="1" applyFont="1" applyFill="1" applyBorder="1" applyAlignment="1">
      <alignment horizontal="center"/>
    </xf>
    <xf numFmtId="39" fontId="8" fillId="0" borderId="3" xfId="22" applyNumberFormat="1" applyFont="1" applyFill="1" applyBorder="1" applyAlignment="1">
      <alignment horizontal="center" wrapText="1"/>
    </xf>
    <xf numFmtId="39" fontId="10" fillId="0" borderId="0" xfId="22" applyNumberFormat="1" applyFont="1" applyFill="1" applyBorder="1" applyAlignment="1">
      <alignment horizontal="center"/>
    </xf>
    <xf numFmtId="39" fontId="10" fillId="0" borderId="0" xfId="22" quotePrefix="1" applyNumberFormat="1" applyFont="1" applyFill="1" applyBorder="1" applyAlignment="1">
      <alignment horizontal="center"/>
    </xf>
    <xf numFmtId="39" fontId="39" fillId="0" borderId="0" xfId="22" quotePrefix="1" applyNumberFormat="1" applyFont="1" applyBorder="1" applyAlignment="1">
      <alignment horizontal="center"/>
    </xf>
    <xf numFmtId="39" fontId="10" fillId="0" borderId="3" xfId="22" applyNumberFormat="1" applyFont="1" applyBorder="1" applyAlignment="1">
      <alignment horizontal="center" wrapText="1"/>
    </xf>
    <xf numFmtId="177" fontId="39" fillId="0" borderId="0" xfId="22" applyNumberFormat="1" applyFont="1" applyBorder="1" applyAlignment="1">
      <alignment horizontal="center"/>
    </xf>
    <xf numFmtId="39" fontId="39" fillId="0" borderId="0" xfId="22" applyNumberFormat="1" applyFont="1" applyBorder="1" applyAlignment="1">
      <alignment horizontal="left"/>
    </xf>
    <xf numFmtId="37" fontId="8" fillId="37" borderId="3" xfId="22" quotePrefix="1" applyNumberFormat="1" applyFont="1" applyFill="1" applyBorder="1" applyAlignment="1">
      <alignment horizontal="center"/>
    </xf>
    <xf numFmtId="39" fontId="8" fillId="37" borderId="3" xfId="22" applyNumberFormat="1" applyFont="1" applyFill="1" applyBorder="1" applyAlignment="1">
      <alignment horizontal="center"/>
    </xf>
    <xf numFmtId="39" fontId="44" fillId="0" borderId="0" xfId="22" quotePrefix="1" applyNumberFormat="1" applyFont="1" applyBorder="1" applyAlignment="1">
      <alignment horizontal="center"/>
    </xf>
    <xf numFmtId="0" fontId="8" fillId="37" borderId="0" xfId="0" quotePrefix="1" applyNumberFormat="1" applyFont="1" applyFill="1" applyBorder="1"/>
    <xf numFmtId="0" fontId="8" fillId="37" borderId="0" xfId="0" applyFont="1" applyFill="1" applyBorder="1"/>
    <xf numFmtId="37" fontId="44" fillId="0" borderId="0" xfId="22" quotePrefix="1" applyNumberFormat="1" applyFont="1" applyBorder="1" applyAlignment="1">
      <alignment horizontal="center"/>
    </xf>
    <xf numFmtId="0" fontId="10" fillId="36" borderId="3" xfId="0" quotePrefix="1" applyNumberFormat="1" applyFont="1" applyFill="1" applyBorder="1"/>
    <xf numFmtId="0" fontId="10" fillId="36" borderId="3" xfId="0" quotePrefix="1" applyNumberFormat="1" applyFont="1" applyFill="1" applyBorder="1" applyAlignment="1">
      <alignment horizontal="left"/>
    </xf>
    <xf numFmtId="0" fontId="10" fillId="36" borderId="3" xfId="0" applyNumberFormat="1" applyFont="1" applyFill="1" applyBorder="1"/>
    <xf numFmtId="0" fontId="10" fillId="36" borderId="3" xfId="0" applyNumberFormat="1" applyFont="1" applyFill="1" applyBorder="1" applyAlignment="1">
      <alignment horizontal="left"/>
    </xf>
    <xf numFmtId="0" fontId="10" fillId="36" borderId="3" xfId="22" applyNumberFormat="1" applyFont="1" applyFill="1" applyBorder="1" applyAlignment="1">
      <alignment horizontal="left"/>
    </xf>
    <xf numFmtId="0" fontId="10" fillId="36" borderId="3" xfId="0" quotePrefix="1" applyNumberFormat="1" applyFont="1" applyFill="1" applyBorder="1" applyAlignment="1">
      <alignment horizontal="center"/>
    </xf>
    <xf numFmtId="0" fontId="10" fillId="37" borderId="3" xfId="0" applyFont="1" applyFill="1" applyBorder="1" applyAlignment="1">
      <alignment horizontal="center"/>
    </xf>
    <xf numFmtId="0" fontId="10" fillId="37" borderId="3" xfId="0" applyFont="1" applyFill="1" applyBorder="1"/>
    <xf numFmtId="39" fontId="10" fillId="37" borderId="3" xfId="22" applyNumberFormat="1" applyFont="1" applyFill="1" applyBorder="1" applyAlignment="1">
      <alignment horizontal="center"/>
    </xf>
    <xf numFmtId="0" fontId="8" fillId="37" borderId="3" xfId="0" applyFont="1" applyFill="1" applyBorder="1" applyAlignment="1">
      <alignment horizontal="center"/>
    </xf>
    <xf numFmtId="37" fontId="10" fillId="0" borderId="3" xfId="22" applyNumberFormat="1" applyFont="1" applyFill="1" applyBorder="1" applyAlignment="1">
      <alignment horizontal="center"/>
    </xf>
    <xf numFmtId="39" fontId="10" fillId="0" borderId="3" xfId="22" applyNumberFormat="1" applyFont="1" applyFill="1" applyBorder="1" applyAlignment="1">
      <alignment horizontal="center"/>
    </xf>
    <xf numFmtId="49" fontId="10" fillId="0" borderId="0" xfId="22" applyNumberFormat="1" applyFont="1" applyBorder="1" applyAlignment="1">
      <alignment horizontal="left"/>
    </xf>
    <xf numFmtId="39" fontId="10" fillId="0" borderId="3" xfId="22" applyNumberFormat="1" applyFont="1" applyBorder="1" applyAlignment="1">
      <alignment horizontal="right"/>
    </xf>
    <xf numFmtId="39" fontId="10" fillId="0" borderId="3" xfId="22" quotePrefix="1" applyNumberFormat="1" applyFont="1" applyBorder="1" applyAlignment="1">
      <alignment horizontal="center"/>
    </xf>
    <xf numFmtId="39" fontId="8" fillId="0" borderId="3" xfId="22" applyNumberFormat="1" applyFont="1" applyFill="1" applyBorder="1" applyAlignment="1">
      <alignment horizontal="right" wrapText="1"/>
    </xf>
    <xf numFmtId="0" fontId="10" fillId="37" borderId="3" xfId="0" quotePrefix="1" applyNumberFormat="1" applyFont="1" applyFill="1" applyBorder="1"/>
    <xf numFmtId="0" fontId="10" fillId="36" borderId="6" xfId="0" applyFont="1" applyFill="1" applyBorder="1" applyAlignment="1"/>
    <xf numFmtId="0" fontId="10" fillId="36" borderId="4" xfId="0" applyFont="1" applyFill="1" applyBorder="1" applyAlignment="1"/>
    <xf numFmtId="0" fontId="10" fillId="36" borderId="3" xfId="0" applyFont="1" applyFill="1" applyBorder="1"/>
    <xf numFmtId="39" fontId="10" fillId="36" borderId="3" xfId="22" applyNumberFormat="1" applyFont="1" applyFill="1" applyBorder="1" applyAlignment="1">
      <alignment horizontal="center"/>
    </xf>
    <xf numFmtId="39" fontId="10" fillId="36" borderId="3" xfId="0" applyNumberFormat="1" applyFont="1" applyFill="1" applyBorder="1" applyAlignment="1">
      <alignment horizontal="center"/>
    </xf>
    <xf numFmtId="0" fontId="8" fillId="36" borderId="3" xfId="0" quotePrefix="1" applyNumberFormat="1" applyFont="1" applyFill="1" applyBorder="1"/>
    <xf numFmtId="39" fontId="8" fillId="36" borderId="3" xfId="22" quotePrefix="1" applyNumberFormat="1" applyFont="1" applyFill="1" applyBorder="1" applyAlignment="1">
      <alignment horizontal="center"/>
    </xf>
    <xf numFmtId="0" fontId="8" fillId="36" borderId="3" xfId="0" applyNumberFormat="1" applyFont="1" applyFill="1" applyBorder="1"/>
    <xf numFmtId="37" fontId="8" fillId="0" borderId="0" xfId="22" applyNumberFormat="1" applyFont="1" applyFill="1" applyBorder="1" applyAlignment="1">
      <alignment horizontal="center"/>
    </xf>
    <xf numFmtId="39" fontId="8" fillId="0" borderId="0" xfId="22" applyNumberFormat="1" applyFont="1" applyBorder="1" applyAlignment="1">
      <alignment horizontal="center"/>
    </xf>
    <xf numFmtId="39" fontId="8" fillId="0" borderId="0" xfId="22" applyNumberFormat="1" applyFont="1" applyFill="1" applyBorder="1" applyAlignment="1">
      <alignment horizontal="center"/>
    </xf>
    <xf numFmtId="39" fontId="8" fillId="37" borderId="7" xfId="22" applyNumberFormat="1" applyFont="1" applyFill="1" applyBorder="1" applyAlignment="1">
      <alignment horizontal="center"/>
    </xf>
    <xf numFmtId="39" fontId="8" fillId="37" borderId="0" xfId="22" quotePrefix="1" applyNumberFormat="1" applyFont="1" applyFill="1" applyBorder="1" applyAlignment="1">
      <alignment horizontal="center"/>
    </xf>
    <xf numFmtId="39" fontId="10" fillId="0" borderId="0" xfId="22" applyNumberFormat="1" applyFont="1" applyBorder="1" applyAlignment="1">
      <alignment horizontal="center"/>
    </xf>
    <xf numFmtId="0" fontId="11" fillId="0" borderId="0" xfId="0" quotePrefix="1" applyFont="1" applyFill="1" applyAlignment="1">
      <alignment horizontal="center"/>
    </xf>
    <xf numFmtId="164" fontId="8" fillId="0" borderId="0" xfId="0" applyNumberFormat="1" applyFont="1" applyFill="1" applyAlignment="1">
      <alignment horizontal="center"/>
    </xf>
    <xf numFmtId="164" fontId="11" fillId="0" borderId="0" xfId="0" applyNumberFormat="1" applyFont="1" applyFill="1" applyAlignment="1">
      <alignment horizontal="center"/>
    </xf>
    <xf numFmtId="164" fontId="11" fillId="36" borderId="0" xfId="0" applyNumberFormat="1" applyFont="1" applyFill="1" applyAlignment="1">
      <alignment horizontal="center"/>
    </xf>
    <xf numFmtId="0" fontId="10" fillId="0" borderId="0" xfId="0" quotePrefix="1" applyFont="1" applyFill="1" applyAlignment="1">
      <alignment horizontal="center"/>
    </xf>
    <xf numFmtId="0" fontId="10" fillId="0" borderId="0" xfId="0" applyFont="1" applyFill="1" applyAlignment="1">
      <alignment horizontal="right"/>
    </xf>
    <xf numFmtId="10" fontId="40" fillId="0" borderId="0" xfId="0" applyNumberFormat="1" applyFont="1"/>
    <xf numFmtId="164" fontId="45" fillId="0" borderId="0" xfId="0" applyNumberFormat="1" applyFont="1"/>
    <xf numFmtId="0" fontId="42" fillId="0" borderId="0" xfId="0" applyFont="1" applyAlignment="1">
      <alignment horizontal="center"/>
    </xf>
    <xf numFmtId="0" fontId="38" fillId="0" borderId="0" xfId="0" applyFont="1"/>
    <xf numFmtId="10" fontId="46" fillId="0" borderId="0" xfId="0" applyNumberFormat="1" applyFont="1"/>
    <xf numFmtId="0" fontId="46" fillId="0" borderId="0" xfId="0" applyFont="1"/>
    <xf numFmtId="0" fontId="16" fillId="0" borderId="0" xfId="27" applyAlignment="1" applyProtection="1"/>
    <xf numFmtId="0" fontId="14" fillId="0" borderId="0" xfId="0" applyFont="1" applyFill="1" applyAlignment="1">
      <alignment horizontal="center"/>
    </xf>
    <xf numFmtId="168" fontId="10" fillId="0" borderId="0" xfId="0" applyNumberFormat="1" applyFont="1" applyFill="1" applyAlignment="1">
      <alignment horizontal="right"/>
    </xf>
    <xf numFmtId="0" fontId="10" fillId="0" borderId="0" xfId="0" applyFont="1" applyFill="1" applyAlignment="1">
      <alignment horizontal="left" indent="2"/>
    </xf>
    <xf numFmtId="0" fontId="0" fillId="0" borderId="0" xfId="0" applyFill="1" applyAlignment="1">
      <alignment horizontal="left" indent="2"/>
    </xf>
    <xf numFmtId="0" fontId="10" fillId="0" borderId="0" xfId="0" applyFont="1" applyFill="1" applyAlignment="1">
      <alignment horizontal="left" indent="3"/>
    </xf>
    <xf numFmtId="166" fontId="40" fillId="0" borderId="0" xfId="0" quotePrefix="1" applyNumberFormat="1" applyFont="1" applyAlignment="1">
      <alignment horizontal="right"/>
    </xf>
    <xf numFmtId="168" fontId="14" fillId="0" borderId="0" xfId="0" applyNumberFormat="1" applyFont="1"/>
    <xf numFmtId="49" fontId="0" fillId="0" borderId="0" xfId="0" applyNumberFormat="1" applyAlignment="1">
      <alignment horizontal="center"/>
    </xf>
    <xf numFmtId="49" fontId="43" fillId="0" borderId="0" xfId="0" applyNumberFormat="1" applyFont="1" applyAlignment="1">
      <alignment horizontal="center"/>
    </xf>
    <xf numFmtId="0" fontId="0" fillId="0" borderId="0" xfId="0" applyFont="1"/>
    <xf numFmtId="0" fontId="47" fillId="0" borderId="0" xfId="0" applyFont="1" applyAlignment="1">
      <alignment horizontal="center" vertical="top"/>
    </xf>
    <xf numFmtId="0" fontId="10" fillId="0" borderId="0" xfId="0" applyFont="1" applyAlignment="1">
      <alignment horizontal="left" wrapText="1"/>
    </xf>
    <xf numFmtId="0" fontId="46" fillId="0" borderId="0" xfId="0" applyFont="1" applyAlignment="1">
      <alignment horizontal="left" wrapText="1"/>
    </xf>
    <xf numFmtId="164" fontId="10" fillId="0" borderId="0" xfId="23" applyNumberFormat="1" applyFont="1" applyFill="1" applyAlignment="1">
      <alignment horizontal="right"/>
    </xf>
    <xf numFmtId="0" fontId="47" fillId="0" borderId="0" xfId="0" applyFont="1" applyAlignment="1">
      <alignment horizontal="center"/>
    </xf>
    <xf numFmtId="178" fontId="0" fillId="0" borderId="0" xfId="23" applyNumberFormat="1" applyFont="1"/>
    <xf numFmtId="0" fontId="0" fillId="0" borderId="0" xfId="0" applyFont="1" applyBorder="1"/>
    <xf numFmtId="164" fontId="28" fillId="0" borderId="0" xfId="0" applyNumberFormat="1" applyFont="1" applyBorder="1"/>
    <xf numFmtId="164" fontId="0" fillId="0" borderId="0" xfId="0" applyNumberFormat="1" applyFont="1" applyAlignment="1">
      <alignment horizontal="right"/>
    </xf>
    <xf numFmtId="3" fontId="0" fillId="0" borderId="0" xfId="23" applyNumberFormat="1" applyFont="1" applyBorder="1" applyAlignment="1">
      <alignment horizontal="right"/>
    </xf>
    <xf numFmtId="0" fontId="0" fillId="36" borderId="0" xfId="0" applyFill="1" applyAlignment="1">
      <alignment horizontal="left" indent="1"/>
    </xf>
    <xf numFmtId="0" fontId="0" fillId="36" borderId="0" xfId="0" applyFill="1" applyAlignment="1">
      <alignment horizontal="left"/>
    </xf>
    <xf numFmtId="10" fontId="0" fillId="36" borderId="0" xfId="0" applyNumberFormat="1" applyFill="1" applyAlignment="1">
      <alignment horizontal="left"/>
    </xf>
    <xf numFmtId="0" fontId="0" fillId="36" borderId="0" xfId="0" applyFill="1" applyAlignment="1"/>
    <xf numFmtId="0" fontId="8" fillId="36" borderId="0" xfId="0" applyFont="1" applyFill="1" applyAlignment="1">
      <alignment horizontal="left"/>
    </xf>
    <xf numFmtId="0" fontId="0" fillId="0" borderId="0" xfId="0" quotePrefix="1" applyFont="1" applyFill="1" applyAlignment="1">
      <alignment horizontal="left" indent="1"/>
    </xf>
    <xf numFmtId="0" fontId="8" fillId="0" borderId="0" xfId="0" applyFont="1" applyFill="1" applyAlignment="1">
      <alignment horizontal="left"/>
    </xf>
    <xf numFmtId="0" fontId="39" fillId="0" borderId="0" xfId="0" applyFont="1" applyAlignment="1">
      <alignment horizontal="left" indent="1"/>
    </xf>
    <xf numFmtId="0" fontId="11" fillId="0" borderId="0" xfId="0" applyFont="1" applyAlignment="1">
      <alignment horizontal="left" indent="1"/>
    </xf>
    <xf numFmtId="0" fontId="8" fillId="36" borderId="0" xfId="0" applyFont="1" applyFill="1"/>
    <xf numFmtId="0" fontId="0" fillId="36" borderId="0" xfId="0" applyFill="1" applyAlignment="1">
      <alignment horizontal="right"/>
    </xf>
    <xf numFmtId="10" fontId="0" fillId="36" borderId="0" xfId="0" applyNumberFormat="1" applyFill="1" applyAlignment="1">
      <alignment horizontal="right"/>
    </xf>
    <xf numFmtId="168" fontId="40" fillId="0" borderId="0" xfId="0" applyNumberFormat="1" applyFont="1"/>
    <xf numFmtId="0" fontId="0" fillId="0" borderId="8" xfId="0" applyBorder="1" applyAlignment="1">
      <alignment horizontal="center"/>
    </xf>
    <xf numFmtId="0" fontId="41" fillId="0" borderId="0" xfId="0" applyFont="1"/>
    <xf numFmtId="0" fontId="40" fillId="36" borderId="0" xfId="0" applyFont="1" applyFill="1"/>
    <xf numFmtId="0" fontId="11" fillId="0" borderId="0" xfId="28" applyNumberFormat="1" applyFont="1" applyFill="1" applyBorder="1" applyAlignment="1">
      <alignment horizontal="left"/>
    </xf>
    <xf numFmtId="0" fontId="11" fillId="0" borderId="0" xfId="28" applyNumberFormat="1" applyFont="1" applyFill="1" applyBorder="1" applyAlignment="1">
      <alignment horizontal="center"/>
    </xf>
    <xf numFmtId="3" fontId="11" fillId="0" borderId="0" xfId="28" applyNumberFormat="1" applyFont="1" applyFill="1" applyBorder="1" applyAlignment="1">
      <alignment horizontal="center"/>
    </xf>
    <xf numFmtId="0" fontId="42" fillId="0" borderId="0" xfId="0" applyFont="1"/>
    <xf numFmtId="0" fontId="40" fillId="0" borderId="0" xfId="0" applyFont="1" applyAlignment="1">
      <alignment horizontal="left"/>
    </xf>
    <xf numFmtId="0" fontId="8" fillId="36" borderId="0" xfId="0" quotePrefix="1" applyFont="1" applyFill="1" applyAlignment="1">
      <alignment vertical="center"/>
    </xf>
    <xf numFmtId="164" fontId="10" fillId="36" borderId="8" xfId="0" applyNumberFormat="1" applyFont="1" applyFill="1" applyBorder="1"/>
    <xf numFmtId="164" fontId="43" fillId="0" borderId="0" xfId="0" applyNumberFormat="1" applyFont="1" applyAlignment="1">
      <alignment horizontal="center"/>
    </xf>
    <xf numFmtId="165" fontId="7" fillId="0" borderId="0" xfId="0" applyNumberFormat="1" applyFont="1" applyFill="1"/>
    <xf numFmtId="168" fontId="8" fillId="0" borderId="0" xfId="0" applyNumberFormat="1" applyFont="1" applyFill="1" applyAlignment="1">
      <alignment horizontal="center"/>
    </xf>
    <xf numFmtId="37" fontId="8" fillId="37" borderId="3" xfId="0" applyNumberFormat="1" applyFont="1" applyFill="1" applyBorder="1" applyAlignment="1">
      <alignment horizontal="center"/>
    </xf>
    <xf numFmtId="37" fontId="8" fillId="0" borderId="0" xfId="0" applyNumberFormat="1" applyFont="1" applyBorder="1" applyAlignment="1">
      <alignment horizontal="center"/>
    </xf>
    <xf numFmtId="0" fontId="10" fillId="36" borderId="0" xfId="0" applyFont="1" applyFill="1" applyAlignment="1">
      <alignment horizontal="right"/>
    </xf>
    <xf numFmtId="0" fontId="8" fillId="0" borderId="0" xfId="28" applyFont="1" applyAlignment="1">
      <alignment horizontal="left" vertical="center"/>
    </xf>
    <xf numFmtId="0" fontId="37" fillId="0" borderId="0" xfId="28" applyFont="1" applyFill="1" applyAlignment="1">
      <alignment horizontal="left"/>
    </xf>
    <xf numFmtId="0" fontId="37" fillId="0" borderId="0" xfId="28" applyFont="1" applyFill="1" applyAlignment="1">
      <alignment horizontal="center"/>
    </xf>
    <xf numFmtId="0" fontId="37" fillId="0" borderId="0" xfId="28" applyNumberFormat="1" applyFont="1" applyFill="1" applyAlignment="1">
      <alignment horizontal="center"/>
    </xf>
    <xf numFmtId="0" fontId="37" fillId="0" borderId="0" xfId="28" applyFont="1" applyAlignment="1">
      <alignment horizontal="center"/>
    </xf>
    <xf numFmtId="0" fontId="8" fillId="0" borderId="0" xfId="28" applyFont="1" applyAlignment="1">
      <alignment horizontal="left"/>
    </xf>
    <xf numFmtId="0" fontId="37" fillId="36" borderId="0" xfId="28" applyNumberFormat="1" applyFont="1" applyFill="1" applyAlignment="1">
      <alignment horizontal="center"/>
    </xf>
    <xf numFmtId="0" fontId="8" fillId="0" borderId="0" xfId="28" applyFont="1" applyAlignment="1">
      <alignment vertical="top"/>
    </xf>
    <xf numFmtId="0" fontId="8" fillId="0" borderId="0" xfId="28" applyFont="1" applyAlignment="1">
      <alignment horizontal="left" vertical="top"/>
    </xf>
    <xf numFmtId="0" fontId="8" fillId="0" borderId="0" xfId="28" applyFont="1" applyAlignment="1">
      <alignment horizontal="center" vertical="top"/>
    </xf>
    <xf numFmtId="0" fontId="8" fillId="0" borderId="0" xfId="28" applyFont="1" applyFill="1" applyAlignment="1">
      <alignment horizontal="center" vertical="top"/>
    </xf>
    <xf numFmtId="0" fontId="8" fillId="0" borderId="0" xfId="28" applyNumberFormat="1" applyFont="1" applyFill="1" applyAlignment="1">
      <alignment horizontal="center" vertical="top"/>
    </xf>
    <xf numFmtId="0" fontId="37" fillId="0" borderId="0" xfId="28" applyFont="1" applyAlignment="1">
      <alignment horizontal="center" vertical="top"/>
    </xf>
    <xf numFmtId="0" fontId="8" fillId="0" borderId="0" xfId="28" applyFont="1" applyAlignment="1"/>
    <xf numFmtId="0" fontId="8" fillId="0" borderId="0" xfId="28" applyFont="1" applyFill="1" applyAlignment="1">
      <alignment horizontal="center"/>
    </xf>
    <xf numFmtId="0" fontId="8" fillId="0" borderId="0" xfId="28" applyNumberFormat="1" applyFont="1" applyFill="1" applyAlignment="1">
      <alignment horizontal="center"/>
    </xf>
    <xf numFmtId="0" fontId="11" fillId="0" borderId="0" xfId="0" quotePrefix="1" applyFont="1" applyAlignment="1">
      <alignment horizontal="center" vertical="top"/>
    </xf>
    <xf numFmtId="0" fontId="11" fillId="0" borderId="0" xfId="0" quotePrefix="1" applyNumberFormat="1" applyFont="1" applyAlignment="1">
      <alignment horizontal="center" vertical="top"/>
    </xf>
    <xf numFmtId="0" fontId="8" fillId="0" borderId="0" xfId="28" applyFont="1" applyAlignment="1">
      <alignment horizontal="center" vertical="center"/>
    </xf>
    <xf numFmtId="0" fontId="8" fillId="0" borderId="0" xfId="28" applyFont="1" applyBorder="1" applyAlignment="1"/>
    <xf numFmtId="0" fontId="8" fillId="0" borderId="6" xfId="28" applyNumberFormat="1" applyFont="1" applyFill="1" applyBorder="1" applyAlignment="1">
      <alignment horizontal="center"/>
    </xf>
    <xf numFmtId="0" fontId="8" fillId="0" borderId="3" xfId="28" applyFont="1" applyBorder="1" applyAlignment="1">
      <alignment horizontal="center"/>
    </xf>
    <xf numFmtId="0" fontId="8" fillId="0" borderId="3" xfId="28" applyNumberFormat="1" applyFont="1" applyBorder="1" applyAlignment="1">
      <alignment horizontal="center"/>
    </xf>
    <xf numFmtId="0" fontId="11" fillId="0" borderId="0" xfId="28" applyFont="1" applyBorder="1" applyAlignment="1"/>
    <xf numFmtId="0" fontId="8" fillId="0" borderId="0" xfId="28" applyFont="1" applyBorder="1" applyAlignment="1">
      <alignment horizontal="center"/>
    </xf>
    <xf numFmtId="0" fontId="8" fillId="0" borderId="0" xfId="28" applyNumberFormat="1" applyFont="1" applyBorder="1" applyAlignment="1">
      <alignment horizontal="center"/>
    </xf>
    <xf numFmtId="167" fontId="22" fillId="0" borderId="0" xfId="28" applyNumberFormat="1" applyFont="1" applyFill="1" applyBorder="1"/>
    <xf numFmtId="0" fontId="8" fillId="0" borderId="0" xfId="28" applyFont="1" applyBorder="1"/>
    <xf numFmtId="0" fontId="8" fillId="0" borderId="0" xfId="28" applyFont="1" applyFill="1" applyBorder="1"/>
    <xf numFmtId="0" fontId="11" fillId="0" borderId="0" xfId="28" applyFont="1" applyBorder="1"/>
    <xf numFmtId="167" fontId="8" fillId="0" borderId="0" xfId="28" applyNumberFormat="1" applyFont="1" applyBorder="1" applyAlignment="1">
      <alignment horizontal="center"/>
    </xf>
    <xf numFmtId="167" fontId="8" fillId="0" borderId="0" xfId="28" applyNumberFormat="1" applyFont="1" applyBorder="1"/>
    <xf numFmtId="0" fontId="8" fillId="0" borderId="0" xfId="28" applyFont="1" applyBorder="1" applyAlignment="1">
      <alignment horizontal="right"/>
    </xf>
    <xf numFmtId="0" fontId="8" fillId="0" borderId="0" xfId="28" applyFont="1" applyFill="1" applyBorder="1" applyAlignment="1">
      <alignment horizontal="right"/>
    </xf>
    <xf numFmtId="167" fontId="8" fillId="0" borderId="3" xfId="22" applyNumberFormat="1" applyFont="1" applyFill="1" applyBorder="1" applyAlignment="1">
      <alignment horizontal="center" wrapText="1"/>
    </xf>
    <xf numFmtId="170" fontId="8" fillId="0" borderId="0" xfId="37" applyNumberFormat="1" applyFont="1" applyFill="1" applyBorder="1" applyAlignment="1">
      <alignment horizontal="center" wrapText="1"/>
    </xf>
    <xf numFmtId="167" fontId="8" fillId="0" borderId="0" xfId="22" applyNumberFormat="1" applyFont="1" applyFill="1" applyBorder="1"/>
    <xf numFmtId="0" fontId="8" fillId="0" borderId="0" xfId="39" applyNumberFormat="1" applyFont="1" applyFill="1" applyBorder="1" applyAlignment="1">
      <alignment horizontal="center" wrapText="1"/>
    </xf>
    <xf numFmtId="170" fontId="8" fillId="0" borderId="0" xfId="39" applyNumberFormat="1" applyFont="1" applyFill="1" applyBorder="1" applyAlignment="1">
      <alignment horizontal="center" wrapText="1"/>
    </xf>
    <xf numFmtId="167" fontId="8" fillId="0" borderId="0" xfId="22" applyNumberFormat="1" applyFont="1" applyBorder="1"/>
    <xf numFmtId="0" fontId="11" fillId="0" borderId="0" xfId="28" applyFont="1" applyBorder="1" applyAlignment="1">
      <alignment vertical="top" wrapText="1"/>
    </xf>
    <xf numFmtId="168" fontId="10" fillId="0" borderId="0" xfId="0" applyNumberFormat="1" applyFont="1" applyFill="1" applyAlignment="1">
      <alignment horizontal="left" indent="1"/>
    </xf>
    <xf numFmtId="0" fontId="40" fillId="34" borderId="0" xfId="0" applyFont="1" applyFill="1"/>
    <xf numFmtId="0" fontId="41" fillId="0" borderId="0" xfId="0" applyFont="1" applyFill="1" applyAlignment="1">
      <alignment horizontal="center"/>
    </xf>
    <xf numFmtId="0" fontId="42" fillId="0" borderId="0" xfId="0" applyFont="1" applyFill="1" applyAlignment="1">
      <alignment horizontal="center"/>
    </xf>
    <xf numFmtId="0" fontId="40" fillId="0" borderId="0" xfId="0" applyFont="1" applyFill="1" applyAlignment="1">
      <alignment horizontal="center"/>
    </xf>
    <xf numFmtId="0" fontId="40" fillId="0" borderId="0" xfId="0" applyFont="1" applyFill="1" applyAlignment="1">
      <alignment horizontal="left" indent="2"/>
    </xf>
    <xf numFmtId="0" fontId="41" fillId="0" borderId="0" xfId="0" applyFont="1" applyAlignment="1">
      <alignment horizontal="left" indent="1"/>
    </xf>
    <xf numFmtId="0" fontId="41" fillId="0" borderId="0" xfId="0" quotePrefix="1" applyFont="1" applyAlignment="1">
      <alignment horizontal="center"/>
    </xf>
    <xf numFmtId="0" fontId="42" fillId="0" borderId="0" xfId="0" quotePrefix="1" applyFont="1" applyAlignment="1">
      <alignment horizontal="center"/>
    </xf>
    <xf numFmtId="164" fontId="45" fillId="0" borderId="0" xfId="0" applyNumberFormat="1" applyFont="1" applyFill="1"/>
    <xf numFmtId="0" fontId="40" fillId="0" borderId="0" xfId="0" quotePrefix="1" applyFont="1"/>
    <xf numFmtId="0" fontId="42" fillId="0" borderId="0" xfId="0" applyFont="1" applyAlignment="1">
      <alignment horizontal="left"/>
    </xf>
    <xf numFmtId="0" fontId="40" fillId="0" borderId="0" xfId="0" applyFont="1" applyFill="1" applyAlignment="1">
      <alignment horizontal="left" indent="1"/>
    </xf>
    <xf numFmtId="0" fontId="41" fillId="0" borderId="0" xfId="0" applyFont="1" applyAlignment="1">
      <alignment horizontal="left"/>
    </xf>
    <xf numFmtId="164" fontId="38" fillId="0" borderId="0" xfId="0" applyNumberFormat="1" applyFont="1" applyAlignment="1">
      <alignment horizontal="center"/>
    </xf>
    <xf numFmtId="0" fontId="8" fillId="0" borderId="0" xfId="0" applyFont="1" applyAlignment="1">
      <alignment horizontal="center"/>
    </xf>
    <xf numFmtId="0" fontId="0" fillId="0" borderId="0" xfId="0" applyAlignment="1">
      <alignment horizontal="center"/>
    </xf>
    <xf numFmtId="0" fontId="11" fillId="0" borderId="0" xfId="28" applyFont="1" applyFill="1" applyAlignment="1">
      <alignment horizontal="center"/>
    </xf>
    <xf numFmtId="0" fontId="10" fillId="0" borderId="0" xfId="0" applyNumberFormat="1" applyFont="1" applyFill="1"/>
    <xf numFmtId="0" fontId="10" fillId="0" borderId="0" xfId="0" applyNumberFormat="1" applyFont="1" applyFill="1" applyAlignment="1">
      <alignment horizontal="left"/>
    </xf>
    <xf numFmtId="0" fontId="8"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xf>
    <xf numFmtId="164" fontId="0" fillId="0" borderId="0" xfId="0" applyNumberFormat="1" applyFill="1" applyAlignment="1"/>
    <xf numFmtId="0" fontId="8" fillId="0" borderId="0" xfId="0" applyFont="1" applyAlignment="1">
      <alignment horizontal="center"/>
    </xf>
    <xf numFmtId="0" fontId="8" fillId="0" borderId="0" xfId="0" applyFont="1" applyAlignment="1">
      <alignment horizontal="center"/>
    </xf>
    <xf numFmtId="0" fontId="7" fillId="0" borderId="0" xfId="0" applyFont="1" applyAlignment="1">
      <alignment horizontal="right"/>
    </xf>
    <xf numFmtId="0" fontId="7" fillId="0" borderId="0" xfId="0" applyFont="1" applyFill="1" applyAlignment="1">
      <alignment horizontal="left" indent="1"/>
    </xf>
    <xf numFmtId="0" fontId="7" fillId="0" borderId="0" xfId="0" applyFont="1"/>
    <xf numFmtId="0" fontId="7" fillId="0" borderId="0" xfId="0" applyFont="1" applyAlignment="1">
      <alignment horizontal="center"/>
    </xf>
    <xf numFmtId="0" fontId="7" fillId="0" borderId="0" xfId="0" applyFont="1" applyFill="1"/>
    <xf numFmtId="164" fontId="7" fillId="0" borderId="0" xfId="0" applyNumberFormat="1" applyFont="1" applyFill="1" applyBorder="1"/>
    <xf numFmtId="0" fontId="7" fillId="0" borderId="0" xfId="0" applyFont="1" applyAlignment="1">
      <alignment horizontal="left" indent="1"/>
    </xf>
    <xf numFmtId="179" fontId="7" fillId="34" borderId="0" xfId="35" applyNumberFormat="1" applyFont="1" applyFill="1" applyAlignment="1">
      <alignment horizontal="left"/>
    </xf>
    <xf numFmtId="179" fontId="7" fillId="0" borderId="0" xfId="35" applyNumberFormat="1" applyFont="1" applyFill="1" applyAlignment="1">
      <alignment horizontal="left"/>
    </xf>
    <xf numFmtId="164" fontId="7" fillId="0" borderId="0" xfId="0" applyNumberFormat="1" applyFont="1"/>
    <xf numFmtId="179" fontId="7" fillId="0" borderId="0" xfId="35" applyNumberFormat="1" applyFont="1" applyFill="1" applyAlignment="1">
      <alignment horizontal="right"/>
    </xf>
    <xf numFmtId="0" fontId="7" fillId="0" borderId="0" xfId="0" quotePrefix="1" applyFont="1" applyAlignment="1">
      <alignment horizontal="center"/>
    </xf>
    <xf numFmtId="0" fontId="7" fillId="36" borderId="0" xfId="0" applyFont="1" applyFill="1"/>
    <xf numFmtId="0" fontId="7" fillId="0" borderId="0" xfId="28" applyFont="1" applyFill="1"/>
    <xf numFmtId="10" fontId="0" fillId="0" borderId="0" xfId="37" applyNumberFormat="1" applyFont="1"/>
    <xf numFmtId="0" fontId="7" fillId="0" borderId="0" xfId="28" applyFont="1"/>
    <xf numFmtId="164" fontId="7" fillId="0" borderId="0" xfId="0" applyNumberFormat="1" applyFont="1" applyFill="1"/>
    <xf numFmtId="3" fontId="7" fillId="0" borderId="0" xfId="0" applyNumberFormat="1" applyFont="1" applyFill="1"/>
    <xf numFmtId="0" fontId="7" fillId="0" borderId="0" xfId="0" quotePrefix="1" applyFont="1"/>
    <xf numFmtId="17" fontId="7" fillId="0" borderId="0" xfId="0" quotePrefix="1" applyNumberFormat="1" applyFont="1" applyAlignment="1">
      <alignment horizontal="center"/>
    </xf>
    <xf numFmtId="0" fontId="7" fillId="0" borderId="0" xfId="0" applyFont="1" applyAlignment="1">
      <alignment wrapText="1"/>
    </xf>
    <xf numFmtId="0" fontId="0" fillId="0" borderId="0" xfId="0" applyAlignment="1">
      <alignment horizontal="center"/>
    </xf>
    <xf numFmtId="0" fontId="8"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xf>
    <xf numFmtId="0" fontId="7" fillId="0" borderId="0" xfId="0" applyFont="1" applyAlignment="1">
      <alignment horizontal="right" indent="1"/>
    </xf>
    <xf numFmtId="0" fontId="7" fillId="0" borderId="0" xfId="0" applyFont="1" applyAlignment="1">
      <alignment horizontal="left" indent="2"/>
    </xf>
    <xf numFmtId="0" fontId="7" fillId="0" borderId="0" xfId="28" applyNumberFormat="1" applyFont="1" applyFill="1" applyBorder="1" applyAlignment="1">
      <alignment horizontal="left" indent="1"/>
    </xf>
    <xf numFmtId="0" fontId="8" fillId="0" borderId="0" xfId="0" applyFont="1" applyAlignment="1">
      <alignment horizontal="center"/>
    </xf>
    <xf numFmtId="0" fontId="7" fillId="0" borderId="0" xfId="0" quotePrefix="1" applyFont="1" applyAlignment="1">
      <alignment horizontal="center" vertical="justify"/>
    </xf>
    <xf numFmtId="166" fontId="7" fillId="0" borderId="0" xfId="0" applyNumberFormat="1" applyFont="1" applyAlignment="1">
      <alignment horizontal="left" indent="1"/>
    </xf>
    <xf numFmtId="166" fontId="11" fillId="0" borderId="0" xfId="0" applyNumberFormat="1" applyFont="1" applyAlignment="1">
      <alignment horizontal="center"/>
    </xf>
    <xf numFmtId="0" fontId="8" fillId="0" borderId="0" xfId="0" applyFont="1" applyAlignment="1">
      <alignment horizontal="center"/>
    </xf>
    <xf numFmtId="0" fontId="7" fillId="0" borderId="0" xfId="28" applyNumberFormat="1" applyFont="1" applyFill="1" applyBorder="1" applyAlignment="1">
      <alignment horizontal="left"/>
    </xf>
    <xf numFmtId="164" fontId="7" fillId="36" borderId="0" xfId="0" applyNumberFormat="1" applyFont="1" applyFill="1"/>
    <xf numFmtId="0" fontId="7" fillId="0" borderId="0" xfId="28" applyFont="1" applyBorder="1" applyAlignment="1">
      <alignment horizontal="left"/>
    </xf>
    <xf numFmtId="0" fontId="7" fillId="0" borderId="0" xfId="28" quotePrefix="1" applyNumberFormat="1" applyFont="1" applyFill="1" applyBorder="1" applyAlignment="1">
      <alignment horizontal="left"/>
    </xf>
    <xf numFmtId="0" fontId="7" fillId="0" borderId="0" xfId="28" applyNumberFormat="1" applyFont="1" applyFill="1" applyBorder="1" applyAlignment="1">
      <alignment horizontal="right"/>
    </xf>
    <xf numFmtId="164" fontId="7" fillId="0" borderId="0" xfId="20" applyNumberFormat="1" applyFont="1" applyFill="1" applyBorder="1" applyAlignment="1">
      <alignment horizontal="right"/>
    </xf>
    <xf numFmtId="167" fontId="7" fillId="0" borderId="0" xfId="28" quotePrefix="1" applyNumberFormat="1" applyFont="1" applyFill="1" applyBorder="1" applyAlignment="1">
      <alignment horizontal="left" indent="1"/>
    </xf>
    <xf numFmtId="167" fontId="7" fillId="0" borderId="0" xfId="28" applyNumberFormat="1" applyFont="1" applyFill="1" applyBorder="1" applyAlignment="1">
      <alignment horizontal="left" indent="1"/>
    </xf>
    <xf numFmtId="0" fontId="7" fillId="0" borderId="0" xfId="28" applyFont="1" applyBorder="1" applyAlignment="1"/>
    <xf numFmtId="167" fontId="7" fillId="0" borderId="0" xfId="20" applyNumberFormat="1" applyFont="1" applyFill="1" applyBorder="1" applyAlignment="1">
      <alignment horizontal="right"/>
    </xf>
    <xf numFmtId="167" fontId="7" fillId="0" borderId="0" xfId="28" applyNumberFormat="1" applyFont="1" applyFill="1" applyBorder="1" applyAlignment="1">
      <alignment horizontal="right"/>
    </xf>
    <xf numFmtId="0" fontId="7" fillId="0" borderId="0" xfId="28" applyFont="1" applyBorder="1"/>
    <xf numFmtId="3" fontId="7" fillId="0" borderId="0" xfId="28" applyNumberFormat="1" applyFont="1" applyFill="1" applyBorder="1" applyAlignment="1">
      <alignment horizontal="left" indent="1"/>
    </xf>
    <xf numFmtId="1" fontId="7" fillId="0" borderId="0" xfId="28" applyNumberFormat="1" applyFont="1" applyFill="1" applyBorder="1" applyAlignment="1">
      <alignment horizontal="center"/>
    </xf>
    <xf numFmtId="3" fontId="7" fillId="0" borderId="0" xfId="28" applyNumberFormat="1" applyFont="1" applyFill="1" applyBorder="1" applyAlignment="1"/>
    <xf numFmtId="37" fontId="7" fillId="0" borderId="0" xfId="36" applyNumberFormat="1" applyFont="1" applyFill="1" applyAlignment="1">
      <alignment horizontal="left" indent="1"/>
    </xf>
    <xf numFmtId="0" fontId="7" fillId="0" borderId="0" xfId="28" applyFont="1" applyBorder="1" applyAlignment="1">
      <alignment horizontal="right"/>
    </xf>
    <xf numFmtId="10" fontId="7" fillId="0" borderId="0" xfId="0" applyNumberFormat="1" applyFont="1" applyFill="1"/>
    <xf numFmtId="0" fontId="7" fillId="36" borderId="0" xfId="34" applyFont="1" applyFill="1"/>
    <xf numFmtId="0" fontId="7" fillId="0" borderId="0" xfId="0" quotePrefix="1" applyFont="1" applyAlignment="1"/>
    <xf numFmtId="165" fontId="7" fillId="0" borderId="0" xfId="20" applyNumberFormat="1" applyFont="1" applyFill="1" applyBorder="1" applyAlignment="1">
      <alignment horizontal="right"/>
    </xf>
    <xf numFmtId="0" fontId="42" fillId="0" borderId="0" xfId="0" applyFont="1" applyFill="1"/>
    <xf numFmtId="0" fontId="10" fillId="0" borderId="0" xfId="28" applyFont="1" applyFill="1" applyBorder="1" applyAlignment="1"/>
    <xf numFmtId="0" fontId="8" fillId="0" borderId="0" xfId="0" applyFont="1" applyAlignment="1">
      <alignment horizontal="center"/>
    </xf>
    <xf numFmtId="0" fontId="8" fillId="0" borderId="0" xfId="28" applyFont="1" applyBorder="1" applyAlignment="1">
      <alignment horizontal="left"/>
    </xf>
    <xf numFmtId="1" fontId="7" fillId="0" borderId="0" xfId="28" quotePrefix="1" applyNumberFormat="1" applyFont="1" applyFill="1" applyBorder="1" applyAlignment="1">
      <alignment horizontal="right"/>
    </xf>
    <xf numFmtId="164" fontId="7" fillId="0" borderId="0" xfId="0" applyNumberFormat="1" applyFont="1" applyFill="1" applyAlignment="1">
      <alignment horizontal="right"/>
    </xf>
    <xf numFmtId="164" fontId="8" fillId="0" borderId="0" xfId="0" applyNumberFormat="1" applyFont="1" applyFill="1" applyAlignment="1">
      <alignment horizontal="right"/>
    </xf>
    <xf numFmtId="0" fontId="7" fillId="36" borderId="0" xfId="0" applyFont="1" applyFill="1" applyAlignment="1">
      <alignment horizontal="left" indent="1"/>
    </xf>
    <xf numFmtId="0" fontId="7" fillId="36" borderId="0" xfId="0" applyFont="1" applyFill="1" applyAlignment="1">
      <alignment horizontal="left"/>
    </xf>
    <xf numFmtId="0" fontId="7" fillId="36" borderId="0" xfId="0" quotePrefix="1" applyFont="1" applyFill="1"/>
    <xf numFmtId="164" fontId="7" fillId="0" borderId="0" xfId="0" applyNumberFormat="1" applyFont="1" applyFill="1" applyAlignment="1">
      <alignment horizontal="left" indent="1"/>
    </xf>
    <xf numFmtId="0" fontId="0" fillId="0" borderId="0" xfId="0" applyFill="1" applyBorder="1"/>
    <xf numFmtId="0" fontId="48" fillId="0" borderId="0" xfId="0" applyFont="1"/>
    <xf numFmtId="37" fontId="40" fillId="0" borderId="0" xfId="0" applyNumberFormat="1" applyFont="1" applyFill="1"/>
    <xf numFmtId="165" fontId="40" fillId="0" borderId="0" xfId="0" applyNumberFormat="1" applyFont="1" applyFill="1"/>
    <xf numFmtId="165" fontId="40" fillId="0" borderId="0" xfId="0" applyNumberFormat="1" applyFont="1" applyFill="1" applyAlignment="1">
      <alignment horizontal="left" indent="1"/>
    </xf>
    <xf numFmtId="164" fontId="42" fillId="0" borderId="0" xfId="0" applyNumberFormat="1" applyFont="1" applyFill="1"/>
    <xf numFmtId="39" fontId="40" fillId="0" borderId="0" xfId="0" applyNumberFormat="1" applyFont="1" applyAlignment="1">
      <alignment horizontal="left" indent="1"/>
    </xf>
    <xf numFmtId="39" fontId="40" fillId="0" borderId="0" xfId="0" applyNumberFormat="1" applyFont="1"/>
    <xf numFmtId="0" fontId="7" fillId="36" borderId="0" xfId="0" quotePrefix="1" applyFont="1" applyFill="1" applyAlignment="1">
      <alignment horizontal="center"/>
    </xf>
    <xf numFmtId="0" fontId="7" fillId="0" borderId="0" xfId="0" quotePrefix="1" applyFont="1" applyFill="1" applyAlignment="1">
      <alignment horizontal="center"/>
    </xf>
    <xf numFmtId="0" fontId="7" fillId="36" borderId="0" xfId="0" applyFont="1" applyFill="1" applyBorder="1" applyProtection="1"/>
    <xf numFmtId="164" fontId="7" fillId="36" borderId="0" xfId="0" applyNumberFormat="1" applyFont="1" applyFill="1" applyBorder="1" applyProtection="1"/>
    <xf numFmtId="0" fontId="7" fillId="36" borderId="0" xfId="0" applyFont="1" applyFill="1" applyBorder="1"/>
    <xf numFmtId="169" fontId="7" fillId="0" borderId="0" xfId="0" applyNumberFormat="1" applyFont="1" applyFill="1" applyBorder="1" applyAlignment="1" applyProtection="1">
      <alignment horizontal="center"/>
    </xf>
    <xf numFmtId="0" fontId="7" fillId="0" borderId="0" xfId="0" applyFont="1" applyFill="1" applyBorder="1" applyProtection="1"/>
    <xf numFmtId="164" fontId="7" fillId="0" borderId="0" xfId="0" applyNumberFormat="1" applyFont="1" applyFill="1" applyBorder="1" applyProtection="1"/>
    <xf numFmtId="0" fontId="7" fillId="36" borderId="0" xfId="0" quotePrefix="1" applyFont="1" applyFill="1" applyBorder="1"/>
    <xf numFmtId="164" fontId="7" fillId="36" borderId="0" xfId="0" applyNumberFormat="1" applyFont="1" applyFill="1" applyBorder="1"/>
    <xf numFmtId="0" fontId="7" fillId="0" borderId="0" xfId="0" quotePrefix="1" applyFont="1" applyFill="1" applyBorder="1"/>
    <xf numFmtId="0" fontId="7" fillId="0" borderId="0" xfId="0" applyFont="1" applyFill="1" applyBorder="1"/>
    <xf numFmtId="169" fontId="7" fillId="36" borderId="0" xfId="0" quotePrefix="1" applyNumberFormat="1" applyFont="1" applyFill="1" applyBorder="1" applyAlignment="1" applyProtection="1">
      <alignment horizontal="center"/>
    </xf>
    <xf numFmtId="0" fontId="7" fillId="0" borderId="0" xfId="0" applyFont="1" applyAlignment="1">
      <alignment horizontal="left"/>
    </xf>
    <xf numFmtId="0" fontId="8" fillId="0" borderId="0" xfId="0" applyFont="1" applyAlignment="1">
      <alignment horizontal="center"/>
    </xf>
    <xf numFmtId="0" fontId="8" fillId="0" borderId="0" xfId="0" applyFont="1" applyFill="1" applyBorder="1" applyAlignment="1">
      <alignment horizontal="center"/>
    </xf>
    <xf numFmtId="0" fontId="50" fillId="0" borderId="0" xfId="0" applyFont="1"/>
    <xf numFmtId="0" fontId="8" fillId="0" borderId="0" xfId="0" applyFont="1" applyAlignment="1">
      <alignment horizontal="center"/>
    </xf>
    <xf numFmtId="0" fontId="8" fillId="0" borderId="0" xfId="0" applyFont="1" applyAlignment="1">
      <alignment horizontal="center"/>
    </xf>
    <xf numFmtId="0" fontId="12" fillId="0" borderId="0" xfId="0" applyFont="1" applyFill="1"/>
    <xf numFmtId="0" fontId="13" fillId="0" borderId="0" xfId="0" applyFont="1" applyFill="1"/>
    <xf numFmtId="0" fontId="11" fillId="0" borderId="0" xfId="0" applyFont="1" applyFill="1" applyAlignment="1">
      <alignment horizontal="left"/>
    </xf>
    <xf numFmtId="17" fontId="7" fillId="0" borderId="0" xfId="0" quotePrefix="1" applyNumberFormat="1" applyFont="1" applyFill="1" applyAlignment="1">
      <alignment horizontal="center"/>
    </xf>
    <xf numFmtId="0" fontId="8" fillId="0" borderId="0" xfId="0" applyFont="1" applyAlignment="1">
      <alignment horizontal="center"/>
    </xf>
    <xf numFmtId="0" fontId="7" fillId="0" borderId="0" xfId="0" quotePrefix="1" applyFont="1" applyAlignment="1">
      <alignment horizontal="left" indent="1"/>
    </xf>
    <xf numFmtId="0" fontId="7" fillId="0" borderId="0" xfId="28" quotePrefix="1" applyFont="1" applyFill="1" applyAlignment="1">
      <alignment horizontal="center" vertical="center"/>
    </xf>
    <xf numFmtId="0" fontId="7" fillId="0" borderId="0" xfId="28" quotePrefix="1" applyFont="1" applyFill="1" applyAlignment="1">
      <alignment horizontal="center"/>
    </xf>
    <xf numFmtId="0" fontId="7" fillId="0" borderId="0" xfId="28" quotePrefix="1" applyFont="1" applyBorder="1" applyAlignment="1">
      <alignment horizontal="center"/>
    </xf>
    <xf numFmtId="0" fontId="7" fillId="0" borderId="3" xfId="0" applyFont="1" applyBorder="1" applyAlignment="1">
      <alignment horizontal="center"/>
    </xf>
    <xf numFmtId="0" fontId="7" fillId="0" borderId="3" xfId="0" applyFont="1" applyFill="1" applyBorder="1" applyAlignment="1">
      <alignment horizontal="center"/>
    </xf>
    <xf numFmtId="0" fontId="7" fillId="0" borderId="3" xfId="0" applyFont="1" applyFill="1" applyBorder="1"/>
    <xf numFmtId="37" fontId="7" fillId="0" borderId="3" xfId="22" quotePrefix="1" applyNumberFormat="1" applyFont="1" applyFill="1" applyBorder="1" applyAlignment="1">
      <alignment horizontal="center"/>
    </xf>
    <xf numFmtId="39" fontId="7" fillId="0" borderId="3" xfId="22" applyNumberFormat="1" applyFont="1" applyFill="1" applyBorder="1" applyAlignment="1">
      <alignment horizontal="center"/>
    </xf>
    <xf numFmtId="0" fontId="7" fillId="0" borderId="0" xfId="0" applyFont="1" applyFill="1" applyBorder="1" applyAlignment="1">
      <alignment vertical="top"/>
    </xf>
    <xf numFmtId="168" fontId="7" fillId="36" borderId="0" xfId="0" applyNumberFormat="1" applyFont="1" applyFill="1" applyAlignment="1">
      <alignment horizontal="left"/>
    </xf>
    <xf numFmtId="180" fontId="0" fillId="36" borderId="0" xfId="0" applyNumberFormat="1" applyFill="1" applyAlignment="1">
      <alignment horizontal="center"/>
    </xf>
    <xf numFmtId="17" fontId="0" fillId="36" borderId="0" xfId="0" quotePrefix="1" applyNumberFormat="1" applyFill="1" applyAlignment="1">
      <alignment horizontal="center"/>
    </xf>
    <xf numFmtId="180" fontId="0" fillId="36" borderId="0" xfId="0" quotePrefix="1" applyNumberFormat="1" applyFill="1" applyAlignment="1">
      <alignment horizontal="center"/>
    </xf>
    <xf numFmtId="6" fontId="0" fillId="0" borderId="0" xfId="0" applyNumberFormat="1"/>
    <xf numFmtId="0" fontId="8" fillId="0" borderId="0" xfId="0" applyFont="1" applyAlignment="1">
      <alignment horizontal="center"/>
    </xf>
    <xf numFmtId="0" fontId="8" fillId="0" borderId="0" xfId="0" applyFont="1" applyAlignment="1">
      <alignment horizontal="center"/>
    </xf>
    <xf numFmtId="181" fontId="0" fillId="0" borderId="0" xfId="0" applyNumberFormat="1"/>
    <xf numFmtId="0" fontId="8" fillId="0" borderId="0" xfId="0" quotePrefix="1" applyFont="1" applyFill="1" applyAlignment="1">
      <alignment horizontal="right"/>
    </xf>
    <xf numFmtId="0" fontId="7" fillId="0" borderId="0" xfId="0" quotePrefix="1" applyFont="1" applyAlignment="1">
      <alignment horizontal="center" vertical="center"/>
    </xf>
    <xf numFmtId="0" fontId="8" fillId="0" borderId="0" xfId="108" applyFont="1"/>
    <xf numFmtId="0" fontId="7" fillId="0" borderId="0" xfId="108"/>
    <xf numFmtId="0" fontId="11" fillId="0" borderId="0" xfId="108" applyFont="1"/>
    <xf numFmtId="0" fontId="8" fillId="0" borderId="0" xfId="108" applyFont="1" applyAlignment="1">
      <alignment horizontal="center"/>
    </xf>
    <xf numFmtId="0" fontId="7" fillId="0" borderId="0" xfId="108" applyFont="1"/>
    <xf numFmtId="0" fontId="11" fillId="0" borderId="0" xfId="108" applyFont="1" applyAlignment="1">
      <alignment horizontal="center"/>
    </xf>
    <xf numFmtId="0" fontId="11" fillId="0" borderId="0" xfId="108" applyFont="1" applyAlignment="1">
      <alignment horizontal="left"/>
    </xf>
    <xf numFmtId="164" fontId="7" fillId="0" borderId="0" xfId="108" applyNumberFormat="1" applyFill="1"/>
    <xf numFmtId="0" fontId="7" fillId="36" borderId="0" xfId="108" applyFont="1" applyFill="1"/>
    <xf numFmtId="0" fontId="7" fillId="0" borderId="0" xfId="108" applyFont="1" applyFill="1"/>
    <xf numFmtId="0" fontId="7" fillId="0" borderId="0" xfId="28" applyNumberFormat="1" applyFont="1" applyFill="1" applyBorder="1" applyAlignment="1">
      <alignment horizontal="left" indent="2"/>
    </xf>
    <xf numFmtId="3" fontId="18" fillId="0" borderId="0" xfId="34" applyNumberFormat="1" applyFont="1" applyBorder="1"/>
    <xf numFmtId="39" fontId="10" fillId="36" borderId="0" xfId="22" applyNumberFormat="1" applyFont="1" applyFill="1" applyBorder="1" applyAlignment="1">
      <alignment horizontal="center"/>
    </xf>
    <xf numFmtId="0" fontId="16" fillId="0" borderId="0" xfId="27" applyAlignment="1" applyProtection="1"/>
    <xf numFmtId="0" fontId="7" fillId="0" borderId="0" xfId="0" quotePrefix="1" applyFont="1" applyFill="1"/>
    <xf numFmtId="0" fontId="7" fillId="36" borderId="0" xfId="0" applyFont="1" applyFill="1" applyAlignment="1">
      <alignment horizontal="right"/>
    </xf>
    <xf numFmtId="167" fontId="7" fillId="0" borderId="0" xfId="28" applyNumberFormat="1" applyFont="1" applyBorder="1"/>
    <xf numFmtId="15" fontId="7" fillId="36" borderId="0" xfId="0" quotePrefix="1" applyNumberFormat="1" applyFont="1" applyFill="1" applyAlignment="1">
      <alignment horizontal="center"/>
    </xf>
    <xf numFmtId="0" fontId="55" fillId="0" borderId="0" xfId="0" applyFont="1"/>
    <xf numFmtId="0" fontId="7" fillId="0" borderId="0" xfId="28" applyFont="1" applyFill="1" applyBorder="1" applyAlignment="1" applyProtection="1">
      <alignment horizontal="left" indent="1"/>
      <protection locked="0"/>
    </xf>
    <xf numFmtId="0" fontId="7" fillId="0" borderId="0" xfId="100" applyFill="1"/>
    <xf numFmtId="0" fontId="56" fillId="0" borderId="0" xfId="0" applyFont="1"/>
    <xf numFmtId="0" fontId="37" fillId="0" borderId="0" xfId="0" applyFont="1"/>
    <xf numFmtId="0" fontId="7" fillId="0" borderId="0" xfId="100" applyFont="1" applyAlignment="1">
      <alignment horizontal="left" indent="1"/>
    </xf>
    <xf numFmtId="164" fontId="7" fillId="0" borderId="0" xfId="100" applyNumberFormat="1"/>
    <xf numFmtId="164" fontId="39" fillId="0" borderId="0" xfId="100" applyNumberFormat="1" applyFont="1" applyFill="1"/>
    <xf numFmtId="0" fontId="8" fillId="0" borderId="0" xfId="100" applyFont="1"/>
    <xf numFmtId="0" fontId="7" fillId="0" borderId="0" xfId="100" applyFont="1"/>
    <xf numFmtId="0" fontId="8" fillId="0" borderId="0" xfId="100" applyFont="1" applyAlignment="1">
      <alignment horizontal="left" indent="1"/>
    </xf>
    <xf numFmtId="0" fontId="49" fillId="0" borderId="0" xfId="100" applyFont="1" applyBorder="1" applyAlignment="1">
      <alignment horizontal="left"/>
    </xf>
    <xf numFmtId="0" fontId="8" fillId="0" borderId="0" xfId="100" applyFont="1" applyBorder="1" applyAlignment="1">
      <alignment horizontal="center"/>
    </xf>
    <xf numFmtId="0" fontId="7" fillId="0" borderId="0" xfId="100" applyFont="1" applyBorder="1" applyAlignment="1">
      <alignment horizontal="right"/>
    </xf>
    <xf numFmtId="0" fontId="8" fillId="0" borderId="0" xfId="100" applyFont="1" applyBorder="1" applyAlignment="1">
      <alignment horizontal="right"/>
    </xf>
    <xf numFmtId="0" fontId="8" fillId="0" borderId="8" xfId="100" applyFont="1" applyBorder="1" applyAlignment="1">
      <alignment horizontal="center"/>
    </xf>
    <xf numFmtId="0" fontId="7" fillId="36" borderId="0" xfId="100" applyFont="1" applyFill="1"/>
    <xf numFmtId="164" fontId="7" fillId="36" borderId="0" xfId="100" applyNumberFormat="1" applyFont="1" applyFill="1"/>
    <xf numFmtId="169" fontId="7" fillId="0" borderId="0" xfId="100" applyNumberFormat="1" applyFont="1" applyFill="1" applyAlignment="1">
      <alignment horizontal="center"/>
    </xf>
    <xf numFmtId="0" fontId="7" fillId="0" borderId="0" xfId="100" applyFont="1" applyFill="1"/>
    <xf numFmtId="164" fontId="7" fillId="0" borderId="0" xfId="100" applyNumberFormat="1" applyFont="1" applyFill="1"/>
    <xf numFmtId="169" fontId="7" fillId="36" borderId="0" xfId="100" quotePrefix="1" applyNumberFormat="1" applyFont="1" applyFill="1" applyAlignment="1">
      <alignment horizontal="center"/>
    </xf>
    <xf numFmtId="169" fontId="7" fillId="0" borderId="0" xfId="100" quotePrefix="1" applyNumberFormat="1" applyFont="1" applyFill="1" applyAlignment="1">
      <alignment horizontal="center"/>
    </xf>
    <xf numFmtId="164" fontId="7" fillId="0" borderId="0" xfId="100" applyNumberFormat="1" applyFont="1"/>
    <xf numFmtId="164" fontId="7" fillId="0" borderId="0" xfId="96" applyNumberFormat="1" applyFont="1" applyBorder="1"/>
    <xf numFmtId="164" fontId="7" fillId="0" borderId="0" xfId="96" applyNumberFormat="1" applyFont="1"/>
    <xf numFmtId="0" fontId="7" fillId="0" borderId="0" xfId="100" quotePrefix="1" applyFont="1" applyAlignment="1">
      <alignment horizontal="left" indent="1"/>
    </xf>
    <xf numFmtId="164" fontId="7" fillId="36" borderId="0" xfId="96" applyNumberFormat="1" applyFont="1" applyFill="1" applyBorder="1"/>
    <xf numFmtId="164" fontId="7" fillId="0" borderId="0" xfId="96" applyNumberFormat="1" applyFont="1" applyBorder="1" applyAlignment="1">
      <alignment horizontal="left" indent="1"/>
    </xf>
    <xf numFmtId="39" fontId="7" fillId="0" borderId="0" xfId="96" applyNumberFormat="1" applyFont="1" applyBorder="1"/>
    <xf numFmtId="37" fontId="7" fillId="0" borderId="0" xfId="96" applyNumberFormat="1" applyFont="1" applyBorder="1" applyAlignment="1">
      <alignment horizontal="center"/>
    </xf>
    <xf numFmtId="164" fontId="7" fillId="0" borderId="0" xfId="96" applyNumberFormat="1" applyFont="1" applyFill="1" applyBorder="1"/>
    <xf numFmtId="0" fontId="7" fillId="0" borderId="0" xfId="100" applyFont="1" applyBorder="1"/>
    <xf numFmtId="164" fontId="8" fillId="0" borderId="0" xfId="100" applyNumberFormat="1" applyFont="1" applyBorder="1" applyAlignment="1">
      <alignment horizontal="center"/>
    </xf>
    <xf numFmtId="164" fontId="8" fillId="0" borderId="8" xfId="100" applyNumberFormat="1" applyFont="1" applyBorder="1" applyAlignment="1">
      <alignment horizontal="center"/>
    </xf>
    <xf numFmtId="3" fontId="48" fillId="0" borderId="0" xfId="0" applyNumberFormat="1" applyFont="1"/>
    <xf numFmtId="0" fontId="48" fillId="0" borderId="0" xfId="0" applyFont="1" applyFill="1"/>
    <xf numFmtId="0" fontId="11" fillId="0" borderId="0" xfId="100" applyFont="1" applyBorder="1" applyAlignment="1">
      <alignment horizontal="center"/>
    </xf>
    <xf numFmtId="0" fontId="7" fillId="0" borderId="0" xfId="100" applyFont="1" applyBorder="1" applyAlignment="1">
      <alignment horizontal="left"/>
    </xf>
    <xf numFmtId="164" fontId="7" fillId="0" borderId="0" xfId="0" applyNumberFormat="1" applyFont="1" applyFill="1" applyAlignment="1">
      <alignment horizontal="center"/>
    </xf>
    <xf numFmtId="0" fontId="7" fillId="0" borderId="0" xfId="100" applyNumberFormat="1" applyFont="1" applyFill="1" applyBorder="1" applyAlignment="1">
      <alignment horizontal="left"/>
    </xf>
    <xf numFmtId="1" fontId="7" fillId="0" borderId="0" xfId="100" quotePrefix="1" applyNumberFormat="1" applyFont="1" applyFill="1" applyBorder="1" applyAlignment="1">
      <alignment horizontal="right"/>
    </xf>
    <xf numFmtId="164" fontId="7" fillId="36" borderId="0" xfId="0" quotePrefix="1" applyNumberFormat="1" applyFont="1" applyFill="1" applyAlignment="1">
      <alignment horizontal="center"/>
    </xf>
    <xf numFmtId="0" fontId="8" fillId="0" borderId="0" xfId="100" applyFont="1" applyFill="1" applyBorder="1" applyAlignment="1">
      <alignment horizontal="left"/>
    </xf>
    <xf numFmtId="0" fontId="8" fillId="0" borderId="0" xfId="100" applyNumberFormat="1" applyFont="1" applyFill="1" applyBorder="1" applyAlignment="1">
      <alignment horizontal="left"/>
    </xf>
    <xf numFmtId="0" fontId="7" fillId="0" borderId="0" xfId="100"/>
    <xf numFmtId="0" fontId="7" fillId="36" borderId="0" xfId="100" applyFill="1"/>
    <xf numFmtId="0" fontId="11" fillId="0" borderId="0" xfId="100" quotePrefix="1" applyFont="1" applyAlignment="1">
      <alignment horizontal="center"/>
    </xf>
    <xf numFmtId="0" fontId="11" fillId="0" borderId="0" xfId="100" applyFont="1" applyAlignment="1">
      <alignment horizontal="center"/>
    </xf>
    <xf numFmtId="0" fontId="7" fillId="0" borderId="0" xfId="100" quotePrefix="1" applyFont="1" applyAlignment="1">
      <alignment horizontal="center"/>
    </xf>
    <xf numFmtId="0" fontId="7" fillId="0" borderId="0" xfId="100" quotePrefix="1" applyFont="1" applyFill="1" applyAlignment="1">
      <alignment horizontal="center"/>
    </xf>
    <xf numFmtId="0" fontId="7" fillId="0" borderId="0" xfId="100" applyAlignment="1">
      <alignment horizontal="center"/>
    </xf>
    <xf numFmtId="0" fontId="8" fillId="0" borderId="0" xfId="100" applyFont="1" applyAlignment="1">
      <alignment horizontal="center"/>
    </xf>
    <xf numFmtId="0" fontId="8" fillId="0" borderId="0" xfId="100" applyFont="1" applyFill="1" applyAlignment="1">
      <alignment horizontal="center"/>
    </xf>
    <xf numFmtId="0" fontId="11" fillId="0" borderId="0" xfId="100" applyFont="1"/>
    <xf numFmtId="0" fontId="11" fillId="0" borderId="0" xfId="100" applyFont="1" applyFill="1" applyAlignment="1">
      <alignment horizontal="center"/>
    </xf>
    <xf numFmtId="164" fontId="7" fillId="0" borderId="0" xfId="100" applyNumberFormat="1" applyFont="1" applyFill="1" applyAlignment="1"/>
    <xf numFmtId="10" fontId="7" fillId="0" borderId="0" xfId="37" applyNumberFormat="1" applyFont="1" applyFill="1" applyAlignment="1"/>
    <xf numFmtId="167" fontId="7" fillId="0" borderId="0" xfId="100" applyNumberFormat="1"/>
    <xf numFmtId="0" fontId="7" fillId="0" borderId="0" xfId="100" applyFont="1" applyAlignment="1">
      <alignment horizontal="left"/>
    </xf>
    <xf numFmtId="0" fontId="7" fillId="0" borderId="0" xfId="100" applyFont="1" applyAlignment="1">
      <alignment horizontal="right" indent="1"/>
    </xf>
    <xf numFmtId="167" fontId="0" fillId="0" borderId="0" xfId="19" applyNumberFormat="1" applyFont="1"/>
    <xf numFmtId="0" fontId="7" fillId="0" borderId="0" xfId="100" applyAlignment="1">
      <alignment horizontal="left" indent="1"/>
    </xf>
    <xf numFmtId="10" fontId="0" fillId="0" borderId="0" xfId="37" applyNumberFormat="1" applyFont="1" applyAlignment="1">
      <alignment horizontal="center"/>
    </xf>
    <xf numFmtId="10" fontId="11" fillId="0" borderId="0" xfId="100" applyNumberFormat="1" applyFont="1" applyAlignment="1">
      <alignment horizontal="center"/>
    </xf>
    <xf numFmtId="0" fontId="7" fillId="0" borderId="0" xfId="100" applyNumberFormat="1" applyFont="1" applyAlignment="1">
      <alignment horizontal="center"/>
    </xf>
    <xf numFmtId="0" fontId="7" fillId="0" borderId="0" xfId="100" applyNumberFormat="1"/>
    <xf numFmtId="0" fontId="8" fillId="0" borderId="0" xfId="100" applyFont="1" applyFill="1"/>
    <xf numFmtId="0" fontId="11" fillId="0" borderId="0" xfId="0" applyNumberFormat="1" applyFont="1" applyFill="1" applyAlignment="1">
      <alignment horizontal="center"/>
    </xf>
    <xf numFmtId="0" fontId="9" fillId="0" borderId="0" xfId="0" applyFont="1" applyAlignment="1">
      <alignment horizontal="center"/>
    </xf>
    <xf numFmtId="0" fontId="8" fillId="0" borderId="0" xfId="0" applyNumberFormat="1" applyFont="1" applyFill="1" applyAlignment="1">
      <alignment horizontal="center"/>
    </xf>
    <xf numFmtId="0" fontId="8" fillId="0" borderId="0" xfId="0" applyNumberFormat="1" applyFont="1" applyFill="1" applyAlignment="1">
      <alignment horizontal="center" wrapText="1"/>
    </xf>
    <xf numFmtId="164" fontId="8" fillId="0" borderId="0" xfId="0" applyNumberFormat="1" applyFont="1" applyFill="1" applyAlignment="1">
      <alignment horizontal="right" indent="1"/>
    </xf>
    <xf numFmtId="0" fontId="0" fillId="0" borderId="0" xfId="0" applyNumberFormat="1" applyFill="1"/>
    <xf numFmtId="0" fontId="8" fillId="0" borderId="0" xfId="0" applyNumberFormat="1" applyFont="1" applyFill="1" applyAlignment="1">
      <alignment horizontal="left" indent="2"/>
    </xf>
    <xf numFmtId="0" fontId="11" fillId="0" borderId="0" xfId="0" quotePrefix="1" applyNumberFormat="1" applyFont="1" applyFill="1" applyAlignment="1">
      <alignment horizontal="center"/>
    </xf>
    <xf numFmtId="0" fontId="7" fillId="0" borderId="0" xfId="0" quotePrefix="1" applyNumberFormat="1" applyFont="1" applyFill="1" applyAlignment="1">
      <alignment horizontal="center" wrapText="1"/>
    </xf>
    <xf numFmtId="0" fontId="7" fillId="0" borderId="0" xfId="0" quotePrefix="1" applyNumberFormat="1" applyFont="1" applyFill="1" applyAlignment="1">
      <alignment horizontal="center"/>
    </xf>
    <xf numFmtId="0" fontId="9" fillId="0" borderId="0" xfId="0" quotePrefix="1" applyNumberFormat="1" applyFont="1" applyFill="1" applyAlignment="1">
      <alignment horizontal="center"/>
    </xf>
    <xf numFmtId="0" fontId="7" fillId="0" borderId="0" xfId="0" applyNumberFormat="1" applyFont="1" applyFill="1" applyAlignment="1"/>
    <xf numFmtId="0" fontId="0" fillId="0" borderId="0" xfId="0" applyNumberFormat="1" applyFill="1" applyAlignment="1">
      <alignment horizontal="left"/>
    </xf>
    <xf numFmtId="0" fontId="7" fillId="0" borderId="0" xfId="100" applyNumberFormat="1" applyFont="1" applyFill="1" applyBorder="1" applyAlignment="1">
      <alignment horizontal="center"/>
    </xf>
    <xf numFmtId="0" fontId="14" fillId="0" borderId="0" xfId="0" applyNumberFormat="1" applyFont="1" applyFill="1"/>
    <xf numFmtId="0" fontId="7" fillId="0" borderId="0" xfId="100" quotePrefix="1" applyNumberFormat="1" applyFont="1" applyFill="1" applyBorder="1" applyAlignment="1">
      <alignment horizontal="right"/>
    </xf>
    <xf numFmtId="0" fontId="7" fillId="0" borderId="0" xfId="0" applyNumberFormat="1" applyFont="1" applyFill="1" applyAlignment="1">
      <alignment horizontal="right"/>
    </xf>
    <xf numFmtId="0" fontId="8" fillId="0" borderId="0" xfId="0" applyNumberFormat="1" applyFont="1" applyFill="1"/>
    <xf numFmtId="0" fontId="7" fillId="0" borderId="0" xfId="0" applyNumberFormat="1" applyFont="1" applyFill="1"/>
    <xf numFmtId="0" fontId="7" fillId="0" borderId="0" xfId="0" applyNumberFormat="1" applyFont="1" applyFill="1" applyAlignment="1">
      <alignment horizontal="left" indent="1"/>
    </xf>
    <xf numFmtId="0" fontId="8" fillId="0" borderId="0" xfId="100" applyFont="1" applyAlignment="1">
      <alignment horizontal="right"/>
    </xf>
    <xf numFmtId="164" fontId="8" fillId="0" borderId="0" xfId="100" applyNumberFormat="1" applyFont="1"/>
    <xf numFmtId="166" fontId="8" fillId="0" borderId="0" xfId="100" applyNumberFormat="1" applyFont="1"/>
    <xf numFmtId="10" fontId="11" fillId="0" borderId="0" xfId="37" applyNumberFormat="1" applyFont="1" applyAlignment="1">
      <alignment horizontal="center"/>
    </xf>
    <xf numFmtId="0" fontId="7" fillId="0" borderId="0" xfId="100" applyAlignment="1">
      <alignment horizontal="center" wrapText="1"/>
    </xf>
    <xf numFmtId="164" fontId="7" fillId="0" borderId="0" xfId="100" quotePrefix="1" applyNumberFormat="1" applyAlignment="1">
      <alignment horizontal="center"/>
    </xf>
    <xf numFmtId="0" fontId="7" fillId="0" borderId="0" xfId="100" quotePrefix="1" applyAlignment="1">
      <alignment horizontal="center" wrapText="1"/>
    </xf>
    <xf numFmtId="0" fontId="7" fillId="0" borderId="0" xfId="100" quotePrefix="1" applyFont="1" applyAlignment="1">
      <alignment horizontal="center" wrapText="1"/>
    </xf>
    <xf numFmtId="10" fontId="7" fillId="0" borderId="0" xfId="37" quotePrefix="1" applyNumberFormat="1" applyFont="1" applyAlignment="1">
      <alignment horizontal="center" wrapText="1"/>
    </xf>
    <xf numFmtId="5" fontId="7" fillId="0" borderId="0" xfId="19" applyNumberFormat="1" applyFont="1" applyFill="1" applyAlignment="1"/>
    <xf numFmtId="5" fontId="0" fillId="0" borderId="0" xfId="19" applyNumberFormat="1" applyFont="1" applyFill="1"/>
    <xf numFmtId="178" fontId="7" fillId="0" borderId="0" xfId="23" applyNumberFormat="1" applyFont="1"/>
    <xf numFmtId="10" fontId="7" fillId="0" borderId="0" xfId="100" applyNumberFormat="1"/>
    <xf numFmtId="0" fontId="14" fillId="0" borderId="0" xfId="100" applyFont="1" applyAlignment="1">
      <alignment horizontal="center"/>
    </xf>
    <xf numFmtId="5" fontId="7" fillId="0" borderId="0" xfId="19" applyNumberFormat="1"/>
    <xf numFmtId="172" fontId="0" fillId="0" borderId="0" xfId="0" applyNumberFormat="1"/>
    <xf numFmtId="0" fontId="7" fillId="0" borderId="0" xfId="0" applyFont="1" applyFill="1" applyAlignment="1">
      <alignment horizontal="center"/>
    </xf>
    <xf numFmtId="0" fontId="7" fillId="36" borderId="0" xfId="0" applyFont="1" applyFill="1" applyAlignment="1">
      <alignment horizontal="center"/>
    </xf>
    <xf numFmtId="164" fontId="7" fillId="0" borderId="0" xfId="0" applyNumberFormat="1" applyFont="1" applyAlignment="1">
      <alignment horizontal="right"/>
    </xf>
    <xf numFmtId="0" fontId="8" fillId="0" borderId="0" xfId="108" applyFont="1" applyFill="1"/>
    <xf numFmtId="0" fontId="7" fillId="0" borderId="0" xfId="108" applyFill="1"/>
    <xf numFmtId="0" fontId="11" fillId="0" borderId="0" xfId="108" applyFont="1" applyFill="1"/>
    <xf numFmtId="0" fontId="8" fillId="0" borderId="0" xfId="108" applyFont="1" applyFill="1" applyAlignment="1">
      <alignment horizontal="center"/>
    </xf>
    <xf numFmtId="0" fontId="8" fillId="0" borderId="8" xfId="108" applyFont="1" applyFill="1" applyBorder="1" applyAlignment="1">
      <alignment horizontal="center"/>
    </xf>
    <xf numFmtId="0" fontId="8" fillId="0" borderId="0" xfId="108" applyFont="1" applyFill="1" applyBorder="1" applyAlignment="1">
      <alignment horizontal="center"/>
    </xf>
    <xf numFmtId="0" fontId="8" fillId="0" borderId="8" xfId="108" applyFont="1" applyBorder="1" applyAlignment="1">
      <alignment horizontal="center"/>
    </xf>
    <xf numFmtId="0" fontId="28" fillId="0" borderId="0" xfId="0" applyFont="1"/>
    <xf numFmtId="0" fontId="8" fillId="0" borderId="0" xfId="108" quotePrefix="1" applyFont="1" applyFill="1" applyAlignment="1">
      <alignment horizontal="center"/>
    </xf>
    <xf numFmtId="0" fontId="26" fillId="0" borderId="0" xfId="0" applyFont="1" applyFill="1" applyAlignment="1">
      <alignment horizontal="center"/>
    </xf>
    <xf numFmtId="164" fontId="7" fillId="0" borderId="0" xfId="108" applyNumberFormat="1" applyFill="1" applyBorder="1"/>
    <xf numFmtId="0" fontId="7" fillId="0" borderId="0" xfId="108" applyFill="1" applyBorder="1"/>
    <xf numFmtId="0" fontId="0" fillId="0" borderId="0" xfId="0" applyFill="1" applyBorder="1" applyAlignment="1">
      <alignment horizontal="center"/>
    </xf>
    <xf numFmtId="164" fontId="7" fillId="0" borderId="0" xfId="19" applyNumberFormat="1" applyFont="1" applyFill="1" applyBorder="1"/>
    <xf numFmtId="37" fontId="7" fillId="0" borderId="0" xfId="19" applyNumberFormat="1" applyFont="1" applyFill="1" applyBorder="1"/>
    <xf numFmtId="165" fontId="0" fillId="0" borderId="0" xfId="37" quotePrefix="1" applyNumberFormat="1" applyFont="1" applyFill="1" applyBorder="1"/>
    <xf numFmtId="165" fontId="0" fillId="0" borderId="0" xfId="37" applyNumberFormat="1" applyFont="1" applyFill="1" applyBorder="1"/>
    <xf numFmtId="164" fontId="0" fillId="0" borderId="0" xfId="19" applyNumberFormat="1" applyFont="1" applyFill="1" applyBorder="1"/>
    <xf numFmtId="0" fontId="28" fillId="0" borderId="0" xfId="0" applyFont="1" applyAlignment="1">
      <alignment wrapText="1"/>
    </xf>
    <xf numFmtId="164" fontId="7" fillId="36" borderId="0" xfId="19" applyNumberFormat="1" applyFont="1" applyFill="1" applyBorder="1"/>
    <xf numFmtId="9" fontId="0" fillId="0" borderId="0" xfId="0" applyNumberFormat="1" applyAlignment="1">
      <alignment horizontal="left"/>
    </xf>
    <xf numFmtId="9" fontId="0" fillId="0" borderId="8" xfId="0" applyNumberFormat="1" applyBorder="1"/>
    <xf numFmtId="164" fontId="0" fillId="0" borderId="0" xfId="0" applyNumberFormat="1" applyFill="1" applyBorder="1"/>
    <xf numFmtId="0" fontId="7" fillId="0" borderId="0" xfId="0" quotePrefix="1" applyFont="1" applyAlignment="1">
      <alignment horizontal="right"/>
    </xf>
    <xf numFmtId="49" fontId="7" fillId="0" borderId="0" xfId="19" applyNumberFormat="1" applyFont="1" applyBorder="1" applyAlignment="1">
      <alignment horizontal="left" indent="1"/>
    </xf>
    <xf numFmtId="0" fontId="10" fillId="36" borderId="4" xfId="0" applyNumberFormat="1" applyFont="1" applyFill="1" applyBorder="1"/>
    <xf numFmtId="0" fontId="40" fillId="36" borderId="0" xfId="125" applyFont="1" applyFill="1"/>
    <xf numFmtId="0" fontId="39" fillId="36" borderId="0" xfId="0" applyFont="1" applyFill="1"/>
    <xf numFmtId="39" fontId="7" fillId="0" borderId="0" xfId="0" applyNumberFormat="1" applyFont="1" applyFill="1" applyAlignment="1">
      <alignment horizontal="left" indent="1"/>
    </xf>
    <xf numFmtId="0" fontId="59" fillId="0" borderId="0" xfId="126" applyFont="1"/>
    <xf numFmtId="0" fontId="7" fillId="0" borderId="0" xfId="126" applyFont="1"/>
    <xf numFmtId="0" fontId="7" fillId="0" borderId="0" xfId="126" applyFont="1" applyBorder="1"/>
    <xf numFmtId="0" fontId="7" fillId="0" borderId="0" xfId="126" applyFill="1" applyAlignment="1">
      <alignment horizontal="center"/>
    </xf>
    <xf numFmtId="0" fontId="7" fillId="0" borderId="0" xfId="126"/>
    <xf numFmtId="0" fontId="11" fillId="0" borderId="0" xfId="126" applyFont="1" applyAlignment="1">
      <alignment horizontal="center"/>
    </xf>
    <xf numFmtId="0" fontId="7" fillId="0" borderId="0" xfId="126" applyBorder="1"/>
    <xf numFmtId="0" fontId="8" fillId="0" borderId="0" xfId="126" applyFont="1" applyAlignment="1">
      <alignment horizontal="right"/>
    </xf>
    <xf numFmtId="0" fontId="7" fillId="0" borderId="0" xfId="126" applyFont="1" applyAlignment="1">
      <alignment horizontal="left" indent="1"/>
    </xf>
    <xf numFmtId="0" fontId="8" fillId="34" borderId="0" xfId="127" applyFont="1" applyFill="1"/>
    <xf numFmtId="0" fontId="7" fillId="36" borderId="0" xfId="127" applyFont="1" applyFill="1"/>
    <xf numFmtId="0" fontId="7" fillId="0" borderId="0" xfId="126" applyFill="1"/>
    <xf numFmtId="164" fontId="7" fillId="0" borderId="0" xfId="126" applyNumberFormat="1"/>
    <xf numFmtId="0" fontId="11" fillId="0" borderId="0" xfId="126" quotePrefix="1" applyFont="1" applyAlignment="1">
      <alignment horizontal="center"/>
    </xf>
    <xf numFmtId="0" fontId="7" fillId="0" borderId="0" xfId="126" applyFont="1" applyAlignment="1">
      <alignment horizontal="center"/>
    </xf>
    <xf numFmtId="0" fontId="7" fillId="0" borderId="0" xfId="126" applyAlignment="1"/>
    <xf numFmtId="0" fontId="7" fillId="0" borderId="0" xfId="126" quotePrefix="1" applyFont="1" applyBorder="1" applyAlignment="1">
      <alignment horizontal="center" wrapText="1"/>
    </xf>
    <xf numFmtId="0" fontId="7" fillId="0" borderId="0" xfId="126" applyFill="1" applyAlignment="1"/>
    <xf numFmtId="0" fontId="7" fillId="0" borderId="0" xfId="126" applyAlignment="1">
      <alignment vertical="center" wrapText="1"/>
    </xf>
    <xf numFmtId="0" fontId="11" fillId="0" borderId="0" xfId="126" quotePrefix="1" applyFont="1" applyAlignment="1">
      <alignment horizontal="center" vertical="center" wrapText="1"/>
    </xf>
    <xf numFmtId="0" fontId="7" fillId="0" borderId="6" xfId="126" quotePrefix="1" applyFont="1" applyBorder="1" applyAlignment="1">
      <alignment horizontal="center" vertical="center" wrapText="1"/>
    </xf>
    <xf numFmtId="0" fontId="7" fillId="0" borderId="0" xfId="126" applyFill="1" applyAlignment="1">
      <alignment horizontal="center" vertical="center" wrapText="1"/>
    </xf>
    <xf numFmtId="0" fontId="7" fillId="0" borderId="0" xfId="126" applyFill="1" applyAlignment="1">
      <alignment vertical="center" wrapText="1"/>
    </xf>
    <xf numFmtId="0" fontId="8" fillId="0" borderId="3" xfId="126" applyFont="1" applyFill="1" applyBorder="1" applyAlignment="1">
      <alignment horizontal="center" wrapText="1"/>
    </xf>
    <xf numFmtId="0" fontId="8" fillId="0" borderId="3" xfId="126" quotePrefix="1" applyFont="1" applyBorder="1" applyAlignment="1">
      <alignment horizontal="center" wrapText="1"/>
    </xf>
    <xf numFmtId="0" fontId="8" fillId="0" borderId="6" xfId="126" applyFont="1" applyBorder="1" applyAlignment="1">
      <alignment horizontal="center" wrapText="1"/>
    </xf>
    <xf numFmtId="0" fontId="8" fillId="0" borderId="3" xfId="126" applyFont="1" applyFill="1" applyBorder="1" applyAlignment="1">
      <alignment horizontal="center"/>
    </xf>
    <xf numFmtId="0" fontId="8" fillId="0" borderId="4" xfId="126" applyFont="1" applyBorder="1" applyAlignment="1">
      <alignment horizontal="center" wrapText="1"/>
    </xf>
    <xf numFmtId="0" fontId="8" fillId="0" borderId="3" xfId="126" applyFont="1" applyBorder="1" applyAlignment="1">
      <alignment horizontal="center" wrapText="1"/>
    </xf>
    <xf numFmtId="0" fontId="8" fillId="0" borderId="0" xfId="126" applyFont="1" applyAlignment="1">
      <alignment horizontal="center"/>
    </xf>
    <xf numFmtId="10" fontId="7" fillId="0" borderId="0" xfId="126" applyNumberFormat="1"/>
    <xf numFmtId="173" fontId="7" fillId="0" borderId="0" xfId="126" applyNumberFormat="1" applyAlignment="1">
      <alignment horizontal="center"/>
    </xf>
    <xf numFmtId="0" fontId="7" fillId="0" borderId="0" xfId="126" quotePrefix="1" applyNumberFormat="1" applyFont="1" applyAlignment="1">
      <alignment horizontal="center"/>
    </xf>
    <xf numFmtId="10" fontId="7" fillId="0" borderId="0" xfId="126" applyNumberFormat="1" applyBorder="1"/>
    <xf numFmtId="0" fontId="7" fillId="0" borderId="0" xfId="126" quotePrefix="1" applyNumberFormat="1" applyFont="1" applyBorder="1" applyAlignment="1">
      <alignment horizontal="center"/>
    </xf>
    <xf numFmtId="166" fontId="7" fillId="0" borderId="0" xfId="126" applyNumberFormat="1"/>
    <xf numFmtId="3" fontId="30" fillId="0" borderId="0" xfId="131" applyNumberFormat="1" applyFill="1" applyBorder="1"/>
    <xf numFmtId="3" fontId="30" fillId="0" borderId="0" xfId="132" applyNumberFormat="1" applyFill="1"/>
    <xf numFmtId="0" fontId="7" fillId="0" borderId="0" xfId="126" applyFill="1" applyBorder="1"/>
    <xf numFmtId="166" fontId="7" fillId="0" borderId="0" xfId="126" applyNumberFormat="1" applyFill="1"/>
    <xf numFmtId="3" fontId="30" fillId="0" borderId="0" xfId="130" applyNumberFormat="1" applyFill="1" applyBorder="1" applyAlignment="1">
      <alignment horizontal="center"/>
    </xf>
    <xf numFmtId="0" fontId="7" fillId="0" borderId="0" xfId="126" applyFill="1" applyBorder="1" applyAlignment="1">
      <alignment horizontal="center"/>
    </xf>
    <xf numFmtId="0" fontId="7" fillId="0" borderId="0" xfId="126" applyAlignment="1">
      <alignment horizontal="left" indent="1"/>
    </xf>
    <xf numFmtId="164" fontId="7" fillId="0" borderId="0" xfId="126" applyNumberFormat="1" applyFont="1"/>
    <xf numFmtId="179" fontId="7" fillId="34" borderId="0" xfId="35" quotePrefix="1" applyNumberFormat="1" applyFont="1" applyFill="1" applyAlignment="1">
      <alignment horizontal="left"/>
    </xf>
    <xf numFmtId="3" fontId="30" fillId="36" borderId="0" xfId="128" applyNumberFormat="1" applyFill="1"/>
    <xf numFmtId="3" fontId="30" fillId="36" borderId="0" xfId="129" applyNumberFormat="1" applyFill="1"/>
    <xf numFmtId="3" fontId="30" fillId="36" borderId="0" xfId="130" applyNumberFormat="1" applyFill="1"/>
    <xf numFmtId="0" fontId="7" fillId="0" borderId="0" xfId="126" applyAlignment="1">
      <alignment horizontal="center"/>
    </xf>
    <xf numFmtId="3" fontId="7" fillId="0" borderId="0" xfId="126" applyNumberFormat="1" applyFill="1"/>
    <xf numFmtId="3" fontId="30" fillId="0" borderId="0" xfId="129" applyNumberFormat="1" applyFill="1"/>
    <xf numFmtId="0" fontId="7" fillId="0" borderId="0" xfId="126" applyFont="1" applyAlignment="1">
      <alignment horizontal="center" vertical="center" wrapText="1"/>
    </xf>
    <xf numFmtId="0" fontId="7" fillId="0" borderId="0" xfId="126" quotePrefix="1" applyFont="1" applyAlignment="1">
      <alignment horizontal="center" vertical="center" wrapText="1"/>
    </xf>
    <xf numFmtId="0" fontId="11" fillId="0" borderId="0" xfId="126" quotePrefix="1" applyFont="1" applyBorder="1" applyAlignment="1">
      <alignment horizontal="center"/>
    </xf>
    <xf numFmtId="2" fontId="8" fillId="0" borderId="3" xfId="126" applyNumberFormat="1" applyFont="1" applyFill="1" applyBorder="1" applyAlignment="1">
      <alignment horizontal="center" wrapText="1"/>
    </xf>
    <xf numFmtId="2" fontId="8" fillId="0" borderId="3" xfId="126" applyNumberFormat="1" applyFont="1" applyBorder="1" applyAlignment="1">
      <alignment horizontal="center" wrapText="1"/>
    </xf>
    <xf numFmtId="2" fontId="7" fillId="0" borderId="0" xfId="126" applyNumberFormat="1" applyFont="1" applyAlignment="1">
      <alignment horizontal="center" wrapText="1"/>
    </xf>
    <xf numFmtId="2" fontId="8" fillId="0" borderId="0" xfId="126" applyNumberFormat="1" applyFont="1" applyAlignment="1">
      <alignment horizontal="center"/>
    </xf>
    <xf numFmtId="2" fontId="7" fillId="34" borderId="0" xfId="35" applyNumberFormat="1" applyFont="1" applyFill="1" applyAlignment="1">
      <alignment horizontal="left"/>
    </xf>
    <xf numFmtId="2" fontId="7" fillId="0" borderId="0" xfId="126" applyNumberFormat="1" applyFont="1"/>
    <xf numFmtId="2" fontId="7" fillId="0" borderId="0" xfId="126" applyNumberFormat="1" applyFont="1" applyFill="1" applyAlignment="1">
      <alignment horizontal="center"/>
    </xf>
    <xf numFmtId="179" fontId="59" fillId="0" borderId="0" xfId="35" applyNumberFormat="1" applyFont="1" applyFill="1" applyAlignment="1">
      <alignment horizontal="left"/>
    </xf>
    <xf numFmtId="0" fontId="8" fillId="0" borderId="0" xfId="126" applyFont="1" applyAlignment="1">
      <alignment horizontal="center" vertical="center" wrapText="1"/>
    </xf>
    <xf numFmtId="0" fontId="7" fillId="0" borderId="0" xfId="126" quotePrefix="1" applyFont="1" applyAlignment="1">
      <alignment horizontal="center"/>
    </xf>
    <xf numFmtId="0" fontId="7" fillId="0" borderId="0" xfId="126" applyFont="1" applyFill="1" applyAlignment="1">
      <alignment horizontal="center"/>
    </xf>
    <xf numFmtId="179" fontId="8" fillId="0" borderId="3" xfId="35" applyNumberFormat="1" applyFont="1" applyFill="1" applyBorder="1" applyAlignment="1">
      <alignment horizontal="center"/>
    </xf>
    <xf numFmtId="173" fontId="7" fillId="0" borderId="0" xfId="126" quotePrefix="1" applyNumberFormat="1" applyFill="1" applyAlignment="1">
      <alignment horizontal="center"/>
    </xf>
    <xf numFmtId="164" fontId="7" fillId="0" borderId="0" xfId="126" applyNumberFormat="1" applyAlignment="1">
      <alignment horizontal="right"/>
    </xf>
    <xf numFmtId="173" fontId="7" fillId="0" borderId="0" xfId="126" applyNumberFormat="1" applyFill="1" applyAlignment="1">
      <alignment horizontal="center"/>
    </xf>
    <xf numFmtId="164" fontId="7" fillId="0" borderId="0" xfId="126" applyNumberFormat="1" applyBorder="1"/>
    <xf numFmtId="0" fontId="11" fillId="0" borderId="0" xfId="126" applyFont="1"/>
    <xf numFmtId="0" fontId="7" fillId="0" borderId="0" xfId="126" applyFont="1" applyFill="1"/>
    <xf numFmtId="0" fontId="7" fillId="0" borderId="0" xfId="126" applyAlignment="1">
      <alignment horizontal="left"/>
    </xf>
    <xf numFmtId="0" fontId="8" fillId="0" borderId="6" xfId="126" applyFont="1" applyFill="1" applyBorder="1"/>
    <xf numFmtId="0" fontId="7" fillId="0" borderId="9" xfId="126" applyFont="1" applyFill="1" applyBorder="1"/>
    <xf numFmtId="0" fontId="7" fillId="0" borderId="4" xfId="126" applyFont="1" applyFill="1" applyBorder="1"/>
    <xf numFmtId="179" fontId="7" fillId="36" borderId="0" xfId="35" applyNumberFormat="1" applyFont="1" applyFill="1" applyAlignment="1">
      <alignment horizontal="left"/>
    </xf>
    <xf numFmtId="0" fontId="7" fillId="36" borderId="0" xfId="35" applyFont="1" applyFill="1" applyAlignment="1">
      <alignment horizontal="left" vertical="top" indent="1"/>
    </xf>
    <xf numFmtId="0" fontId="7" fillId="36" borderId="0" xfId="126" applyFont="1" applyFill="1"/>
    <xf numFmtId="0" fontId="7" fillId="36" borderId="0" xfId="126" applyFill="1"/>
    <xf numFmtId="179" fontId="7" fillId="36" borderId="0" xfId="35" quotePrefix="1" applyNumberFormat="1" applyFont="1" applyFill="1" applyAlignment="1">
      <alignment horizontal="left"/>
    </xf>
    <xf numFmtId="0" fontId="11" fillId="0" borderId="0" xfId="126" quotePrefix="1" applyFont="1" applyFill="1" applyAlignment="1">
      <alignment horizontal="center"/>
    </xf>
    <xf numFmtId="0" fontId="8" fillId="0" borderId="0" xfId="126" applyFont="1" applyAlignment="1">
      <alignment horizontal="center" vertical="center"/>
    </xf>
    <xf numFmtId="0" fontId="11" fillId="0" borderId="0" xfId="126" quotePrefix="1" applyFont="1" applyFill="1" applyAlignment="1">
      <alignment horizontal="center" vertical="center" wrapText="1"/>
    </xf>
    <xf numFmtId="0" fontId="7" fillId="0" borderId="0" xfId="126" applyAlignment="1">
      <alignment wrapText="1"/>
    </xf>
    <xf numFmtId="0" fontId="11" fillId="0" borderId="0" xfId="126" quotePrefix="1" applyFont="1" applyAlignment="1">
      <alignment horizontal="center" wrapText="1"/>
    </xf>
    <xf numFmtId="0" fontId="7" fillId="0" borderId="0" xfId="126" quotePrefix="1" applyFont="1" applyAlignment="1">
      <alignment horizontal="center" vertical="top" wrapText="1"/>
    </xf>
    <xf numFmtId="0" fontId="11" fillId="0" borderId="0" xfId="126" quotePrefix="1" applyFont="1" applyFill="1" applyAlignment="1">
      <alignment horizontal="center" wrapText="1"/>
    </xf>
    <xf numFmtId="0" fontId="7" fillId="0" borderId="7" xfId="126" applyFill="1" applyBorder="1"/>
    <xf numFmtId="0" fontId="8" fillId="34" borderId="7" xfId="126" applyFont="1" applyFill="1" applyBorder="1" applyAlignment="1">
      <alignment horizontal="center" wrapText="1"/>
    </xf>
    <xf numFmtId="0" fontId="7" fillId="0" borderId="7" xfId="126" applyBorder="1"/>
    <xf numFmtId="0" fontId="11" fillId="0" borderId="7" xfId="126" quotePrefix="1" applyFont="1" applyBorder="1" applyAlignment="1">
      <alignment horizontal="center"/>
    </xf>
    <xf numFmtId="0" fontId="8" fillId="0" borderId="5" xfId="126" applyFont="1" applyFill="1" applyBorder="1" applyAlignment="1">
      <alignment horizontal="center" wrapText="1"/>
    </xf>
    <xf numFmtId="0" fontId="8" fillId="34" borderId="5" xfId="126" applyFont="1" applyFill="1" applyBorder="1" applyAlignment="1">
      <alignment horizontal="center" wrapText="1"/>
    </xf>
    <xf numFmtId="3" fontId="7" fillId="36" borderId="0" xfId="126" applyNumberFormat="1" applyFill="1"/>
    <xf numFmtId="3" fontId="7" fillId="0" borderId="0" xfId="126" applyNumberFormat="1"/>
    <xf numFmtId="174" fontId="0" fillId="36" borderId="0" xfId="0" applyNumberFormat="1" applyFill="1" applyAlignment="1">
      <alignment horizontal="center"/>
    </xf>
    <xf numFmtId="167" fontId="40" fillId="36" borderId="0" xfId="133" applyNumberFormat="1" applyFont="1" applyFill="1"/>
    <xf numFmtId="2" fontId="7" fillId="0" borderId="0" xfId="126" applyNumberFormat="1" applyFont="1" applyBorder="1"/>
    <xf numFmtId="164" fontId="39" fillId="0" borderId="0" xfId="135" applyNumberFormat="1" applyFont="1" applyFill="1"/>
    <xf numFmtId="164" fontId="61" fillId="0" borderId="0" xfId="135" applyNumberFormat="1" applyFont="1" applyFill="1"/>
    <xf numFmtId="0" fontId="9" fillId="0" borderId="0" xfId="0" applyFont="1" applyFill="1" applyAlignment="1">
      <alignment horizontal="center"/>
    </xf>
    <xf numFmtId="164" fontId="44" fillId="0" borderId="0" xfId="135" applyNumberFormat="1" applyFont="1" applyFill="1"/>
    <xf numFmtId="0" fontId="8" fillId="0" borderId="3" xfId="28" applyFont="1" applyFill="1" applyBorder="1" applyAlignment="1">
      <alignment horizontal="center"/>
    </xf>
    <xf numFmtId="0" fontId="7" fillId="0" borderId="0" xfId="28" applyNumberFormat="1" applyFont="1" applyFill="1" applyAlignment="1">
      <alignment horizontal="center" vertical="center"/>
    </xf>
    <xf numFmtId="167" fontId="7" fillId="0" borderId="0" xfId="28" applyNumberFormat="1" applyFont="1" applyFill="1"/>
    <xf numFmtId="43" fontId="7" fillId="0" borderId="0" xfId="0" applyNumberFormat="1" applyFont="1"/>
    <xf numFmtId="0" fontId="7" fillId="0" borderId="0" xfId="0" applyNumberFormat="1" applyFont="1"/>
    <xf numFmtId="0" fontId="7" fillId="0" borderId="0" xfId="28" applyFont="1" applyAlignment="1">
      <alignment horizontal="center"/>
    </xf>
    <xf numFmtId="167" fontId="7" fillId="0" borderId="0" xfId="22" applyNumberFormat="1" applyFont="1"/>
    <xf numFmtId="167" fontId="7" fillId="0" borderId="0" xfId="28" applyNumberFormat="1" applyFont="1"/>
    <xf numFmtId="0" fontId="7" fillId="36" borderId="0" xfId="28" applyFont="1" applyFill="1"/>
    <xf numFmtId="0" fontId="7" fillId="36" borderId="0" xfId="28" applyNumberFormat="1" applyFont="1" applyFill="1"/>
    <xf numFmtId="167" fontId="7" fillId="36" borderId="0" xfId="28" quotePrefix="1" applyNumberFormat="1" applyFont="1" applyFill="1" applyBorder="1" applyAlignment="1">
      <alignment horizontal="center"/>
    </xf>
    <xf numFmtId="167" fontId="7" fillId="0" borderId="8" xfId="28" applyNumberFormat="1" applyFont="1" applyBorder="1" applyAlignment="1">
      <alignment horizontal="center"/>
    </xf>
    <xf numFmtId="0" fontId="7" fillId="0" borderId="0" xfId="28" applyFont="1" applyFill="1" applyBorder="1"/>
    <xf numFmtId="167" fontId="7" fillId="0" borderId="0" xfId="22" applyNumberFormat="1" applyFont="1" applyFill="1" applyBorder="1"/>
    <xf numFmtId="0" fontId="7" fillId="0" borderId="0" xfId="22" applyNumberFormat="1" applyFont="1" applyFill="1" applyBorder="1" applyAlignment="1">
      <alignment horizontal="center"/>
    </xf>
    <xf numFmtId="167" fontId="7" fillId="0" borderId="0" xfId="28" applyNumberFormat="1" applyFont="1" applyBorder="1" applyAlignment="1">
      <alignment horizontal="center"/>
    </xf>
    <xf numFmtId="167" fontId="7" fillId="0" borderId="0" xfId="22" applyNumberFormat="1" applyFont="1" applyBorder="1"/>
    <xf numFmtId="167" fontId="7" fillId="0" borderId="0" xfId="22" applyNumberFormat="1" applyFont="1" applyFill="1" applyBorder="1" applyAlignment="1">
      <alignment horizontal="center"/>
    </xf>
    <xf numFmtId="167" fontId="7" fillId="0" borderId="0" xfId="28" applyNumberFormat="1" applyFont="1" applyFill="1" applyBorder="1"/>
    <xf numFmtId="167" fontId="7" fillId="0" borderId="8" xfId="28" quotePrefix="1" applyNumberFormat="1" applyFont="1" applyFill="1" applyBorder="1" applyAlignment="1">
      <alignment horizontal="center"/>
    </xf>
    <xf numFmtId="0" fontId="7" fillId="0" borderId="0" xfId="22" applyNumberFormat="1" applyFont="1" applyFill="1" applyBorder="1"/>
    <xf numFmtId="0" fontId="7" fillId="0" borderId="0" xfId="28" applyNumberFormat="1" applyFont="1" applyFill="1" applyBorder="1"/>
    <xf numFmtId="0" fontId="7" fillId="0" borderId="0" xfId="28" applyFont="1" applyBorder="1" applyAlignment="1">
      <alignment horizontal="center"/>
    </xf>
    <xf numFmtId="167" fontId="7" fillId="0" borderId="0" xfId="28" applyNumberFormat="1" applyFont="1" applyFill="1" applyBorder="1" applyAlignment="1"/>
    <xf numFmtId="167" fontId="7" fillId="0" borderId="0" xfId="22" applyNumberFormat="1" applyFont="1" applyFill="1" applyBorder="1" applyAlignment="1">
      <alignment horizontal="center" wrapText="1"/>
    </xf>
    <xf numFmtId="0" fontId="7" fillId="0" borderId="0" xfId="0" quotePrefix="1" applyFont="1" applyFill="1" applyAlignment="1"/>
    <xf numFmtId="167" fontId="7" fillId="0" borderId="8" xfId="28" applyNumberFormat="1" applyFont="1" applyFill="1" applyBorder="1"/>
    <xf numFmtId="170" fontId="7" fillId="0" borderId="8" xfId="37" applyNumberFormat="1" applyFont="1" applyFill="1" applyBorder="1" applyAlignment="1">
      <alignment horizontal="center" wrapText="1"/>
    </xf>
    <xf numFmtId="167" fontId="7" fillId="0" borderId="8" xfId="22" applyNumberFormat="1" applyFont="1" applyFill="1" applyBorder="1" applyAlignment="1">
      <alignment horizontal="center" wrapText="1"/>
    </xf>
    <xf numFmtId="0" fontId="7" fillId="0" borderId="0" xfId="39" applyNumberFormat="1" applyFont="1" applyFill="1" applyBorder="1" applyAlignment="1">
      <alignment horizontal="center" wrapText="1"/>
    </xf>
    <xf numFmtId="170" fontId="7" fillId="0" borderId="0" xfId="39" applyNumberFormat="1" applyFont="1" applyFill="1" applyBorder="1" applyAlignment="1">
      <alignment horizontal="center" wrapText="1"/>
    </xf>
    <xf numFmtId="0" fontId="7" fillId="0" borderId="0" xfId="28" applyNumberFormat="1" applyFont="1" applyFill="1"/>
    <xf numFmtId="0" fontId="7" fillId="0" borderId="0" xfId="28" applyFont="1" applyFill="1" applyBorder="1" applyAlignment="1">
      <alignment vertical="top"/>
    </xf>
    <xf numFmtId="0" fontId="7" fillId="0" borderId="0" xfId="28" applyFont="1" applyFill="1" applyAlignment="1">
      <alignment horizontal="center"/>
    </xf>
    <xf numFmtId="167" fontId="7" fillId="0" borderId="0" xfId="22" applyNumberFormat="1" applyFont="1" applyFill="1"/>
    <xf numFmtId="0" fontId="7" fillId="0" borderId="0" xfId="28" applyFont="1" applyFill="1" applyBorder="1" applyAlignment="1">
      <alignment vertical="top" wrapText="1"/>
    </xf>
    <xf numFmtId="0" fontId="7" fillId="0" borderId="0" xfId="28" applyFont="1" applyFill="1" applyBorder="1" applyAlignment="1" applyProtection="1">
      <alignment horizontal="left" vertical="top" indent="1"/>
      <protection locked="0"/>
    </xf>
    <xf numFmtId="0" fontId="7" fillId="36" borderId="0" xfId="28" applyFont="1" applyFill="1" applyBorder="1" applyAlignment="1" applyProtection="1">
      <alignment horizontal="left" indent="1"/>
      <protection locked="0"/>
    </xf>
    <xf numFmtId="0" fontId="7" fillId="36" borderId="0" xfId="28" applyFont="1" applyFill="1" applyAlignment="1">
      <alignment horizontal="center"/>
    </xf>
    <xf numFmtId="167" fontId="7" fillId="36" borderId="0" xfId="22" applyNumberFormat="1" applyFont="1" applyFill="1"/>
    <xf numFmtId="0" fontId="7" fillId="0" borderId="0" xfId="28" applyFont="1" applyFill="1" applyAlignment="1">
      <alignment horizontal="left" indent="1"/>
    </xf>
    <xf numFmtId="0" fontId="11" fillId="0" borderId="0" xfId="0" applyFont="1" applyFill="1"/>
    <xf numFmtId="10" fontId="7" fillId="0" borderId="0" xfId="0" applyNumberFormat="1" applyFont="1"/>
    <xf numFmtId="0" fontId="8" fillId="0" borderId="3" xfId="28" applyFont="1" applyFill="1" applyBorder="1" applyAlignment="1">
      <alignment horizontal="center"/>
    </xf>
    <xf numFmtId="0" fontId="10" fillId="0" borderId="6" xfId="0" applyFont="1" applyFill="1" applyBorder="1" applyAlignment="1">
      <alignment horizontal="left"/>
    </xf>
    <xf numFmtId="0" fontId="0" fillId="0" borderId="0" xfId="0" applyFill="1" applyAlignment="1">
      <alignment horizontal="center"/>
    </xf>
    <xf numFmtId="0" fontId="7" fillId="0" borderId="0" xfId="100" quotePrefix="1" applyFill="1"/>
    <xf numFmtId="0" fontId="40" fillId="0" borderId="0" xfId="0" applyFont="1" applyFill="1" applyAlignment="1">
      <alignment horizontal="right"/>
    </xf>
    <xf numFmtId="0" fontId="11" fillId="0" borderId="0" xfId="108" applyFont="1" applyFill="1" applyAlignment="1">
      <alignment horizontal="center"/>
    </xf>
    <xf numFmtId="0" fontId="11" fillId="0" borderId="0" xfId="108" applyFont="1" applyFill="1" applyAlignment="1">
      <alignment horizontal="left"/>
    </xf>
    <xf numFmtId="0" fontId="38" fillId="0" borderId="0" xfId="0" applyFont="1" applyFill="1"/>
    <xf numFmtId="0" fontId="8" fillId="0" borderId="0" xfId="108" applyFont="1" applyFill="1" applyAlignment="1"/>
    <xf numFmtId="0" fontId="7" fillId="0" borderId="0" xfId="0" applyFont="1" applyFill="1" applyAlignment="1"/>
    <xf numFmtId="0" fontId="11" fillId="0" borderId="0" xfId="108" applyFont="1" applyFill="1" applyAlignment="1"/>
    <xf numFmtId="0" fontId="7" fillId="0" borderId="0" xfId="108" applyFont="1" applyFill="1" applyAlignment="1">
      <alignment horizontal="left" indent="1"/>
    </xf>
    <xf numFmtId="0" fontId="7" fillId="0" borderId="0" xfId="0" applyFont="1" applyFill="1" applyAlignment="1">
      <alignment horizontal="right"/>
    </xf>
    <xf numFmtId="0" fontId="7" fillId="0" borderId="0" xfId="0" applyFont="1" applyFill="1" applyAlignment="1">
      <alignment horizontal="left"/>
    </xf>
    <xf numFmtId="0" fontId="8" fillId="0" borderId="0" xfId="0" applyFont="1" applyFill="1" applyAlignment="1">
      <alignment horizontal="left" indent="1"/>
    </xf>
    <xf numFmtId="0" fontId="7" fillId="0" borderId="0" xfId="0" quotePrefix="1" applyFont="1" applyFill="1" applyAlignment="1">
      <alignment horizontal="left" indent="1"/>
    </xf>
    <xf numFmtId="0" fontId="41" fillId="0" borderId="0" xfId="0" applyFont="1" applyFill="1" applyAlignment="1">
      <alignment horizontal="left" indent="1"/>
    </xf>
    <xf numFmtId="168" fontId="7" fillId="0" borderId="0" xfId="0" applyNumberFormat="1" applyFont="1" applyFill="1" applyAlignment="1">
      <alignment horizontal="left" indent="1"/>
    </xf>
    <xf numFmtId="0" fontId="8" fillId="0" borderId="0" xfId="0" quotePrefix="1" applyFont="1" applyFill="1" applyAlignment="1">
      <alignment horizontal="center"/>
    </xf>
    <xf numFmtId="0" fontId="7" fillId="0" borderId="0" xfId="0" applyNumberFormat="1" applyFont="1" applyFill="1" applyAlignment="1">
      <alignment horizontal="left"/>
    </xf>
    <xf numFmtId="0" fontId="7" fillId="0" borderId="0" xfId="0" applyFont="1" applyFill="1" applyBorder="1" applyAlignment="1">
      <alignment horizontal="left"/>
    </xf>
    <xf numFmtId="0" fontId="7" fillId="0" borderId="0" xfId="0" applyFont="1" applyFill="1" applyBorder="1" applyAlignment="1">
      <alignment horizontal="left" indent="1"/>
    </xf>
    <xf numFmtId="171" fontId="0" fillId="0" borderId="0" xfId="0" applyNumberFormat="1" applyFill="1"/>
    <xf numFmtId="0" fontId="0" fillId="0" borderId="0" xfId="0" quotePrefix="1" applyFill="1"/>
    <xf numFmtId="0" fontId="0" fillId="0" borderId="0" xfId="0" applyFill="1" applyAlignment="1">
      <alignment horizontal="left"/>
    </xf>
    <xf numFmtId="170" fontId="0" fillId="0" borderId="0" xfId="0" applyNumberFormat="1" applyFill="1"/>
    <xf numFmtId="0" fontId="11" fillId="0" borderId="0" xfId="0" applyFont="1" applyFill="1" applyAlignment="1"/>
    <xf numFmtId="0" fontId="18" fillId="0" borderId="0" xfId="28" applyFont="1" applyFill="1"/>
    <xf numFmtId="0" fontId="18" fillId="0" borderId="0" xfId="100" applyFont="1" applyFill="1"/>
    <xf numFmtId="42" fontId="10" fillId="0" borderId="0" xfId="39" applyNumberFormat="1" applyFont="1" applyFill="1"/>
    <xf numFmtId="42" fontId="10" fillId="0" borderId="0" xfId="28" applyNumberFormat="1" applyFont="1" applyFill="1"/>
    <xf numFmtId="0" fontId="8" fillId="0" borderId="0" xfId="28" applyFont="1" applyFill="1" applyAlignment="1">
      <alignment horizontal="center" wrapText="1"/>
    </xf>
    <xf numFmtId="0" fontId="11" fillId="0" borderId="0" xfId="28" applyFont="1" applyFill="1"/>
    <xf numFmtId="0" fontId="7" fillId="0" borderId="0" xfId="28" applyFont="1" applyFill="1" applyAlignment="1">
      <alignment vertical="center"/>
    </xf>
    <xf numFmtId="0" fontId="7" fillId="0" borderId="0" xfId="28" quotePrefix="1" applyFont="1" applyFill="1"/>
    <xf numFmtId="0" fontId="8" fillId="0" borderId="0" xfId="28" applyFont="1" applyFill="1" applyAlignment="1">
      <alignment horizontal="right" vertical="center"/>
    </xf>
    <xf numFmtId="0" fontId="8" fillId="0" borderId="0" xfId="28" applyFont="1" applyFill="1" applyAlignment="1">
      <alignment horizontal="right"/>
    </xf>
    <xf numFmtId="0" fontId="41" fillId="0" borderId="0" xfId="0" applyFont="1" applyFill="1" applyAlignment="1">
      <alignment horizontal="left"/>
    </xf>
    <xf numFmtId="0" fontId="7" fillId="0" borderId="0" xfId="0" applyFont="1" applyFill="1" applyAlignment="1">
      <alignment horizontal="left" indent="2"/>
    </xf>
    <xf numFmtId="0" fontId="41" fillId="0" borderId="0" xfId="0" applyFont="1" applyFill="1"/>
    <xf numFmtId="0" fontId="16" fillId="0" borderId="0" xfId="27" applyFill="1" applyAlignment="1" applyProtection="1"/>
    <xf numFmtId="0" fontId="7" fillId="0" borderId="0" xfId="0" quotePrefix="1" applyFont="1" applyFill="1" applyAlignment="1">
      <alignment horizontal="right"/>
    </xf>
    <xf numFmtId="0" fontId="7" fillId="0" borderId="0" xfId="0" quotePrefix="1" applyFont="1" applyFill="1" applyAlignment="1">
      <alignment horizontal="left" indent="2"/>
    </xf>
    <xf numFmtId="0" fontId="7" fillId="0" borderId="0" xfId="0" applyFont="1" applyFill="1" applyAlignment="1">
      <alignment horizontal="left" indent="3"/>
    </xf>
    <xf numFmtId="0" fontId="10" fillId="0" borderId="0" xfId="0" applyFont="1" applyFill="1" applyAlignment="1">
      <alignment horizontal="left" indent="4"/>
    </xf>
    <xf numFmtId="0" fontId="40" fillId="0" borderId="0" xfId="0" applyFont="1" applyFill="1" applyAlignment="1">
      <alignment horizontal="left"/>
    </xf>
    <xf numFmtId="0" fontId="10" fillId="0" borderId="0" xfId="0" quotePrefix="1" applyFont="1" applyFill="1" applyAlignment="1">
      <alignment horizontal="left" indent="2"/>
    </xf>
    <xf numFmtId="0" fontId="14" fillId="0" borderId="0" xfId="0" applyFont="1" applyFill="1" applyAlignment="1">
      <alignment horizontal="left"/>
    </xf>
    <xf numFmtId="0" fontId="10" fillId="0" borderId="0" xfId="28" applyFont="1" applyFill="1" applyBorder="1" applyAlignment="1">
      <alignment horizontal="left" indent="1"/>
    </xf>
    <xf numFmtId="0" fontId="8" fillId="0" borderId="0" xfId="0" applyNumberFormat="1" applyFont="1" applyFill="1" applyAlignment="1">
      <alignment horizontal="left"/>
    </xf>
    <xf numFmtId="10" fontId="7" fillId="0" borderId="0" xfId="0" quotePrefix="1" applyNumberFormat="1" applyFont="1" applyFill="1" applyAlignment="1">
      <alignment horizontal="right"/>
    </xf>
    <xf numFmtId="3" fontId="0" fillId="0" borderId="0" xfId="0" applyNumberFormat="1" applyFill="1" applyAlignment="1">
      <alignment horizontal="center"/>
    </xf>
    <xf numFmtId="0" fontId="39" fillId="0" borderId="0" xfId="0" applyFont="1" applyFill="1"/>
    <xf numFmtId="0" fontId="53" fillId="0" borderId="0" xfId="0" applyFont="1" applyFill="1" applyAlignment="1">
      <alignment horizontal="left" vertical="center"/>
    </xf>
    <xf numFmtId="0" fontId="8" fillId="0" borderId="0" xfId="34" applyFont="1" applyFill="1"/>
    <xf numFmtId="0" fontId="10" fillId="0" borderId="0" xfId="34" applyFont="1" applyFill="1"/>
    <xf numFmtId="0" fontId="7" fillId="0" borderId="0" xfId="34" applyFont="1" applyFill="1" applyAlignment="1">
      <alignment horizontal="right"/>
    </xf>
    <xf numFmtId="0" fontId="42" fillId="0" borderId="0" xfId="0" applyFont="1" applyFill="1" applyAlignment="1">
      <alignment horizontal="left" indent="1"/>
    </xf>
    <xf numFmtId="0" fontId="7" fillId="0" borderId="0" xfId="100" applyFont="1" applyFill="1" applyAlignment="1">
      <alignment horizontal="left" indent="1"/>
    </xf>
    <xf numFmtId="0" fontId="40" fillId="0" borderId="0" xfId="0" quotePrefix="1" applyFont="1" applyFill="1" applyAlignment="1">
      <alignment horizontal="center"/>
    </xf>
    <xf numFmtId="0" fontId="46" fillId="0" borderId="0" xfId="0" applyFont="1" applyFill="1"/>
    <xf numFmtId="0" fontId="7" fillId="0" borderId="0" xfId="100" applyFont="1" applyFill="1" applyBorder="1" applyAlignment="1"/>
    <xf numFmtId="0" fontId="10" fillId="0" borderId="0" xfId="28" applyFont="1" applyFill="1" applyBorder="1" applyAlignment="1">
      <alignment horizontal="right"/>
    </xf>
    <xf numFmtId="166" fontId="40" fillId="0" borderId="0" xfId="0" applyNumberFormat="1" applyFont="1" applyFill="1"/>
    <xf numFmtId="0" fontId="11" fillId="0" borderId="0" xfId="0" quotePrefix="1" applyFont="1" applyFill="1" applyAlignment="1">
      <alignment horizontal="center" vertical="top"/>
    </xf>
    <xf numFmtId="0" fontId="8" fillId="0" borderId="7" xfId="28" applyFont="1" applyFill="1" applyBorder="1" applyAlignment="1">
      <alignment horizontal="center"/>
    </xf>
    <xf numFmtId="0" fontId="8" fillId="0" borderId="0" xfId="0" applyFont="1" applyFill="1" applyAlignment="1">
      <alignment horizontal="center" vertical="justify"/>
    </xf>
    <xf numFmtId="0" fontId="7" fillId="0" borderId="0" xfId="28" applyFont="1" applyFill="1" applyAlignment="1">
      <alignment vertical="justify"/>
    </xf>
    <xf numFmtId="0" fontId="7" fillId="0" borderId="0" xfId="28" applyFont="1" applyFill="1" applyBorder="1" applyAlignment="1" applyProtection="1">
      <alignment horizontal="left" indent="2"/>
      <protection locked="0"/>
    </xf>
    <xf numFmtId="0" fontId="7" fillId="0" borderId="0" xfId="28" applyFont="1" applyFill="1" applyAlignment="1">
      <alignment horizontal="right"/>
    </xf>
    <xf numFmtId="0" fontId="14" fillId="0" borderId="0" xfId="28" applyFont="1" applyFill="1" applyAlignment="1">
      <alignment horizontal="center"/>
    </xf>
    <xf numFmtId="0" fontId="7" fillId="0" borderId="0" xfId="28" applyFont="1" applyFill="1" applyAlignment="1">
      <alignment horizontal="left" indent="2"/>
    </xf>
    <xf numFmtId="170" fontId="7" fillId="0" borderId="0" xfId="28" applyNumberFormat="1" applyFont="1" applyFill="1"/>
    <xf numFmtId="0" fontId="7" fillId="0" borderId="0" xfId="28" applyFont="1" applyFill="1" applyAlignment="1">
      <alignment horizontal="left" indent="3"/>
    </xf>
    <xf numFmtId="0" fontId="52" fillId="0" borderId="0" xfId="0" applyFont="1" applyFill="1"/>
    <xf numFmtId="0" fontId="7" fillId="0" borderId="0" xfId="100" applyFont="1" applyFill="1" applyAlignment="1">
      <alignment horizontal="left" indent="2"/>
    </xf>
    <xf numFmtId="0" fontId="7" fillId="0" borderId="0" xfId="100" applyFont="1" applyFill="1" applyAlignment="1">
      <alignment horizontal="left"/>
    </xf>
    <xf numFmtId="0" fontId="7" fillId="0" borderId="3" xfId="0" quotePrefix="1" applyNumberFormat="1" applyFont="1" applyFill="1" applyBorder="1"/>
    <xf numFmtId="0" fontId="7" fillId="0" borderId="3" xfId="0" quotePrefix="1" applyNumberFormat="1" applyFont="1" applyFill="1" applyBorder="1" applyAlignment="1">
      <alignment horizontal="center"/>
    </xf>
    <xf numFmtId="0" fontId="10" fillId="0" borderId="4" xfId="0" applyFont="1" applyFill="1" applyBorder="1" applyAlignment="1">
      <alignment horizontal="left"/>
    </xf>
    <xf numFmtId="49" fontId="7" fillId="0" borderId="0" xfId="22" applyNumberFormat="1" applyFont="1" applyFill="1" applyBorder="1" applyAlignment="1">
      <alignment horizontal="left"/>
    </xf>
    <xf numFmtId="49" fontId="10" fillId="0" borderId="0" xfId="22" quotePrefix="1" applyNumberFormat="1" applyFont="1" applyFill="1" applyBorder="1" applyAlignment="1">
      <alignment horizontal="left"/>
    </xf>
    <xf numFmtId="49" fontId="10" fillId="0" borderId="0" xfId="22" applyNumberFormat="1" applyFont="1" applyFill="1" applyBorder="1" applyAlignment="1">
      <alignment horizontal="left"/>
    </xf>
    <xf numFmtId="49" fontId="10" fillId="0" borderId="0" xfId="0" applyNumberFormat="1" applyFont="1" applyFill="1" applyBorder="1" applyAlignment="1">
      <alignment horizontal="left"/>
    </xf>
    <xf numFmtId="39" fontId="7" fillId="0" borderId="0" xfId="22" applyNumberFormat="1" applyFont="1" applyFill="1" applyBorder="1" applyAlignment="1">
      <alignment horizontal="right"/>
    </xf>
    <xf numFmtId="42" fontId="0" fillId="34" borderId="0" xfId="0" applyNumberFormat="1" applyFill="1"/>
    <xf numFmtId="42" fontId="22" fillId="34" borderId="0" xfId="0" applyNumberFormat="1" applyFont="1" applyFill="1"/>
    <xf numFmtId="42" fontId="7" fillId="0" borderId="0" xfId="0" quotePrefix="1" applyNumberFormat="1" applyFont="1" applyAlignment="1">
      <alignment horizontal="center"/>
    </xf>
    <xf numFmtId="42" fontId="22" fillId="0" borderId="0" xfId="0" quotePrefix="1" applyNumberFormat="1" applyFont="1" applyAlignment="1">
      <alignment horizontal="center"/>
    </xf>
    <xf numFmtId="164" fontId="7" fillId="0" borderId="0" xfId="0" quotePrefix="1" applyNumberFormat="1" applyFont="1" applyAlignment="1">
      <alignment horizontal="right"/>
    </xf>
    <xf numFmtId="164" fontId="14" fillId="0" borderId="0" xfId="0" quotePrefix="1" applyNumberFormat="1" applyFont="1" applyAlignment="1">
      <alignment horizontal="right"/>
    </xf>
    <xf numFmtId="165" fontId="10" fillId="0" borderId="0" xfId="0" applyNumberFormat="1" applyFont="1" applyFill="1" applyAlignment="1">
      <alignment horizontal="right"/>
    </xf>
    <xf numFmtId="3" fontId="7" fillId="0" borderId="0" xfId="0" quotePrefix="1" applyNumberFormat="1" applyFont="1" applyFill="1" applyAlignment="1">
      <alignment horizontal="right"/>
    </xf>
    <xf numFmtId="164" fontId="39" fillId="0" borderId="8" xfId="0" applyNumberFormat="1" applyFont="1" applyFill="1" applyBorder="1"/>
    <xf numFmtId="42" fontId="7" fillId="0" borderId="8" xfId="0" quotePrefix="1" applyNumberFormat="1" applyFont="1" applyBorder="1" applyAlignment="1">
      <alignment horizontal="center"/>
    </xf>
    <xf numFmtId="164" fontId="7" fillId="0" borderId="8" xfId="0" quotePrefix="1" applyNumberFormat="1" applyFont="1" applyBorder="1" applyAlignment="1">
      <alignment horizontal="right"/>
    </xf>
    <xf numFmtId="42" fontId="7" fillId="36" borderId="0" xfId="0" quotePrefix="1" applyNumberFormat="1" applyFont="1" applyFill="1" applyAlignment="1">
      <alignment horizontal="center"/>
    </xf>
    <xf numFmtId="42" fontId="22" fillId="36" borderId="0" xfId="0" quotePrefix="1" applyNumberFormat="1" applyFont="1" applyFill="1" applyAlignment="1">
      <alignment horizontal="center"/>
    </xf>
    <xf numFmtId="1" fontId="7" fillId="36" borderId="0" xfId="100" quotePrefix="1" applyNumberFormat="1" applyFont="1" applyFill="1" applyBorder="1" applyAlignment="1">
      <alignment horizontal="center"/>
    </xf>
    <xf numFmtId="164" fontId="7" fillId="36" borderId="0" xfId="0" quotePrefix="1" applyNumberFormat="1" applyFont="1" applyFill="1" applyAlignment="1">
      <alignment horizontal="right"/>
    </xf>
    <xf numFmtId="0" fontId="7" fillId="36" borderId="0" xfId="100" quotePrefix="1" applyFont="1" applyFill="1" applyAlignment="1">
      <alignment horizontal="center"/>
    </xf>
    <xf numFmtId="42" fontId="7" fillId="36" borderId="0" xfId="100" applyNumberFormat="1" applyFont="1" applyFill="1"/>
    <xf numFmtId="0" fontId="40" fillId="36" borderId="0" xfId="0" quotePrefix="1" applyFont="1" applyFill="1" applyAlignment="1">
      <alignment horizontal="center"/>
    </xf>
    <xf numFmtId="164" fontId="7" fillId="0" borderId="8" xfId="0" applyNumberFormat="1" applyFont="1" applyFill="1" applyBorder="1"/>
    <xf numFmtId="42" fontId="8" fillId="0" borderId="0" xfId="0" quotePrefix="1" applyNumberFormat="1" applyFont="1" applyAlignment="1">
      <alignment horizontal="center"/>
    </xf>
    <xf numFmtId="42" fontId="0" fillId="0" borderId="0" xfId="0" applyNumberFormat="1" applyFill="1"/>
    <xf numFmtId="42" fontId="22" fillId="0" borderId="0" xfId="0" applyNumberFormat="1" applyFont="1" applyFill="1"/>
    <xf numFmtId="2" fontId="7" fillId="0" borderId="0" xfId="0" quotePrefix="1" applyNumberFormat="1" applyFont="1" applyFill="1" applyAlignment="1">
      <alignment horizontal="center"/>
    </xf>
    <xf numFmtId="42" fontId="7" fillId="0" borderId="0" xfId="0" applyNumberFormat="1" applyFont="1" applyFill="1"/>
    <xf numFmtId="42" fontId="0" fillId="0" borderId="8" xfId="0" applyNumberFormat="1" applyFill="1" applyBorder="1"/>
    <xf numFmtId="170" fontId="7" fillId="0" borderId="0" xfId="39" applyNumberFormat="1" applyFont="1" applyFill="1" applyBorder="1" applyAlignment="1">
      <alignment horizontal="right" wrapText="1"/>
    </xf>
    <xf numFmtId="9" fontId="7" fillId="0" borderId="0" xfId="39" applyNumberFormat="1" applyFont="1" applyFill="1" applyBorder="1" applyAlignment="1">
      <alignment horizontal="right" vertical="justify" wrapText="1"/>
    </xf>
    <xf numFmtId="9" fontId="7" fillId="0" borderId="8" xfId="39" applyNumberFormat="1" applyFont="1" applyFill="1" applyBorder="1" applyAlignment="1">
      <alignment horizontal="right" wrapText="1"/>
    </xf>
    <xf numFmtId="9" fontId="7" fillId="0" borderId="0" xfId="39" applyNumberFormat="1" applyFont="1" applyFill="1" applyBorder="1" applyAlignment="1">
      <alignment horizontal="right" wrapText="1"/>
    </xf>
    <xf numFmtId="0" fontId="7" fillId="36" borderId="0" xfId="28" quotePrefix="1" applyFont="1" applyFill="1" applyAlignment="1">
      <alignment horizontal="center"/>
    </xf>
    <xf numFmtId="42" fontId="7" fillId="36" borderId="3" xfId="0" quotePrefix="1" applyNumberFormat="1" applyFont="1" applyFill="1" applyBorder="1" applyAlignment="1">
      <alignment horizontal="center"/>
    </xf>
    <xf numFmtId="42" fontId="0" fillId="0" borderId="3" xfId="0" applyNumberFormat="1" applyFill="1" applyBorder="1"/>
    <xf numFmtId="0" fontId="7" fillId="36" borderId="0" xfId="108" quotePrefix="1" applyFill="1" applyAlignment="1">
      <alignment horizontal="right"/>
    </xf>
    <xf numFmtId="0" fontId="7" fillId="36" borderId="0" xfId="0" quotePrefix="1" applyFont="1" applyFill="1" applyAlignment="1">
      <alignment horizontal="left" indent="1"/>
    </xf>
    <xf numFmtId="3" fontId="7" fillId="36" borderId="0" xfId="0" quotePrefix="1" applyNumberFormat="1" applyFont="1" applyFill="1" applyAlignment="1">
      <alignment horizontal="right"/>
    </xf>
    <xf numFmtId="164" fontId="7" fillId="0" borderId="0" xfId="0" quotePrefix="1" applyNumberFormat="1" applyFont="1" applyFill="1" applyAlignment="1">
      <alignment horizontal="right"/>
    </xf>
    <xf numFmtId="3" fontId="7" fillId="36" borderId="0" xfId="0" quotePrefix="1" applyNumberFormat="1" applyFont="1" applyFill="1" applyAlignment="1">
      <alignment horizontal="center"/>
    </xf>
    <xf numFmtId="3" fontId="7" fillId="0" borderId="0" xfId="0" quotePrefix="1" applyNumberFormat="1" applyFont="1" applyAlignment="1">
      <alignment horizontal="center"/>
    </xf>
    <xf numFmtId="3" fontId="7" fillId="36" borderId="8" xfId="0" quotePrefix="1" applyNumberFormat="1" applyFont="1" applyFill="1" applyBorder="1" applyAlignment="1">
      <alignment horizontal="center"/>
    </xf>
    <xf numFmtId="42" fontId="0" fillId="0" borderId="15" xfId="0" applyNumberFormat="1" applyFill="1" applyBorder="1"/>
    <xf numFmtId="42" fontId="0" fillId="36" borderId="0" xfId="0" applyNumberFormat="1" applyFill="1"/>
    <xf numFmtId="164" fontId="14" fillId="0" borderId="3" xfId="0" quotePrefix="1" applyNumberFormat="1" applyFont="1" applyBorder="1" applyAlignment="1">
      <alignment horizontal="right"/>
    </xf>
    <xf numFmtId="37" fontId="7" fillId="0" borderId="3" xfId="97" quotePrefix="1" applyNumberFormat="1" applyFont="1" applyFill="1" applyBorder="1" applyAlignment="1">
      <alignment horizontal="center"/>
    </xf>
    <xf numFmtId="42" fontId="7" fillId="0" borderId="3" xfId="0" quotePrefix="1" applyNumberFormat="1" applyFont="1" applyFill="1" applyBorder="1" applyAlignment="1">
      <alignment horizontal="center"/>
    </xf>
    <xf numFmtId="0" fontId="7" fillId="36" borderId="0" xfId="0" quotePrefix="1" applyFont="1" applyFill="1" applyAlignment="1">
      <alignment horizontal="left" vertical="top" wrapText="1"/>
    </xf>
    <xf numFmtId="0" fontId="7" fillId="36" borderId="0" xfId="0" quotePrefix="1" applyFont="1" applyFill="1" applyAlignment="1"/>
    <xf numFmtId="164" fontId="7" fillId="0" borderId="8" xfId="96" applyNumberFormat="1" applyFont="1" applyBorder="1"/>
    <xf numFmtId="164" fontId="7" fillId="36" borderId="0" xfId="0" quotePrefix="1" applyNumberFormat="1" applyFont="1" applyFill="1" applyAlignment="1">
      <alignment horizontal="left"/>
    </xf>
    <xf numFmtId="10" fontId="10" fillId="0" borderId="0" xfId="0" applyNumberFormat="1" applyFont="1" applyFill="1"/>
    <xf numFmtId="164" fontId="7" fillId="36" borderId="0" xfId="0" quotePrefix="1" applyNumberFormat="1" applyFont="1" applyFill="1" applyBorder="1" applyAlignment="1">
      <alignment horizontal="center"/>
    </xf>
    <xf numFmtId="0" fontId="7" fillId="0" borderId="0" xfId="0" applyFont="1" applyBorder="1" applyAlignment="1">
      <alignment horizontal="center"/>
    </xf>
    <xf numFmtId="42" fontId="0" fillId="0" borderId="0" xfId="0" applyNumberFormat="1" applyFill="1" applyBorder="1"/>
    <xf numFmtId="0" fontId="0" fillId="36" borderId="0" xfId="0" quotePrefix="1" applyFill="1" applyAlignment="1">
      <alignment horizontal="center"/>
    </xf>
    <xf numFmtId="49" fontId="7" fillId="0" borderId="0" xfId="0" applyNumberFormat="1" applyFont="1" applyAlignment="1">
      <alignment horizontal="left" indent="1"/>
    </xf>
    <xf numFmtId="49" fontId="62" fillId="0" borderId="0" xfId="0" applyNumberFormat="1" applyFont="1" applyAlignment="1">
      <alignment horizontal="left" indent="1"/>
    </xf>
    <xf numFmtId="49" fontId="62" fillId="0" borderId="0" xfId="0" quotePrefix="1" applyNumberFormat="1" applyFont="1" applyAlignment="1">
      <alignment horizontal="left" indent="1"/>
    </xf>
    <xf numFmtId="0" fontId="52" fillId="36" borderId="0" xfId="0" applyFont="1" applyFill="1" applyAlignment="1">
      <alignment horizontal="left" indent="1"/>
    </xf>
    <xf numFmtId="0" fontId="61" fillId="0" borderId="0" xfId="0" quotePrefix="1" applyFont="1"/>
    <xf numFmtId="164" fontId="39" fillId="36" borderId="0" xfId="0" applyNumberFormat="1" applyFont="1" applyFill="1"/>
    <xf numFmtId="0" fontId="39" fillId="36" borderId="0" xfId="0" quotePrefix="1" applyFont="1" applyFill="1" applyAlignment="1">
      <alignment horizontal="left" indent="1"/>
    </xf>
    <xf numFmtId="0" fontId="41" fillId="0" borderId="0" xfId="0" applyFont="1" applyAlignment="1">
      <alignment horizontal="center" vertical="justify"/>
    </xf>
    <xf numFmtId="164" fontId="8" fillId="0" borderId="0" xfId="0" applyNumberFormat="1" applyFont="1" applyAlignment="1">
      <alignment horizontal="center"/>
    </xf>
    <xf numFmtId="42" fontId="46" fillId="36" borderId="0" xfId="0" applyNumberFormat="1" applyFont="1" applyFill="1"/>
    <xf numFmtId="42" fontId="46" fillId="0" borderId="0" xfId="0" applyNumberFormat="1" applyFont="1" applyFill="1"/>
    <xf numFmtId="0" fontId="8" fillId="0" borderId="0" xfId="0" applyFont="1" applyAlignment="1">
      <alignment horizontal="center" vertical="justify"/>
    </xf>
    <xf numFmtId="0" fontId="63" fillId="0" borderId="0" xfId="0" applyFont="1" applyFill="1"/>
    <xf numFmtId="0" fontId="63" fillId="0" borderId="0" xfId="0" applyFont="1"/>
    <xf numFmtId="0" fontId="64" fillId="0" borderId="0" xfId="0" applyFont="1" applyFill="1"/>
    <xf numFmtId="0" fontId="7" fillId="0" borderId="0" xfId="0" applyFont="1" applyFill="1" applyAlignment="1">
      <alignment horizontal="left" indent="4"/>
    </xf>
    <xf numFmtId="0" fontId="7" fillId="0" borderId="0" xfId="100" applyFont="1" applyFill="1" applyAlignment="1">
      <alignment horizontal="left" wrapText="1" indent="1"/>
    </xf>
    <xf numFmtId="10" fontId="7" fillId="0" borderId="0" xfId="0" applyNumberFormat="1" applyFont="1" applyAlignment="1">
      <alignment horizontal="right" wrapText="1"/>
    </xf>
    <xf numFmtId="0" fontId="39" fillId="0" borderId="0" xfId="126" applyFont="1" applyFill="1" applyAlignment="1">
      <alignment horizontal="center"/>
    </xf>
    <xf numFmtId="0" fontId="7" fillId="0" borderId="6" xfId="126" quotePrefix="1" applyFont="1" applyBorder="1" applyAlignment="1">
      <alignment horizontal="center" wrapText="1"/>
    </xf>
    <xf numFmtId="0" fontId="7" fillId="0" borderId="5" xfId="126" applyFont="1" applyFill="1" applyBorder="1" applyAlignment="1">
      <alignment horizontal="center" wrapText="1"/>
    </xf>
    <xf numFmtId="0" fontId="7" fillId="0" borderId="0" xfId="126" applyFont="1" applyFill="1" applyAlignment="1">
      <alignment horizontal="center" wrapText="1"/>
    </xf>
    <xf numFmtId="0" fontId="7" fillId="0" borderId="5" xfId="126" quotePrefix="1" applyFont="1" applyFill="1" applyBorder="1" applyAlignment="1">
      <alignment horizontal="center" wrapText="1"/>
    </xf>
    <xf numFmtId="10" fontId="7" fillId="36" borderId="0" xfId="126" applyNumberFormat="1" applyFont="1" applyFill="1" applyBorder="1"/>
    <xf numFmtId="0" fontId="7" fillId="0" borderId="18" xfId="126" applyFont="1" applyFill="1" applyBorder="1" applyAlignment="1">
      <alignment horizontal="center"/>
    </xf>
    <xf numFmtId="9" fontId="7" fillId="0" borderId="0" xfId="37" applyFont="1" applyFill="1"/>
    <xf numFmtId="2" fontId="8" fillId="0" borderId="5" xfId="126" applyNumberFormat="1" applyFont="1" applyFill="1" applyBorder="1" applyAlignment="1">
      <alignment horizontal="center" wrapText="1"/>
    </xf>
    <xf numFmtId="0" fontId="7" fillId="0" borderId="0" xfId="126" quotePrefix="1" applyFont="1" applyFill="1" applyAlignment="1">
      <alignment horizontal="center" vertical="center" wrapText="1"/>
    </xf>
    <xf numFmtId="0" fontId="65" fillId="0" borderId="0" xfId="126" applyFont="1" applyFill="1" applyAlignment="1">
      <alignment horizontal="center"/>
    </xf>
    <xf numFmtId="164" fontId="7" fillId="0" borderId="0" xfId="126" applyNumberFormat="1" applyFont="1" applyFill="1"/>
    <xf numFmtId="164" fontId="7" fillId="0" borderId="0" xfId="126" quotePrefix="1" applyNumberFormat="1" applyFill="1" applyAlignment="1">
      <alignment horizontal="center"/>
    </xf>
    <xf numFmtId="0" fontId="7" fillId="0" borderId="0" xfId="126" applyFont="1" applyFill="1" applyAlignment="1">
      <alignment horizontal="left"/>
    </xf>
    <xf numFmtId="179" fontId="7" fillId="36" borderId="0" xfId="35" applyNumberFormat="1" applyFont="1" applyFill="1" applyBorder="1" applyAlignment="1">
      <alignment horizontal="left"/>
    </xf>
    <xf numFmtId="0" fontId="7" fillId="36" borderId="0" xfId="35" applyFont="1" applyFill="1" applyBorder="1" applyAlignment="1">
      <alignment horizontal="left" vertical="top" indent="1"/>
    </xf>
    <xf numFmtId="0" fontId="7" fillId="36" borderId="0" xfId="126" applyFont="1" applyFill="1" applyBorder="1"/>
    <xf numFmtId="0" fontId="7" fillId="36" borderId="0" xfId="126" applyFill="1" applyBorder="1"/>
    <xf numFmtId="0" fontId="7" fillId="0" borderId="6" xfId="126" applyFont="1" applyFill="1" applyBorder="1" applyAlignment="1">
      <alignment horizontal="center" wrapText="1"/>
    </xf>
    <xf numFmtId="0" fontId="0" fillId="0" borderId="9" xfId="0" applyBorder="1" applyAlignment="1">
      <alignment horizontal="center" wrapText="1"/>
    </xf>
    <xf numFmtId="0" fontId="0" fillId="0" borderId="4" xfId="0" applyBorder="1" applyAlignment="1">
      <alignment horizontal="center" wrapText="1"/>
    </xf>
    <xf numFmtId="0" fontId="8" fillId="0" borderId="4" xfId="126" applyFont="1" applyFill="1" applyBorder="1" applyAlignment="1">
      <alignment horizontal="center"/>
    </xf>
    <xf numFmtId="3" fontId="7" fillId="36" borderId="0" xfId="128" applyNumberFormat="1" applyFont="1" applyFill="1"/>
    <xf numFmtId="3" fontId="7" fillId="36" borderId="0" xfId="129" applyNumberFormat="1" applyFont="1" applyFill="1"/>
    <xf numFmtId="3" fontId="7" fillId="36" borderId="0" xfId="130" applyNumberFormat="1" applyFont="1" applyFill="1"/>
    <xf numFmtId="3" fontId="7" fillId="36" borderId="0" xfId="128" applyNumberFormat="1" applyFont="1" applyFill="1" applyAlignment="1">
      <alignment horizontal="center"/>
    </xf>
    <xf numFmtId="3" fontId="7" fillId="36" borderId="0" xfId="129" applyNumberFormat="1" applyFont="1" applyFill="1" applyAlignment="1">
      <alignment horizontal="center"/>
    </xf>
    <xf numFmtId="3" fontId="7" fillId="36" borderId="0" xfId="130" applyNumberFormat="1" applyFont="1" applyFill="1" applyAlignment="1">
      <alignment horizontal="center"/>
    </xf>
    <xf numFmtId="3" fontId="7" fillId="36" borderId="0" xfId="126" applyNumberFormat="1" applyFont="1" applyFill="1" applyBorder="1"/>
    <xf numFmtId="166" fontId="7" fillId="0" borderId="16" xfId="126" applyNumberFormat="1" applyBorder="1" applyAlignment="1">
      <alignment horizontal="center"/>
    </xf>
    <xf numFmtId="3" fontId="7" fillId="36" borderId="0" xfId="128" applyNumberFormat="1" applyFont="1" applyFill="1" applyBorder="1"/>
    <xf numFmtId="3" fontId="7" fillId="36" borderId="0" xfId="129" applyNumberFormat="1" applyFont="1" applyFill="1" applyBorder="1"/>
    <xf numFmtId="3" fontId="7" fillId="36" borderId="0" xfId="130" applyNumberFormat="1" applyFont="1" applyFill="1" applyBorder="1"/>
    <xf numFmtId="3" fontId="39" fillId="36" borderId="0" xfId="129" applyNumberFormat="1" applyFont="1" applyFill="1" applyBorder="1"/>
    <xf numFmtId="0" fontId="59" fillId="0" borderId="0" xfId="126" applyFont="1" applyFill="1"/>
    <xf numFmtId="0" fontId="52" fillId="0" borderId="0" xfId="126" quotePrefix="1" applyFont="1" applyAlignment="1">
      <alignment horizontal="center" vertical="center" wrapText="1"/>
    </xf>
    <xf numFmtId="0" fontId="7" fillId="0" borderId="0" xfId="126" applyFont="1" applyAlignment="1">
      <alignment horizontal="center" wrapText="1"/>
    </xf>
    <xf numFmtId="0" fontId="7" fillId="0" borderId="0" xfId="126" quotePrefix="1" applyFont="1" applyFill="1" applyAlignment="1">
      <alignment horizontal="center" wrapText="1"/>
    </xf>
    <xf numFmtId="0" fontId="65" fillId="0" borderId="0" xfId="126" quotePrefix="1" applyFont="1" applyAlignment="1">
      <alignment horizontal="center" wrapText="1"/>
    </xf>
    <xf numFmtId="0" fontId="67" fillId="0" borderId="0" xfId="126" quotePrefix="1" applyFont="1" applyAlignment="1">
      <alignment horizontal="center"/>
    </xf>
    <xf numFmtId="0" fontId="67" fillId="0" borderId="0" xfId="126" quotePrefix="1" applyFont="1" applyBorder="1" applyAlignment="1">
      <alignment horizontal="center"/>
    </xf>
    <xf numFmtId="2" fontId="68" fillId="0" borderId="19" xfId="126" applyNumberFormat="1" applyFont="1" applyBorder="1" applyAlignment="1">
      <alignment horizontal="center" wrapText="1"/>
    </xf>
    <xf numFmtId="2" fontId="8" fillId="0" borderId="11" xfId="126" applyNumberFormat="1" applyFont="1" applyFill="1" applyBorder="1" applyAlignment="1">
      <alignment horizontal="center" wrapText="1"/>
    </xf>
    <xf numFmtId="2" fontId="68" fillId="0" borderId="0" xfId="126" applyNumberFormat="1" applyFont="1" applyBorder="1" applyAlignment="1">
      <alignment horizontal="center" wrapText="1"/>
    </xf>
    <xf numFmtId="2" fontId="65" fillId="0" borderId="0" xfId="126" applyNumberFormat="1" applyFont="1"/>
    <xf numFmtId="164" fontId="65" fillId="0" borderId="0" xfId="126" applyNumberFormat="1" applyFont="1" applyFill="1"/>
    <xf numFmtId="1" fontId="65" fillId="0" borderId="0" xfId="126" applyNumberFormat="1" applyFont="1"/>
    <xf numFmtId="164" fontId="7" fillId="0" borderId="0" xfId="126" applyNumberFormat="1" applyFill="1"/>
    <xf numFmtId="164" fontId="7" fillId="0" borderId="0" xfId="126" applyNumberFormat="1" applyBorder="1" applyAlignment="1">
      <alignment horizontal="right"/>
    </xf>
    <xf numFmtId="0" fontId="7" fillId="0" borderId="0" xfId="126" applyFont="1" applyFill="1" applyAlignment="1">
      <alignment readingOrder="1"/>
    </xf>
    <xf numFmtId="0" fontId="7" fillId="0" borderId="0" xfId="126" quotePrefix="1" applyFont="1" applyAlignment="1">
      <alignment horizontal="center" wrapText="1"/>
    </xf>
    <xf numFmtId="0" fontId="7" fillId="0" borderId="0" xfId="126" applyFont="1" applyAlignment="1">
      <alignment wrapText="1"/>
    </xf>
    <xf numFmtId="0" fontId="8" fillId="34" borderId="11" xfId="126" applyFont="1" applyFill="1" applyBorder="1" applyAlignment="1">
      <alignment horizontal="center" wrapText="1"/>
    </xf>
    <xf numFmtId="0" fontId="8" fillId="34" borderId="10" xfId="126" applyFont="1" applyFill="1" applyBorder="1" applyAlignment="1">
      <alignment horizontal="center" wrapText="1"/>
    </xf>
    <xf numFmtId="0" fontId="8" fillId="0" borderId="5" xfId="126" applyFont="1" applyBorder="1" applyAlignment="1">
      <alignment horizontal="center" wrapText="1"/>
    </xf>
    <xf numFmtId="3" fontId="7" fillId="36" borderId="0" xfId="126" applyNumberFormat="1" applyFont="1" applyFill="1"/>
    <xf numFmtId="10" fontId="7" fillId="0" borderId="0" xfId="126" applyNumberFormat="1" applyFont="1"/>
    <xf numFmtId="167" fontId="40" fillId="36" borderId="0" xfId="133" applyNumberFormat="1" applyFont="1" applyFill="1" applyBorder="1"/>
    <xf numFmtId="164" fontId="7" fillId="0" borderId="3" xfId="0" quotePrefix="1" applyNumberFormat="1" applyFont="1" applyBorder="1" applyAlignment="1">
      <alignment horizontal="right"/>
    </xf>
    <xf numFmtId="164" fontId="7" fillId="0" borderId="14" xfId="0" quotePrefix="1" applyNumberFormat="1" applyFont="1" applyBorder="1" applyAlignment="1">
      <alignment horizontal="right"/>
    </xf>
    <xf numFmtId="164" fontId="7" fillId="0" borderId="0" xfId="0" quotePrefix="1" applyNumberFormat="1" applyFont="1" applyBorder="1" applyAlignment="1">
      <alignment horizontal="right"/>
    </xf>
    <xf numFmtId="3" fontId="7" fillId="0" borderId="3" xfId="126" quotePrefix="1" applyNumberFormat="1" applyBorder="1" applyAlignment="1">
      <alignment horizontal="center"/>
    </xf>
    <xf numFmtId="3" fontId="7" fillId="0" borderId="0" xfId="126" quotePrefix="1" applyNumberFormat="1" applyFill="1" applyAlignment="1">
      <alignment horizontal="center"/>
    </xf>
    <xf numFmtId="166" fontId="7" fillId="0" borderId="17" xfId="126" quotePrefix="1" applyNumberFormat="1" applyBorder="1" applyAlignment="1">
      <alignment horizontal="center"/>
    </xf>
    <xf numFmtId="164" fontId="7" fillId="0" borderId="17" xfId="126" quotePrefix="1" applyNumberFormat="1" applyBorder="1" applyAlignment="1">
      <alignment horizontal="center"/>
    </xf>
    <xf numFmtId="0" fontId="7" fillId="0" borderId="17" xfId="0" quotePrefix="1" applyFont="1" applyBorder="1" applyAlignment="1">
      <alignment horizontal="center"/>
    </xf>
    <xf numFmtId="3" fontId="46" fillId="0" borderId="0" xfId="0" quotePrefix="1" applyNumberFormat="1" applyFont="1" applyFill="1" applyAlignment="1">
      <alignment horizontal="center"/>
    </xf>
    <xf numFmtId="3" fontId="7" fillId="0" borderId="0" xfId="126" quotePrefix="1" applyNumberFormat="1" applyFont="1" applyAlignment="1">
      <alignment horizontal="center"/>
    </xf>
    <xf numFmtId="42" fontId="0" fillId="0" borderId="6" xfId="0" applyNumberFormat="1" applyFill="1" applyBorder="1"/>
    <xf numFmtId="42" fontId="0" fillId="0" borderId="4" xfId="0" applyNumberFormat="1" applyFill="1" applyBorder="1"/>
    <xf numFmtId="42" fontId="0" fillId="0" borderId="20" xfId="0" applyNumberFormat="1" applyFill="1" applyBorder="1"/>
    <xf numFmtId="44" fontId="7" fillId="0" borderId="16" xfId="126" applyNumberFormat="1" applyFill="1" applyBorder="1" applyAlignment="1">
      <alignment horizontal="center"/>
    </xf>
    <xf numFmtId="44" fontId="7" fillId="0" borderId="17" xfId="126" applyNumberFormat="1" applyFill="1" applyBorder="1" applyAlignment="1">
      <alignment horizontal="center"/>
    </xf>
    <xf numFmtId="3" fontId="7" fillId="0" borderId="0" xfId="126" quotePrefix="1" applyNumberFormat="1" applyAlignment="1">
      <alignment horizontal="center"/>
    </xf>
    <xf numFmtId="164" fontId="7" fillId="0" borderId="0" xfId="0" quotePrefix="1" applyNumberFormat="1" applyFont="1" applyFill="1" applyAlignment="1">
      <alignment horizontal="right" wrapText="1"/>
    </xf>
    <xf numFmtId="37" fontId="7" fillId="0" borderId="0" xfId="0" applyNumberFormat="1" applyFont="1" applyFill="1" applyAlignment="1">
      <alignment horizontal="left" indent="1"/>
    </xf>
    <xf numFmtId="0" fontId="7" fillId="36" borderId="0" xfId="0" applyNumberFormat="1" applyFont="1" applyFill="1" applyAlignment="1">
      <alignment horizontal="center"/>
    </xf>
    <xf numFmtId="0" fontId="8" fillId="0" borderId="6" xfId="28" applyFont="1" applyBorder="1" applyAlignment="1">
      <alignment horizontal="center"/>
    </xf>
    <xf numFmtId="0" fontId="8" fillId="0" borderId="9" xfId="28" applyFont="1" applyBorder="1" applyAlignment="1">
      <alignment horizontal="center"/>
    </xf>
    <xf numFmtId="0" fontId="8" fillId="0" borderId="4" xfId="28" applyFont="1" applyBorder="1" applyAlignment="1">
      <alignment horizontal="center"/>
    </xf>
    <xf numFmtId="0" fontId="8" fillId="0" borderId="7" xfId="28" applyFont="1" applyBorder="1" applyAlignment="1">
      <alignment horizontal="center"/>
    </xf>
    <xf numFmtId="0" fontId="8" fillId="0" borderId="5" xfId="28" applyFont="1" applyBorder="1" applyAlignment="1">
      <alignment horizontal="center"/>
    </xf>
    <xf numFmtId="0" fontId="8" fillId="0" borderId="3" xfId="28" applyFont="1" applyFill="1" applyBorder="1" applyAlignment="1">
      <alignment horizontal="center"/>
    </xf>
    <xf numFmtId="0" fontId="8" fillId="0" borderId="6" xfId="28" applyFont="1" applyFill="1" applyBorder="1" applyAlignment="1">
      <alignment horizontal="center"/>
    </xf>
    <xf numFmtId="0" fontId="8" fillId="0" borderId="9" xfId="28" applyFont="1" applyFill="1" applyBorder="1" applyAlignment="1">
      <alignment horizontal="center"/>
    </xf>
    <xf numFmtId="0" fontId="8" fillId="0" borderId="4" xfId="28" applyFont="1" applyFill="1" applyBorder="1" applyAlignment="1">
      <alignment horizontal="center"/>
    </xf>
    <xf numFmtId="0" fontId="8" fillId="0" borderId="3" xfId="28" applyFont="1" applyBorder="1" applyAlignment="1"/>
    <xf numFmtId="0" fontId="7"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alignment wrapText="1"/>
    </xf>
    <xf numFmtId="0" fontId="8" fillId="0" borderId="6" xfId="0" applyNumberFormat="1" applyFont="1" applyFill="1" applyBorder="1" applyAlignment="1"/>
    <xf numFmtId="0" fontId="0" fillId="0" borderId="9" xfId="0" applyBorder="1" applyAlignment="1"/>
    <xf numFmtId="0" fontId="0" fillId="0" borderId="4" xfId="0" applyBorder="1" applyAlignment="1"/>
    <xf numFmtId="0" fontId="10" fillId="0" borderId="0" xfId="0" applyFont="1" applyFill="1" applyBorder="1" applyAlignment="1">
      <alignment vertical="top" wrapText="1"/>
    </xf>
    <xf numFmtId="0" fontId="0" fillId="0" borderId="0" xfId="0" applyAlignment="1">
      <alignment vertical="top" wrapText="1"/>
    </xf>
    <xf numFmtId="0" fontId="0" fillId="0" borderId="0" xfId="0" applyAlignment="1"/>
    <xf numFmtId="0" fontId="0" fillId="0" borderId="0" xfId="0" applyFill="1" applyAlignment="1"/>
    <xf numFmtId="0" fontId="8" fillId="0" borderId="10" xfId="0" applyNumberFormat="1" applyFont="1" applyFill="1" applyBorder="1" applyAlignment="1">
      <alignment wrapText="1"/>
    </xf>
    <xf numFmtId="0" fontId="0" fillId="0" borderId="8" xfId="0" applyBorder="1" applyAlignment="1">
      <alignment wrapText="1"/>
    </xf>
    <xf numFmtId="0" fontId="0" fillId="0" borderId="11" xfId="0" applyBorder="1" applyAlignment="1">
      <alignment wrapText="1"/>
    </xf>
    <xf numFmtId="0" fontId="8" fillId="0" borderId="6" xfId="0" applyFont="1" applyFill="1" applyBorder="1" applyAlignment="1"/>
    <xf numFmtId="0" fontId="10" fillId="0" borderId="6" xfId="0" applyFont="1" applyFill="1" applyBorder="1" applyAlignment="1">
      <alignment horizontal="left"/>
    </xf>
    <xf numFmtId="0" fontId="10" fillId="0" borderId="4" xfId="0" applyFont="1" applyBorder="1" applyAlignment="1">
      <alignment horizontal="left"/>
    </xf>
    <xf numFmtId="0" fontId="7" fillId="0" borderId="0" xfId="0" applyFont="1" applyFill="1" applyBorder="1" applyAlignment="1">
      <alignment wrapText="1"/>
    </xf>
    <xf numFmtId="0" fontId="0" fillId="0" borderId="0" xfId="0" applyAlignment="1">
      <alignment wrapText="1"/>
    </xf>
    <xf numFmtId="0" fontId="8" fillId="0" borderId="3" xfId="0" applyFont="1" applyFill="1" applyBorder="1" applyAlignment="1">
      <alignment wrapText="1"/>
    </xf>
    <xf numFmtId="0" fontId="0" fillId="0" borderId="3" xfId="0" applyBorder="1" applyAlignment="1">
      <alignment wrapText="1"/>
    </xf>
    <xf numFmtId="0" fontId="0" fillId="0" borderId="9" xfId="0" applyFill="1" applyBorder="1" applyAlignment="1"/>
    <xf numFmtId="0" fontId="0" fillId="0" borderId="4" xfId="0" applyFill="1" applyBorder="1" applyAlignment="1"/>
    <xf numFmtId="39" fontId="10" fillId="0" borderId="6" xfId="22" applyNumberFormat="1" applyFont="1" applyBorder="1" applyAlignment="1">
      <alignment horizontal="center"/>
    </xf>
    <xf numFmtId="0" fontId="0" fillId="0" borderId="9" xfId="0" applyBorder="1"/>
    <xf numFmtId="0" fontId="0" fillId="0" borderId="4" xfId="0" applyBorder="1"/>
    <xf numFmtId="0" fontId="8" fillId="0" borderId="6" xfId="0" applyNumberFormat="1" applyFont="1" applyFill="1" applyBorder="1" applyAlignment="1">
      <alignment wrapText="1"/>
    </xf>
    <xf numFmtId="0" fontId="0" fillId="0" borderId="9" xfId="0" applyBorder="1" applyAlignment="1">
      <alignment wrapText="1"/>
    </xf>
    <xf numFmtId="0" fontId="0" fillId="0" borderId="4" xfId="0" applyBorder="1" applyAlignment="1">
      <alignment wrapText="1"/>
    </xf>
    <xf numFmtId="0" fontId="8" fillId="0" borderId="3" xfId="0" applyNumberFormat="1" applyFont="1" applyFill="1" applyBorder="1" applyAlignment="1">
      <alignment wrapText="1"/>
    </xf>
    <xf numFmtId="0" fontId="10" fillId="0" borderId="0" xfId="0" applyFont="1" applyAlignment="1">
      <alignment horizontal="left" wrapText="1"/>
    </xf>
    <xf numFmtId="0" fontId="46" fillId="0" borderId="0" xfId="0" applyFont="1" applyAlignment="1">
      <alignment horizontal="left" wrapText="1"/>
    </xf>
    <xf numFmtId="0" fontId="7" fillId="0" borderId="12" xfId="126" applyFont="1" applyFill="1" applyBorder="1" applyAlignment="1">
      <alignment horizontal="center"/>
    </xf>
    <xf numFmtId="0" fontId="7" fillId="0" borderId="14" xfId="126" applyFont="1" applyFill="1" applyBorder="1" applyAlignment="1">
      <alignment horizontal="center"/>
    </xf>
    <xf numFmtId="0" fontId="0" fillId="0" borderId="14" xfId="0" applyBorder="1" applyAlignment="1"/>
    <xf numFmtId="0" fontId="0" fillId="0" borderId="13" xfId="0" applyBorder="1" applyAlignment="1"/>
    <xf numFmtId="0" fontId="7" fillId="0" borderId="13" xfId="126" applyFont="1" applyFill="1" applyBorder="1" applyAlignment="1">
      <alignment horizontal="center"/>
    </xf>
  </cellXfs>
  <cellStyles count="136">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Comma 2 2 2" xfId="96"/>
    <cellStyle name="Comma 2 3" xfId="95"/>
    <cellStyle name="Comma 2 4" xfId="83"/>
    <cellStyle name="Comma 3" xfId="22"/>
    <cellStyle name="Comma 3 2" xfId="97"/>
    <cellStyle name="Comma 4" xfId="94"/>
    <cellStyle name="Comma 8" xfId="133"/>
    <cellStyle name="Currency" xfId="23" builtinId="4"/>
    <cellStyle name="Currency 2" xfId="98"/>
    <cellStyle name="Emphasis 1" xfId="24"/>
    <cellStyle name="Emphasis 2" xfId="25"/>
    <cellStyle name="Emphasis 3" xfId="26"/>
    <cellStyle name="Hyperlink" xfId="27" builtinId="8"/>
    <cellStyle name="Normal" xfId="0" builtinId="0"/>
    <cellStyle name="Normal 10" xfId="125"/>
    <cellStyle name="Normal 10 6" xfId="135"/>
    <cellStyle name="Normal 12" xfId="128"/>
    <cellStyle name="Normal 13" xfId="130"/>
    <cellStyle name="Normal 14" xfId="129"/>
    <cellStyle name="Normal 15" xfId="132"/>
    <cellStyle name="Normal 16" xfId="131"/>
    <cellStyle name="Normal 2" xfId="28"/>
    <cellStyle name="Normal 2 2" xfId="29"/>
    <cellStyle name="Normal 2 2 2" xfId="100"/>
    <cellStyle name="Normal 2 3" xfId="30"/>
    <cellStyle name="Normal 2 3 2" xfId="101"/>
    <cellStyle name="Normal 2 4" xfId="31"/>
    <cellStyle name="Normal 2 4 2" xfId="102"/>
    <cellStyle name="Normal 2 5" xfId="99"/>
    <cellStyle name="Normal 2 6" xfId="82"/>
    <cellStyle name="Normal 2 6 2" xfId="110"/>
    <cellStyle name="Normal 2 6 2 2" xfId="116"/>
    <cellStyle name="Normal 2 6 2 3" xfId="120"/>
    <cellStyle name="Normal 2 6 2 4" xfId="124"/>
    <cellStyle name="Normal 2 6 3" xfId="111"/>
    <cellStyle name="Normal 2 6 4" xfId="114"/>
    <cellStyle name="Normal 2 6 5" xfId="118"/>
    <cellStyle name="Normal 2 6 6" xfId="122"/>
    <cellStyle name="Normal 2 7" xfId="127"/>
    <cellStyle name="Normal 3" xfId="80"/>
    <cellStyle name="Normal 3 2" xfId="32"/>
    <cellStyle name="Normal 3 2 2" xfId="103"/>
    <cellStyle name="Normal 4" xfId="33"/>
    <cellStyle name="Normal 4 2" xfId="104"/>
    <cellStyle name="Normal 5" xfId="93"/>
    <cellStyle name="Normal 5 2" xfId="107"/>
    <cellStyle name="Normal 6" xfId="81"/>
    <cellStyle name="Normal 6 2" xfId="109"/>
    <cellStyle name="Normal 6 2 2" xfId="115"/>
    <cellStyle name="Normal 6 2 3" xfId="119"/>
    <cellStyle name="Normal 6 2 4" xfId="123"/>
    <cellStyle name="Normal 6 3" xfId="112"/>
    <cellStyle name="Normal 6 4" xfId="113"/>
    <cellStyle name="Normal 6 5" xfId="117"/>
    <cellStyle name="Normal 6 6" xfId="121"/>
    <cellStyle name="Normal 7" xfId="108"/>
    <cellStyle name="Normal 8" xfId="126"/>
    <cellStyle name="Normal_2008 ISO Transmission Study test v1" xfId="34"/>
    <cellStyle name="Normal_Rate-Design" xfId="35"/>
    <cellStyle name="Normal_Statement AD Period I 2004" xfId="36"/>
    <cellStyle name="Percent" xfId="37" builtinId="5"/>
    <cellStyle name="Percent 2" xfId="38"/>
    <cellStyle name="Percent 3" xfId="39"/>
    <cellStyle name="Percent 3 2" xfId="106"/>
    <cellStyle name="Percent 3 3" xfId="134"/>
    <cellStyle name="Percent 4" xfId="105"/>
    <cellStyle name="SAPBEXaggData" xfId="40"/>
    <cellStyle name="SAPBEXaggDataEmph" xfId="41"/>
    <cellStyle name="SAPBEXaggItem" xfId="42"/>
    <cellStyle name="SAPBEXaggItemX" xfId="43"/>
    <cellStyle name="SAPBEXchaText" xfId="44"/>
    <cellStyle name="SAPBEXexcBad7" xfId="45"/>
    <cellStyle name="SAPBEXexcBad8" xfId="46"/>
    <cellStyle name="SAPBEXexcBad9" xfId="47"/>
    <cellStyle name="SAPBEXexcCritical4" xfId="48"/>
    <cellStyle name="SAPBEXexcCritical5" xfId="49"/>
    <cellStyle name="SAPBEXexcCritical6" xfId="50"/>
    <cellStyle name="SAPBEXexcGood1" xfId="51"/>
    <cellStyle name="SAPBEXexcGood2" xfId="52"/>
    <cellStyle name="SAPBEXexcGood3" xfId="53"/>
    <cellStyle name="SAPBEXfilterDrill" xfId="54"/>
    <cellStyle name="SAPBEXfilterItem" xfId="55"/>
    <cellStyle name="SAPBEXfilterText" xfId="56"/>
    <cellStyle name="SAPBEXformats" xfId="57"/>
    <cellStyle name="SAPBEXheaderItem" xfId="58"/>
    <cellStyle name="SAPBEXheaderText" xfId="59"/>
    <cellStyle name="SAPBEXHLevel0" xfId="60"/>
    <cellStyle name="SAPBEXHLevel0 2" xfId="84"/>
    <cellStyle name="SAPBEXHLevel0X" xfId="61"/>
    <cellStyle name="SAPBEXHLevel0X 2" xfId="85"/>
    <cellStyle name="SAPBEXHLevel1" xfId="62"/>
    <cellStyle name="SAPBEXHLevel1 2" xfId="86"/>
    <cellStyle name="SAPBEXHLevel1X" xfId="63"/>
    <cellStyle name="SAPBEXHLevel1X 2" xfId="87"/>
    <cellStyle name="SAPBEXHLevel2" xfId="64"/>
    <cellStyle name="SAPBEXHLevel2 2" xfId="88"/>
    <cellStyle name="SAPBEXHLevel2X" xfId="65"/>
    <cellStyle name="SAPBEXHLevel2X 2" xfId="89"/>
    <cellStyle name="SAPBEXHLevel3" xfId="66"/>
    <cellStyle name="SAPBEXHLevel3 2" xfId="90"/>
    <cellStyle name="SAPBEXHLevel3X" xfId="67"/>
    <cellStyle name="SAPBEXHLevel3X 2" xfId="91"/>
    <cellStyle name="SAPBEXinputData" xfId="68"/>
    <cellStyle name="SAPBEXinputData 2" xfId="92"/>
    <cellStyle name="SAPBEXresData" xfId="69"/>
    <cellStyle name="SAPBEXresDataEmph" xfId="70"/>
    <cellStyle name="SAPBEXresItem" xfId="71"/>
    <cellStyle name="SAPBEXresItemX" xfId="72"/>
    <cellStyle name="SAPBEXstdData" xfId="73"/>
    <cellStyle name="SAPBEXstdDataEmph" xfId="74"/>
    <cellStyle name="SAPBEXstdItem" xfId="75"/>
    <cellStyle name="SAPBEXstdItemX" xfId="76"/>
    <cellStyle name="SAPBEXtitle" xfId="77"/>
    <cellStyle name="SAPBEXundefined" xfId="78"/>
    <cellStyle name="Sheet Title" xfId="79"/>
  </cellStyles>
  <dxfs count="8">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42"/>
        </patternFill>
      </fill>
    </dxf>
    <dxf>
      <font>
        <condense val="0"/>
        <extend val="0"/>
        <color auto="1"/>
      </font>
    </dxf>
  </dxfs>
  <tableStyles count="0" defaultTableStyle="TableStyleMedium9" defaultPivotStyle="PivotStyleLight16"/>
  <colors>
    <mruColors>
      <color rgb="FF99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FERC-REG\FERC\FERC%20Contract%20&amp;%20Cost%20Analysis\Formula%20Rate%20Administration\Tariff%20History\Jan%201%202015\Jan%201%202015%20App%20IX%20Att%202%20Clea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DOCUME~1\hansenbj\LOCALS~1\Temp\notes3D68E7\Depreciation%20Rate%20Mid%20Year%20Cha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L2" t="str">
            <v>-</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ludedItems"/>
      <sheetName val="6-PlantInService"/>
      <sheetName val="7-PlantStudy"/>
      <sheetName val="8-AccDep"/>
      <sheetName val="17-Depreciation"/>
      <sheetName val="18-DepRates"/>
    </sheetNames>
    <sheetDataSet>
      <sheetData sheetId="0" refreshError="1"/>
      <sheetData sheetId="1" refreshError="1">
        <row r="11">
          <cell r="C11">
            <v>79059603.74731046</v>
          </cell>
        </row>
        <row r="35">
          <cell r="A35">
            <v>15</v>
          </cell>
        </row>
        <row r="36">
          <cell r="A36">
            <v>16</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7"/>
  <sheetViews>
    <sheetView zoomScaleNormal="100" workbookViewId="0"/>
  </sheetViews>
  <sheetFormatPr defaultRowHeight="13.2" x14ac:dyDescent="0.25"/>
  <cols>
    <col min="3" max="3" width="8.44140625" customWidth="1"/>
  </cols>
  <sheetData>
    <row r="5" spans="3:4" ht="24.6" x14ac:dyDescent="0.4">
      <c r="C5" s="602" t="s">
        <v>2261</v>
      </c>
    </row>
    <row r="6" spans="3:4" x14ac:dyDescent="0.25">
      <c r="D6" s="1"/>
    </row>
    <row r="7" spans="3:4" ht="21" x14ac:dyDescent="0.4">
      <c r="D7" s="603" t="s">
        <v>2262</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1"/>
  <sheetViews>
    <sheetView zoomScaleNormal="100" workbookViewId="0"/>
  </sheetViews>
  <sheetFormatPr defaultRowHeight="13.2" x14ac:dyDescent="0.25"/>
  <cols>
    <col min="1" max="1" width="4.6640625" customWidth="1"/>
    <col min="2" max="2" width="10.6640625" customWidth="1"/>
    <col min="3" max="13" width="13.6640625" customWidth="1"/>
  </cols>
  <sheetData>
    <row r="1" spans="1:13" x14ac:dyDescent="0.25">
      <c r="A1" s="382" t="s">
        <v>1321</v>
      </c>
      <c r="B1" s="213"/>
      <c r="C1" s="213"/>
      <c r="D1" s="213"/>
      <c r="E1" s="213"/>
      <c r="F1" s="213"/>
      <c r="G1" s="213"/>
      <c r="H1" s="213"/>
      <c r="I1" s="476" t="s">
        <v>17</v>
      </c>
      <c r="J1" s="383"/>
      <c r="K1" s="213"/>
      <c r="L1" s="213"/>
    </row>
    <row r="2" spans="1:13" x14ac:dyDescent="0.25">
      <c r="A2" s="382"/>
      <c r="B2" s="213"/>
      <c r="C2" s="213"/>
      <c r="D2" s="213"/>
      <c r="E2" s="213"/>
      <c r="F2" s="213"/>
      <c r="G2" s="213"/>
      <c r="H2" s="213"/>
      <c r="I2" s="213"/>
      <c r="J2" s="213"/>
      <c r="K2" s="213"/>
      <c r="L2" s="213"/>
    </row>
    <row r="3" spans="1:13" x14ac:dyDescent="0.25">
      <c r="A3" s="382"/>
      <c r="B3" s="382" t="s">
        <v>351</v>
      </c>
      <c r="C3" s="213"/>
      <c r="D3" s="213"/>
      <c r="E3" s="213"/>
      <c r="F3" s="213"/>
      <c r="G3" s="213"/>
      <c r="H3" s="213"/>
      <c r="I3" s="213"/>
      <c r="J3" s="213"/>
      <c r="K3" s="213"/>
      <c r="L3" s="213"/>
    </row>
    <row r="4" spans="1:13" x14ac:dyDescent="0.25">
      <c r="A4" s="382"/>
      <c r="B4" s="382"/>
      <c r="C4" s="213"/>
      <c r="D4" s="213"/>
      <c r="E4" s="213"/>
      <c r="F4" s="213"/>
      <c r="G4" s="213"/>
      <c r="H4" s="213"/>
      <c r="I4" s="213"/>
      <c r="J4" s="213"/>
      <c r="K4" s="213"/>
      <c r="L4" s="213"/>
    </row>
    <row r="5" spans="1:13" x14ac:dyDescent="0.25">
      <c r="A5" s="382"/>
      <c r="B5" s="466" t="s">
        <v>1733</v>
      </c>
      <c r="C5" s="213"/>
      <c r="D5" s="213"/>
      <c r="E5" s="213"/>
      <c r="F5" s="213"/>
      <c r="G5" s="213"/>
      <c r="H5" s="466"/>
      <c r="I5" s="885" t="s">
        <v>1975</v>
      </c>
      <c r="J5" s="233" t="s">
        <v>1562</v>
      </c>
      <c r="K5" s="213"/>
      <c r="L5" s="213"/>
    </row>
    <row r="6" spans="1:13" x14ac:dyDescent="0.25">
      <c r="A6" s="382"/>
      <c r="B6" s="466"/>
      <c r="C6" s="213"/>
      <c r="D6" s="213"/>
      <c r="E6" s="213"/>
      <c r="F6" s="213"/>
      <c r="G6" s="213"/>
      <c r="H6" s="213"/>
      <c r="I6" s="213"/>
      <c r="J6" s="213"/>
      <c r="K6" s="213"/>
      <c r="L6" s="213"/>
    </row>
    <row r="7" spans="1:13" x14ac:dyDescent="0.25">
      <c r="A7" s="382"/>
      <c r="B7" s="84" t="s">
        <v>394</v>
      </c>
      <c r="C7" s="84" t="s">
        <v>378</v>
      </c>
      <c r="D7" s="84" t="s">
        <v>379</v>
      </c>
      <c r="E7" s="84" t="s">
        <v>380</v>
      </c>
      <c r="F7" s="84" t="s">
        <v>381</v>
      </c>
      <c r="G7" s="84" t="s">
        <v>382</v>
      </c>
      <c r="H7" s="84" t="s">
        <v>383</v>
      </c>
      <c r="I7" s="84" t="s">
        <v>595</v>
      </c>
      <c r="J7" s="84" t="s">
        <v>1043</v>
      </c>
      <c r="K7" s="84" t="s">
        <v>1059</v>
      </c>
      <c r="L7" s="84" t="s">
        <v>1062</v>
      </c>
      <c r="M7" s="84" t="s">
        <v>1080</v>
      </c>
    </row>
    <row r="8" spans="1:13" x14ac:dyDescent="0.25">
      <c r="A8" s="213"/>
      <c r="B8" s="440"/>
      <c r="C8" s="213"/>
      <c r="D8" s="213"/>
      <c r="E8" s="213"/>
      <c r="F8" s="213"/>
      <c r="G8" s="213"/>
      <c r="H8" s="213"/>
      <c r="I8" s="213"/>
      <c r="J8" s="213"/>
      <c r="K8" s="213"/>
      <c r="M8" s="232" t="s">
        <v>1363</v>
      </c>
    </row>
    <row r="9" spans="1:13" x14ac:dyDescent="0.25">
      <c r="A9" s="213"/>
      <c r="B9" s="103"/>
      <c r="C9" s="84"/>
      <c r="D9" s="84"/>
      <c r="E9" s="213"/>
      <c r="F9" s="213"/>
      <c r="G9" s="213"/>
      <c r="H9" s="213"/>
      <c r="I9" s="213"/>
      <c r="J9" s="213"/>
      <c r="K9" s="213"/>
      <c r="L9" s="213"/>
    </row>
    <row r="10" spans="1:13" x14ac:dyDescent="0.25">
      <c r="A10" s="49" t="s">
        <v>360</v>
      </c>
      <c r="B10" s="113" t="s">
        <v>2024</v>
      </c>
      <c r="C10" s="84">
        <v>350.1</v>
      </c>
      <c r="D10" s="84">
        <v>350.2</v>
      </c>
      <c r="E10" s="84">
        <v>352</v>
      </c>
      <c r="F10" s="84">
        <v>353</v>
      </c>
      <c r="G10" s="84">
        <v>354</v>
      </c>
      <c r="H10" s="84">
        <v>355</v>
      </c>
      <c r="I10" s="84">
        <v>356</v>
      </c>
      <c r="J10" s="84">
        <v>357</v>
      </c>
      <c r="K10" s="84">
        <v>358</v>
      </c>
      <c r="L10" s="84">
        <v>359</v>
      </c>
      <c r="M10" s="3" t="s">
        <v>215</v>
      </c>
    </row>
    <row r="11" spans="1:13" x14ac:dyDescent="0.25">
      <c r="A11" s="496">
        <v>1</v>
      </c>
      <c r="B11" s="979" t="s">
        <v>1562</v>
      </c>
      <c r="C11" s="977">
        <v>0</v>
      </c>
      <c r="D11" s="977">
        <v>0</v>
      </c>
      <c r="E11" s="977">
        <v>0</v>
      </c>
      <c r="F11" s="977">
        <v>0</v>
      </c>
      <c r="G11" s="977">
        <v>0</v>
      </c>
      <c r="H11" s="977">
        <v>0</v>
      </c>
      <c r="I11" s="977">
        <v>0</v>
      </c>
      <c r="J11" s="977">
        <v>0</v>
      </c>
      <c r="K11" s="977">
        <v>0</v>
      </c>
      <c r="L11" s="977">
        <v>0</v>
      </c>
      <c r="M11" s="968">
        <v>0</v>
      </c>
    </row>
    <row r="12" spans="1:13" x14ac:dyDescent="0.25">
      <c r="A12" s="496">
        <f>A11+1</f>
        <v>2</v>
      </c>
      <c r="B12" s="979" t="s">
        <v>1562</v>
      </c>
      <c r="C12" s="968">
        <v>0</v>
      </c>
      <c r="D12" s="968">
        <v>0</v>
      </c>
      <c r="E12" s="968">
        <v>0</v>
      </c>
      <c r="F12" s="968">
        <v>0</v>
      </c>
      <c r="G12" s="968">
        <v>0</v>
      </c>
      <c r="H12" s="968">
        <v>0</v>
      </c>
      <c r="I12" s="968">
        <v>0</v>
      </c>
      <c r="J12" s="968">
        <v>0</v>
      </c>
      <c r="K12" s="968">
        <v>0</v>
      </c>
      <c r="L12" s="968">
        <v>0</v>
      </c>
      <c r="M12" s="968">
        <v>0</v>
      </c>
    </row>
    <row r="13" spans="1:13" x14ac:dyDescent="0.25">
      <c r="A13" s="496">
        <f t="shared" ref="A13:A24" si="0">A12+1</f>
        <v>3</v>
      </c>
      <c r="B13" s="979" t="s">
        <v>1562</v>
      </c>
      <c r="C13" s="968">
        <v>0</v>
      </c>
      <c r="D13" s="968">
        <v>0</v>
      </c>
      <c r="E13" s="968">
        <v>0</v>
      </c>
      <c r="F13" s="968">
        <v>0</v>
      </c>
      <c r="G13" s="968">
        <v>0</v>
      </c>
      <c r="H13" s="968">
        <v>0</v>
      </c>
      <c r="I13" s="968">
        <v>0</v>
      </c>
      <c r="J13" s="968">
        <v>0</v>
      </c>
      <c r="K13" s="968">
        <v>0</v>
      </c>
      <c r="L13" s="968">
        <v>0</v>
      </c>
      <c r="M13" s="968">
        <v>0</v>
      </c>
    </row>
    <row r="14" spans="1:13" x14ac:dyDescent="0.25">
      <c r="A14" s="496">
        <f t="shared" si="0"/>
        <v>4</v>
      </c>
      <c r="B14" s="979" t="s">
        <v>1562</v>
      </c>
      <c r="C14" s="968">
        <v>0</v>
      </c>
      <c r="D14" s="968">
        <v>0</v>
      </c>
      <c r="E14" s="968">
        <v>0</v>
      </c>
      <c r="F14" s="968">
        <v>0</v>
      </c>
      <c r="G14" s="968">
        <v>0</v>
      </c>
      <c r="H14" s="968">
        <v>0</v>
      </c>
      <c r="I14" s="968">
        <v>0</v>
      </c>
      <c r="J14" s="968">
        <v>0</v>
      </c>
      <c r="K14" s="968">
        <v>0</v>
      </c>
      <c r="L14" s="968">
        <v>0</v>
      </c>
      <c r="M14" s="968">
        <v>0</v>
      </c>
    </row>
    <row r="15" spans="1:13" x14ac:dyDescent="0.25">
      <c r="A15" s="496">
        <f t="shared" si="0"/>
        <v>5</v>
      </c>
      <c r="B15" s="979" t="s">
        <v>1562</v>
      </c>
      <c r="C15" s="968">
        <v>0</v>
      </c>
      <c r="D15" s="968">
        <v>0</v>
      </c>
      <c r="E15" s="968">
        <v>0</v>
      </c>
      <c r="F15" s="968">
        <v>0</v>
      </c>
      <c r="G15" s="968">
        <v>0</v>
      </c>
      <c r="H15" s="968">
        <v>0</v>
      </c>
      <c r="I15" s="968">
        <v>0</v>
      </c>
      <c r="J15" s="968">
        <v>0</v>
      </c>
      <c r="K15" s="968">
        <v>0</v>
      </c>
      <c r="L15" s="968">
        <v>0</v>
      </c>
      <c r="M15" s="968">
        <v>0</v>
      </c>
    </row>
    <row r="16" spans="1:13" x14ac:dyDescent="0.25">
      <c r="A16" s="496">
        <f t="shared" si="0"/>
        <v>6</v>
      </c>
      <c r="B16" s="979" t="s">
        <v>1562</v>
      </c>
      <c r="C16" s="968">
        <v>0</v>
      </c>
      <c r="D16" s="968">
        <v>0</v>
      </c>
      <c r="E16" s="968">
        <v>0</v>
      </c>
      <c r="F16" s="968">
        <v>0</v>
      </c>
      <c r="G16" s="968">
        <v>0</v>
      </c>
      <c r="H16" s="968">
        <v>0</v>
      </c>
      <c r="I16" s="968">
        <v>0</v>
      </c>
      <c r="J16" s="968">
        <v>0</v>
      </c>
      <c r="K16" s="968">
        <v>0</v>
      </c>
      <c r="L16" s="968">
        <v>0</v>
      </c>
      <c r="M16" s="968">
        <v>0</v>
      </c>
    </row>
    <row r="17" spans="1:15" x14ac:dyDescent="0.25">
      <c r="A17" s="496">
        <f t="shared" si="0"/>
        <v>7</v>
      </c>
      <c r="B17" s="979" t="s">
        <v>1562</v>
      </c>
      <c r="C17" s="968">
        <v>0</v>
      </c>
      <c r="D17" s="968">
        <v>0</v>
      </c>
      <c r="E17" s="968">
        <v>0</v>
      </c>
      <c r="F17" s="968">
        <v>0</v>
      </c>
      <c r="G17" s="968">
        <v>0</v>
      </c>
      <c r="H17" s="968">
        <v>0</v>
      </c>
      <c r="I17" s="968">
        <v>0</v>
      </c>
      <c r="J17" s="968">
        <v>0</v>
      </c>
      <c r="K17" s="968">
        <v>0</v>
      </c>
      <c r="L17" s="968">
        <v>0</v>
      </c>
      <c r="M17" s="968">
        <v>0</v>
      </c>
    </row>
    <row r="18" spans="1:15" x14ac:dyDescent="0.25">
      <c r="A18" s="496">
        <f t="shared" si="0"/>
        <v>8</v>
      </c>
      <c r="B18" s="979" t="s">
        <v>1562</v>
      </c>
      <c r="C18" s="968">
        <v>0</v>
      </c>
      <c r="D18" s="968">
        <v>0</v>
      </c>
      <c r="E18" s="968">
        <v>0</v>
      </c>
      <c r="F18" s="968">
        <v>0</v>
      </c>
      <c r="G18" s="968">
        <v>0</v>
      </c>
      <c r="H18" s="968">
        <v>0</v>
      </c>
      <c r="I18" s="968">
        <v>0</v>
      </c>
      <c r="J18" s="968">
        <v>0</v>
      </c>
      <c r="K18" s="968">
        <v>0</v>
      </c>
      <c r="L18" s="968">
        <v>0</v>
      </c>
      <c r="M18" s="968">
        <v>0</v>
      </c>
    </row>
    <row r="19" spans="1:15" x14ac:dyDescent="0.25">
      <c r="A19" s="496">
        <f t="shared" si="0"/>
        <v>9</v>
      </c>
      <c r="B19" s="979" t="s">
        <v>1562</v>
      </c>
      <c r="C19" s="968">
        <v>0</v>
      </c>
      <c r="D19" s="968">
        <v>0</v>
      </c>
      <c r="E19" s="968">
        <v>0</v>
      </c>
      <c r="F19" s="968">
        <v>0</v>
      </c>
      <c r="G19" s="968">
        <v>0</v>
      </c>
      <c r="H19" s="968">
        <v>0</v>
      </c>
      <c r="I19" s="968">
        <v>0</v>
      </c>
      <c r="J19" s="968">
        <v>0</v>
      </c>
      <c r="K19" s="968">
        <v>0</v>
      </c>
      <c r="L19" s="968">
        <v>0</v>
      </c>
      <c r="M19" s="968">
        <v>0</v>
      </c>
    </row>
    <row r="20" spans="1:15" x14ac:dyDescent="0.25">
      <c r="A20" s="496">
        <f t="shared" si="0"/>
        <v>10</v>
      </c>
      <c r="B20" s="979" t="s">
        <v>1562</v>
      </c>
      <c r="C20" s="968">
        <v>0</v>
      </c>
      <c r="D20" s="968">
        <v>0</v>
      </c>
      <c r="E20" s="968">
        <v>0</v>
      </c>
      <c r="F20" s="968">
        <v>0</v>
      </c>
      <c r="G20" s="968">
        <v>0</v>
      </c>
      <c r="H20" s="968">
        <v>0</v>
      </c>
      <c r="I20" s="968">
        <v>0</v>
      </c>
      <c r="J20" s="968">
        <v>0</v>
      </c>
      <c r="K20" s="968">
        <v>0</v>
      </c>
      <c r="L20" s="968">
        <v>0</v>
      </c>
      <c r="M20" s="968">
        <v>0</v>
      </c>
    </row>
    <row r="21" spans="1:15" x14ac:dyDescent="0.25">
      <c r="A21" s="496">
        <f t="shared" si="0"/>
        <v>11</v>
      </c>
      <c r="B21" s="979" t="s">
        <v>1562</v>
      </c>
      <c r="C21" s="968">
        <v>0</v>
      </c>
      <c r="D21" s="968">
        <v>0</v>
      </c>
      <c r="E21" s="968">
        <v>0</v>
      </c>
      <c r="F21" s="968">
        <v>0</v>
      </c>
      <c r="G21" s="968">
        <v>0</v>
      </c>
      <c r="H21" s="968">
        <v>0</v>
      </c>
      <c r="I21" s="968">
        <v>0</v>
      </c>
      <c r="J21" s="968">
        <v>0</v>
      </c>
      <c r="K21" s="968">
        <v>0</v>
      </c>
      <c r="L21" s="968">
        <v>0</v>
      </c>
      <c r="M21" s="968">
        <v>0</v>
      </c>
    </row>
    <row r="22" spans="1:15" x14ac:dyDescent="0.25">
      <c r="A22" s="496">
        <f t="shared" si="0"/>
        <v>12</v>
      </c>
      <c r="B22" s="979" t="s">
        <v>1562</v>
      </c>
      <c r="C22" s="968">
        <v>0</v>
      </c>
      <c r="D22" s="968">
        <v>0</v>
      </c>
      <c r="E22" s="968">
        <v>0</v>
      </c>
      <c r="F22" s="968">
        <v>0</v>
      </c>
      <c r="G22" s="968">
        <v>0</v>
      </c>
      <c r="H22" s="968">
        <v>0</v>
      </c>
      <c r="I22" s="968">
        <v>0</v>
      </c>
      <c r="J22" s="968">
        <v>0</v>
      </c>
      <c r="K22" s="968">
        <v>0</v>
      </c>
      <c r="L22" s="968">
        <v>0</v>
      </c>
      <c r="M22" s="968">
        <v>0</v>
      </c>
    </row>
    <row r="23" spans="1:15" ht="15" x14ac:dyDescent="0.4">
      <c r="A23" s="496">
        <f t="shared" si="0"/>
        <v>13</v>
      </c>
      <c r="B23" s="979" t="s">
        <v>1562</v>
      </c>
      <c r="C23" s="978">
        <v>0</v>
      </c>
      <c r="D23" s="978">
        <v>0</v>
      </c>
      <c r="E23" s="969">
        <v>0</v>
      </c>
      <c r="F23" s="969">
        <v>0</v>
      </c>
      <c r="G23" s="969">
        <v>0</v>
      </c>
      <c r="H23" s="969">
        <v>0</v>
      </c>
      <c r="I23" s="969">
        <v>0</v>
      </c>
      <c r="J23" s="969">
        <v>0</v>
      </c>
      <c r="K23" s="969">
        <v>0</v>
      </c>
      <c r="L23" s="969">
        <v>0</v>
      </c>
      <c r="M23" s="969">
        <v>0</v>
      </c>
      <c r="O23" s="1"/>
    </row>
    <row r="24" spans="1:15" x14ac:dyDescent="0.25">
      <c r="A24" s="496">
        <f t="shared" si="0"/>
        <v>14</v>
      </c>
      <c r="B24" s="500" t="s">
        <v>1322</v>
      </c>
      <c r="C24" s="968">
        <v>0</v>
      </c>
      <c r="D24" s="968">
        <v>0</v>
      </c>
      <c r="E24" s="968">
        <v>0</v>
      </c>
      <c r="F24" s="968">
        <v>0</v>
      </c>
      <c r="G24" s="968">
        <v>0</v>
      </c>
      <c r="H24" s="968">
        <v>0</v>
      </c>
      <c r="I24" s="968">
        <v>0</v>
      </c>
      <c r="J24" s="968">
        <v>0</v>
      </c>
      <c r="K24" s="968">
        <v>0</v>
      </c>
      <c r="L24" s="968">
        <v>0</v>
      </c>
      <c r="M24" s="968">
        <v>0</v>
      </c>
    </row>
    <row r="25" spans="1:15" x14ac:dyDescent="0.25">
      <c r="A25" s="466"/>
      <c r="B25" s="466"/>
      <c r="C25" s="466"/>
      <c r="D25" s="466"/>
      <c r="E25" s="466"/>
      <c r="F25" s="466"/>
      <c r="G25" s="466"/>
      <c r="H25" s="466"/>
      <c r="I25" s="466"/>
      <c r="J25" s="466"/>
      <c r="K25" s="466"/>
      <c r="L25" s="466"/>
    </row>
    <row r="26" spans="1:15" x14ac:dyDescent="0.25">
      <c r="A26" s="466"/>
      <c r="B26" s="382" t="s">
        <v>352</v>
      </c>
      <c r="C26" s="466"/>
      <c r="D26" s="466"/>
      <c r="E26" s="466"/>
      <c r="F26" s="466"/>
      <c r="G26" s="466"/>
      <c r="H26" s="466"/>
      <c r="I26" s="466"/>
      <c r="J26" s="466"/>
      <c r="K26" s="466"/>
      <c r="L26" s="466"/>
    </row>
    <row r="27" spans="1:15" x14ac:dyDescent="0.25">
      <c r="A27" s="466"/>
      <c r="B27" s="382"/>
      <c r="C27" s="466"/>
      <c r="D27" s="466"/>
      <c r="E27" s="466"/>
      <c r="F27" s="466"/>
      <c r="G27" s="466"/>
      <c r="H27" s="466"/>
      <c r="I27" s="466"/>
      <c r="J27" s="466"/>
      <c r="K27" s="466"/>
      <c r="L27" s="466"/>
    </row>
    <row r="28" spans="1:15" x14ac:dyDescent="0.25">
      <c r="A28" s="466"/>
      <c r="B28" s="222" t="s">
        <v>1976</v>
      </c>
      <c r="C28" s="468"/>
      <c r="D28" s="468"/>
      <c r="E28" s="468"/>
      <c r="F28" s="468"/>
      <c r="G28" s="468"/>
      <c r="H28" s="468"/>
      <c r="I28" s="466"/>
      <c r="J28" s="466"/>
      <c r="K28" s="466"/>
      <c r="L28" s="466"/>
    </row>
    <row r="29" spans="1:15" x14ac:dyDescent="0.25">
      <c r="A29" s="466"/>
      <c r="B29" s="920"/>
      <c r="C29" s="468"/>
      <c r="D29" s="468"/>
      <c r="E29" s="468"/>
      <c r="F29" s="468"/>
      <c r="G29" s="468"/>
      <c r="H29" s="468"/>
      <c r="I29" s="466"/>
      <c r="J29" s="466"/>
      <c r="K29" s="466"/>
      <c r="L29" s="466"/>
    </row>
    <row r="30" spans="1:15" x14ac:dyDescent="0.25">
      <c r="A30" s="382"/>
      <c r="B30" s="84" t="s">
        <v>394</v>
      </c>
      <c r="C30" s="84" t="s">
        <v>378</v>
      </c>
      <c r="D30" s="84" t="s">
        <v>379</v>
      </c>
      <c r="E30" s="84" t="s">
        <v>380</v>
      </c>
      <c r="F30" s="84" t="s">
        <v>381</v>
      </c>
      <c r="G30" s="466"/>
      <c r="H30" s="466"/>
      <c r="I30" s="466"/>
      <c r="J30" s="466"/>
      <c r="K30" s="466"/>
      <c r="L30" s="466"/>
    </row>
    <row r="31" spans="1:15" x14ac:dyDescent="0.25">
      <c r="A31" s="213"/>
      <c r="B31" s="232"/>
      <c r="C31" s="213"/>
      <c r="D31" s="213"/>
      <c r="E31" s="213"/>
      <c r="F31" s="232" t="s">
        <v>1323</v>
      </c>
      <c r="G31" s="466"/>
      <c r="H31" s="466"/>
      <c r="K31" s="466"/>
      <c r="L31" s="466"/>
    </row>
    <row r="32" spans="1:15" x14ac:dyDescent="0.25">
      <c r="A32" s="213"/>
      <c r="B32" s="103"/>
      <c r="C32" s="84"/>
      <c r="D32" s="84"/>
      <c r="E32" s="213"/>
      <c r="F32" s="213"/>
      <c r="G32" s="466"/>
      <c r="H32" s="466"/>
      <c r="K32" s="466"/>
      <c r="L32" s="466"/>
    </row>
    <row r="33" spans="1:12" ht="12.75" customHeight="1" x14ac:dyDescent="0.25">
      <c r="A33" s="49" t="s">
        <v>360</v>
      </c>
      <c r="B33" s="113" t="s">
        <v>2024</v>
      </c>
      <c r="C33" s="343">
        <v>360</v>
      </c>
      <c r="D33" s="343">
        <v>361</v>
      </c>
      <c r="E33" s="343">
        <v>362</v>
      </c>
      <c r="F33" s="3" t="s">
        <v>215</v>
      </c>
      <c r="G33" s="466"/>
      <c r="H33" s="466"/>
      <c r="K33" s="466"/>
      <c r="L33" s="466"/>
    </row>
    <row r="34" spans="1:12" ht="12.75" customHeight="1" x14ac:dyDescent="0.25">
      <c r="A34" s="496">
        <f>A24+1</f>
        <v>15</v>
      </c>
      <c r="B34" s="979" t="s">
        <v>1562</v>
      </c>
      <c r="C34" s="977">
        <v>0</v>
      </c>
      <c r="D34" s="977">
        <v>0</v>
      </c>
      <c r="E34" s="977">
        <v>0</v>
      </c>
      <c r="F34" s="968">
        <v>0</v>
      </c>
      <c r="G34" s="466"/>
      <c r="H34" s="466"/>
      <c r="K34" s="466"/>
      <c r="L34" s="466"/>
    </row>
    <row r="35" spans="1:12" ht="12.75" customHeight="1" x14ac:dyDescent="0.4">
      <c r="A35" s="496">
        <f>A34+1</f>
        <v>16</v>
      </c>
      <c r="B35" s="979" t="s">
        <v>1562</v>
      </c>
      <c r="C35" s="978">
        <v>0</v>
      </c>
      <c r="D35" s="978">
        <v>0</v>
      </c>
      <c r="E35" s="978">
        <v>0</v>
      </c>
      <c r="F35" s="969">
        <v>0</v>
      </c>
      <c r="G35" s="466"/>
      <c r="H35" s="466"/>
      <c r="K35" s="466"/>
      <c r="L35" s="466"/>
    </row>
    <row r="36" spans="1:12" ht="12.75" customHeight="1" x14ac:dyDescent="0.25">
      <c r="A36" s="496">
        <f>A35+1</f>
        <v>17</v>
      </c>
      <c r="B36" s="500" t="s">
        <v>1324</v>
      </c>
      <c r="C36" s="968">
        <v>0</v>
      </c>
      <c r="D36" s="968">
        <v>0</v>
      </c>
      <c r="E36" s="968">
        <v>0</v>
      </c>
      <c r="F36" s="968">
        <v>0</v>
      </c>
      <c r="G36" s="466"/>
      <c r="H36" s="466"/>
      <c r="K36" s="466"/>
      <c r="L36" s="466"/>
    </row>
    <row r="37" spans="1:12" ht="12.75" customHeight="1" x14ac:dyDescent="0.25">
      <c r="A37" s="466"/>
      <c r="B37" s="466"/>
      <c r="C37" s="466"/>
      <c r="D37" s="466"/>
      <c r="E37" s="466"/>
      <c r="F37" s="466"/>
      <c r="G37" s="466"/>
      <c r="H37" s="466"/>
      <c r="K37" s="466"/>
      <c r="L37" s="466"/>
    </row>
    <row r="38" spans="1:12" x14ac:dyDescent="0.25">
      <c r="A38" s="466"/>
      <c r="B38" s="1" t="s">
        <v>1145</v>
      </c>
      <c r="C38" s="21"/>
      <c r="D38" s="21"/>
      <c r="E38" s="501"/>
      <c r="F38" s="502"/>
      <c r="G38" s="503"/>
      <c r="H38" s="466"/>
      <c r="K38" s="466"/>
      <c r="L38" s="466"/>
    </row>
    <row r="39" spans="1:12" x14ac:dyDescent="0.25">
      <c r="A39" s="466"/>
      <c r="B39" s="466" t="s">
        <v>1146</v>
      </c>
      <c r="C39" s="21"/>
      <c r="D39" s="21"/>
      <c r="E39" s="501"/>
      <c r="F39" s="502"/>
      <c r="G39" s="503"/>
      <c r="H39" s="466"/>
      <c r="K39" s="466"/>
      <c r="L39" s="466"/>
    </row>
    <row r="40" spans="1:12" x14ac:dyDescent="0.25">
      <c r="A40" s="466"/>
      <c r="B40" s="466"/>
      <c r="C40" s="21"/>
      <c r="D40" s="21"/>
      <c r="E40" s="501"/>
      <c r="F40" s="502"/>
      <c r="G40" s="503"/>
      <c r="H40" s="466"/>
      <c r="K40" s="466"/>
      <c r="L40" s="466"/>
    </row>
    <row r="41" spans="1:12" x14ac:dyDescent="0.25">
      <c r="A41" s="466"/>
      <c r="B41" s="466"/>
      <c r="C41" s="21"/>
      <c r="D41" s="384" t="s">
        <v>194</v>
      </c>
      <c r="E41" s="385" t="s">
        <v>198</v>
      </c>
      <c r="F41" s="502"/>
      <c r="G41" s="503"/>
      <c r="H41" s="466"/>
      <c r="K41" s="466"/>
      <c r="L41" s="466"/>
    </row>
    <row r="42" spans="1:12" x14ac:dyDescent="0.25">
      <c r="A42" s="496">
        <f>A36+1</f>
        <v>18</v>
      </c>
      <c r="B42" s="466"/>
      <c r="C42" s="501" t="s">
        <v>353</v>
      </c>
      <c r="D42" s="968">
        <v>0</v>
      </c>
      <c r="E42" s="504" t="str">
        <f>"Sum of Line "&amp;A24&amp;", "&amp;M7&amp;" and Line "&amp;A36&amp;", "&amp;F30&amp;""</f>
        <v>Sum of Line 14, Col 12 and Line 17, Col 5</v>
      </c>
      <c r="F42" s="466"/>
      <c r="G42" s="466"/>
      <c r="H42" s="466"/>
      <c r="K42" s="466"/>
      <c r="L42" s="466"/>
    </row>
    <row r="43" spans="1:12" x14ac:dyDescent="0.25">
      <c r="A43" s="496">
        <f>A42+1</f>
        <v>19</v>
      </c>
      <c r="B43" s="466"/>
      <c r="C43" s="501" t="s">
        <v>173</v>
      </c>
      <c r="D43" s="968">
        <v>0</v>
      </c>
      <c r="E43" s="504" t="str">
        <f>"Sum of Line "&amp;A23&amp;", "&amp;M7&amp;" and Line "&amp;A35&amp;", "&amp;F30&amp;""</f>
        <v>Sum of Line 13, Col 12 and Line 16, Col 5</v>
      </c>
      <c r="F43" s="466"/>
      <c r="G43" s="466"/>
      <c r="H43" s="466"/>
      <c r="I43" s="466"/>
      <c r="J43" s="466"/>
      <c r="K43" s="466"/>
      <c r="L43" s="466"/>
    </row>
    <row r="44" spans="1:12" x14ac:dyDescent="0.25">
      <c r="A44" s="466"/>
      <c r="B44" s="466"/>
      <c r="C44" s="21"/>
      <c r="D44" s="21"/>
      <c r="E44" s="505"/>
      <c r="F44" s="506"/>
      <c r="G44" s="507"/>
      <c r="H44" s="466"/>
      <c r="I44" s="466"/>
      <c r="J44" s="466"/>
      <c r="K44" s="466"/>
      <c r="L44" s="466"/>
    </row>
    <row r="45" spans="1:12" x14ac:dyDescent="0.25">
      <c r="A45" s="466"/>
      <c r="B45" s="1" t="s">
        <v>1977</v>
      </c>
      <c r="C45" s="466"/>
      <c r="D45" s="466"/>
      <c r="E45" s="505"/>
      <c r="F45" s="506"/>
      <c r="G45" s="507"/>
      <c r="H45" s="466"/>
      <c r="I45" s="466"/>
      <c r="J45" s="466"/>
      <c r="K45" s="466"/>
      <c r="L45" s="466"/>
    </row>
    <row r="46" spans="1:12" x14ac:dyDescent="0.25">
      <c r="A46" s="466"/>
      <c r="B46" s="470" t="s">
        <v>334</v>
      </c>
      <c r="C46" s="466"/>
      <c r="D46" s="466"/>
      <c r="E46" s="505"/>
      <c r="F46" s="506"/>
      <c r="G46" s="507"/>
      <c r="H46" s="466"/>
      <c r="I46" s="466"/>
      <c r="J46" s="466"/>
      <c r="K46" s="466"/>
      <c r="L46" s="466"/>
    </row>
    <row r="47" spans="1:12" ht="12.75" customHeight="1" x14ac:dyDescent="0.25">
      <c r="A47" s="466"/>
      <c r="B47" s="470"/>
      <c r="C47" s="466"/>
      <c r="D47" s="466"/>
      <c r="E47" s="505"/>
      <c r="F47" s="506"/>
      <c r="G47" s="507"/>
      <c r="H47" s="466"/>
      <c r="I47" s="466"/>
      <c r="J47" s="466"/>
      <c r="K47" s="466"/>
      <c r="L47" s="466"/>
    </row>
    <row r="48" spans="1:12" x14ac:dyDescent="0.25">
      <c r="A48" s="466"/>
      <c r="B48" s="1"/>
      <c r="C48" s="232" t="s">
        <v>395</v>
      </c>
      <c r="D48" s="466"/>
      <c r="E48" s="505"/>
      <c r="F48" s="84" t="s">
        <v>394</v>
      </c>
      <c r="G48" s="84" t="s">
        <v>378</v>
      </c>
      <c r="H48" s="84" t="s">
        <v>379</v>
      </c>
      <c r="I48" s="466"/>
      <c r="J48" s="466"/>
      <c r="K48" s="466"/>
      <c r="L48" s="466"/>
    </row>
    <row r="49" spans="1:12" x14ac:dyDescent="0.25">
      <c r="A49" s="466"/>
      <c r="B49" s="1"/>
      <c r="C49" s="496" t="s">
        <v>446</v>
      </c>
      <c r="D49" s="505"/>
      <c r="F49" s="496" t="s">
        <v>1346</v>
      </c>
      <c r="G49" s="496" t="s">
        <v>1347</v>
      </c>
      <c r="H49" s="75" t="s">
        <v>215</v>
      </c>
      <c r="I49" s="507"/>
      <c r="J49" s="466"/>
      <c r="K49" s="466"/>
      <c r="L49" s="466"/>
    </row>
    <row r="50" spans="1:12" x14ac:dyDescent="0.25">
      <c r="A50" s="466"/>
      <c r="B50" s="466"/>
      <c r="C50" s="496" t="s">
        <v>212</v>
      </c>
      <c r="D50" s="25" t="s">
        <v>213</v>
      </c>
      <c r="F50" s="25" t="s">
        <v>414</v>
      </c>
      <c r="G50" s="25" t="s">
        <v>414</v>
      </c>
      <c r="H50" s="25" t="s">
        <v>1325</v>
      </c>
      <c r="I50" s="25"/>
      <c r="J50" s="466"/>
      <c r="K50" s="466"/>
      <c r="L50" s="466"/>
    </row>
    <row r="51" spans="1:12" x14ac:dyDescent="0.25">
      <c r="A51" s="466"/>
      <c r="B51" s="466"/>
      <c r="C51" s="3" t="s">
        <v>211</v>
      </c>
      <c r="D51" s="24" t="s">
        <v>198</v>
      </c>
      <c r="F51" s="30" t="s">
        <v>2</v>
      </c>
      <c r="G51" s="30" t="s">
        <v>2</v>
      </c>
      <c r="H51" s="30" t="s">
        <v>2</v>
      </c>
      <c r="I51" s="28" t="s">
        <v>187</v>
      </c>
      <c r="J51" s="466"/>
      <c r="K51" s="466"/>
      <c r="L51" s="466"/>
    </row>
    <row r="52" spans="1:12" x14ac:dyDescent="0.25">
      <c r="A52" s="496">
        <f>A43+1</f>
        <v>20</v>
      </c>
      <c r="B52" s="466"/>
      <c r="C52" s="508" t="s">
        <v>199</v>
      </c>
      <c r="D52" s="509" t="s">
        <v>1348</v>
      </c>
      <c r="F52" s="977">
        <v>0</v>
      </c>
      <c r="G52" s="977">
        <v>0</v>
      </c>
      <c r="H52" s="968">
        <v>0</v>
      </c>
      <c r="I52" s="509" t="s">
        <v>1978</v>
      </c>
      <c r="J52" s="468"/>
      <c r="K52" s="466"/>
      <c r="L52" s="466"/>
    </row>
    <row r="53" spans="1:12" ht="12.75" customHeight="1" x14ac:dyDescent="0.25">
      <c r="A53" s="496">
        <f>A52+1</f>
        <v>21</v>
      </c>
      <c r="B53" s="466"/>
      <c r="C53" s="497" t="s">
        <v>199</v>
      </c>
      <c r="D53" s="509" t="s">
        <v>2018</v>
      </c>
      <c r="E53" s="13"/>
      <c r="F53" s="977">
        <v>0</v>
      </c>
      <c r="G53" s="977">
        <v>0</v>
      </c>
      <c r="H53" s="968">
        <v>0</v>
      </c>
      <c r="I53" s="465" t="s">
        <v>1979</v>
      </c>
      <c r="J53" s="468"/>
      <c r="K53" s="466"/>
      <c r="L53" s="466"/>
    </row>
    <row r="54" spans="1:12" ht="12.75" customHeight="1" x14ac:dyDescent="0.25">
      <c r="A54" s="466"/>
      <c r="B54" s="466"/>
      <c r="C54" s="497"/>
      <c r="D54" s="510"/>
      <c r="E54" s="511"/>
      <c r="F54" s="502"/>
      <c r="G54" s="470"/>
      <c r="H54" s="466"/>
      <c r="I54" s="466"/>
      <c r="J54" s="466"/>
      <c r="K54" s="466"/>
      <c r="L54" s="466"/>
    </row>
    <row r="55" spans="1:12" ht="12.75" customHeight="1" x14ac:dyDescent="0.25">
      <c r="A55" s="466"/>
      <c r="B55" s="466"/>
      <c r="C55" s="21" t="s">
        <v>1350</v>
      </c>
      <c r="D55" s="21"/>
      <c r="E55" s="505"/>
      <c r="F55" s="385" t="s">
        <v>194</v>
      </c>
      <c r="G55" s="386" t="s">
        <v>198</v>
      </c>
      <c r="H55" s="466"/>
      <c r="I55" s="466"/>
      <c r="J55" s="466"/>
      <c r="K55" s="466"/>
      <c r="L55" s="466"/>
    </row>
    <row r="56" spans="1:12" x14ac:dyDescent="0.25">
      <c r="A56" s="496">
        <f>A53+1</f>
        <v>22</v>
      </c>
      <c r="B56" s="466"/>
      <c r="C56" s="21"/>
      <c r="D56" s="21"/>
      <c r="E56" s="501" t="s">
        <v>94</v>
      </c>
      <c r="F56" s="968">
        <v>0</v>
      </c>
      <c r="G56" s="512" t="str">
        <f>"Average of Line "&amp;A52&amp;" and "&amp;A53&amp;"."</f>
        <v>Average of Line 20 and 21.</v>
      </c>
      <c r="H56" s="466"/>
      <c r="I56" s="466"/>
      <c r="J56" s="466"/>
      <c r="K56" s="466"/>
      <c r="L56" s="466"/>
    </row>
    <row r="57" spans="1:12" x14ac:dyDescent="0.25">
      <c r="A57" s="496">
        <f>A56+1</f>
        <v>23</v>
      </c>
      <c r="B57" s="466"/>
      <c r="C57" s="21"/>
      <c r="D57" s="21"/>
      <c r="E57" s="513" t="s">
        <v>265</v>
      </c>
      <c r="F57" s="971" t="s">
        <v>2690</v>
      </c>
      <c r="G57" s="512" t="str">
        <f>"27-Allocators, Line "&amp;'27-Allocators'!A15&amp;""</f>
        <v>27-Allocators, Line 9</v>
      </c>
      <c r="H57" s="466"/>
      <c r="I57" s="466"/>
      <c r="J57" s="466"/>
      <c r="K57" s="466"/>
      <c r="L57" s="466"/>
    </row>
    <row r="58" spans="1:12" x14ac:dyDescent="0.25">
      <c r="A58" s="496">
        <f>A57+1</f>
        <v>24</v>
      </c>
      <c r="B58" s="466"/>
      <c r="C58" s="21"/>
      <c r="D58" s="21"/>
      <c r="E58" s="513" t="s">
        <v>335</v>
      </c>
      <c r="F58" s="968">
        <v>0</v>
      </c>
      <c r="G58" s="512" t="str">
        <f>"Line "&amp;A56&amp;" * Line "&amp;A57&amp;"."</f>
        <v>Line 22 * Line 23.</v>
      </c>
      <c r="H58" s="466"/>
      <c r="I58" s="466"/>
      <c r="J58" s="466"/>
      <c r="K58" s="466"/>
      <c r="L58" s="466"/>
    </row>
    <row r="59" spans="1:12" x14ac:dyDescent="0.25">
      <c r="A59" s="466"/>
      <c r="B59" s="466"/>
      <c r="C59" s="21"/>
      <c r="D59" s="21"/>
      <c r="E59" s="513"/>
      <c r="F59" s="502"/>
      <c r="G59" s="503"/>
      <c r="H59" s="466"/>
      <c r="I59" s="466"/>
      <c r="J59" s="466"/>
      <c r="K59" s="466"/>
      <c r="L59" s="466"/>
    </row>
    <row r="60" spans="1:12" x14ac:dyDescent="0.25">
      <c r="A60" s="466"/>
      <c r="B60" s="466"/>
      <c r="C60" s="21" t="s">
        <v>1349</v>
      </c>
      <c r="D60" s="21"/>
      <c r="E60" s="505"/>
      <c r="F60" s="385" t="s">
        <v>194</v>
      </c>
      <c r="G60" s="386" t="s">
        <v>198</v>
      </c>
      <c r="H60" s="466"/>
      <c r="I60" s="466"/>
      <c r="J60" s="466"/>
      <c r="K60" s="466"/>
      <c r="L60" s="466"/>
    </row>
    <row r="61" spans="1:12" x14ac:dyDescent="0.25">
      <c r="A61" s="496">
        <f>A58+1</f>
        <v>25</v>
      </c>
      <c r="B61" s="466"/>
      <c r="C61" s="21"/>
      <c r="D61" s="21"/>
      <c r="E61" s="501" t="s">
        <v>173</v>
      </c>
      <c r="F61" s="968">
        <v>0</v>
      </c>
      <c r="G61" s="512" t="str">
        <f>"Line "&amp;A53&amp;"."</f>
        <v>Line 21.</v>
      </c>
      <c r="H61" s="466"/>
      <c r="I61" s="466"/>
      <c r="J61" s="466"/>
      <c r="K61" s="466"/>
      <c r="L61" s="466"/>
    </row>
    <row r="62" spans="1:12" x14ac:dyDescent="0.25">
      <c r="A62" s="496">
        <f>A61+1</f>
        <v>26</v>
      </c>
      <c r="B62" s="466"/>
      <c r="C62" s="21"/>
      <c r="D62" s="21"/>
      <c r="E62" s="513" t="s">
        <v>265</v>
      </c>
      <c r="F62" s="971" t="s">
        <v>2690</v>
      </c>
      <c r="G62" s="512" t="str">
        <f>"27-Allocators, Line "&amp;'27-Allocators'!A15&amp;""</f>
        <v>27-Allocators, Line 9</v>
      </c>
      <c r="H62" s="466"/>
      <c r="I62" s="466"/>
      <c r="J62" s="466"/>
      <c r="K62" s="466"/>
      <c r="L62" s="466"/>
    </row>
    <row r="63" spans="1:12" x14ac:dyDescent="0.25">
      <c r="A63" s="496">
        <f>A62+1</f>
        <v>27</v>
      </c>
      <c r="B63" s="466"/>
      <c r="C63" s="21"/>
      <c r="D63" s="21"/>
      <c r="E63" s="513" t="s">
        <v>335</v>
      </c>
      <c r="F63" s="968">
        <v>0</v>
      </c>
      <c r="G63" s="512" t="str">
        <f>"Line "&amp;A61&amp;" * Line "&amp;A62&amp;"."</f>
        <v>Line 25 * Line 26.</v>
      </c>
      <c r="H63" s="466"/>
      <c r="I63" s="466"/>
      <c r="J63" s="466"/>
      <c r="K63" s="466"/>
      <c r="L63" s="466"/>
    </row>
    <row r="64" spans="1:12" x14ac:dyDescent="0.25">
      <c r="A64" s="466"/>
      <c r="B64" s="466"/>
      <c r="C64" s="466"/>
      <c r="D64" s="466"/>
      <c r="E64" s="466"/>
      <c r="F64" s="466"/>
      <c r="G64" s="466"/>
      <c r="H64" s="466"/>
      <c r="I64" s="466"/>
      <c r="J64" s="466"/>
      <c r="K64" s="466"/>
      <c r="L64" s="466"/>
    </row>
    <row r="65" spans="1:13" x14ac:dyDescent="0.25">
      <c r="A65" s="466"/>
      <c r="B65" s="466"/>
      <c r="C65" s="466"/>
      <c r="D65" s="466"/>
      <c r="E65" s="466"/>
      <c r="F65" s="466"/>
      <c r="G65" s="466"/>
      <c r="H65" s="466"/>
      <c r="I65" s="466"/>
      <c r="J65" s="466"/>
      <c r="K65" s="466"/>
      <c r="L65" s="466"/>
    </row>
    <row r="66" spans="1:13" x14ac:dyDescent="0.25">
      <c r="A66" s="466"/>
      <c r="B66" s="1" t="s">
        <v>1734</v>
      </c>
      <c r="C66" s="466"/>
      <c r="D66" s="466"/>
      <c r="E66" s="466"/>
      <c r="F66" s="466"/>
      <c r="G66" s="466"/>
      <c r="H66" s="466"/>
      <c r="I66" s="466"/>
      <c r="J66" s="466"/>
      <c r="K66" s="466"/>
      <c r="L66" s="466"/>
    </row>
    <row r="67" spans="1:13" x14ac:dyDescent="0.25">
      <c r="A67" s="466"/>
      <c r="C67" s="466"/>
      <c r="D67" s="466"/>
      <c r="E67" s="466"/>
      <c r="F67" s="466"/>
      <c r="G67" s="466"/>
      <c r="H67" s="466"/>
      <c r="I67" s="466"/>
      <c r="J67" s="466"/>
      <c r="K67" s="466"/>
      <c r="L67" s="466"/>
    </row>
    <row r="68" spans="1:13" x14ac:dyDescent="0.25">
      <c r="B68" s="1" t="s">
        <v>1735</v>
      </c>
      <c r="C68" s="466"/>
      <c r="D68" s="466"/>
      <c r="E68" s="466"/>
      <c r="F68" s="466"/>
      <c r="G68" s="466"/>
      <c r="H68" s="466"/>
      <c r="I68" s="466"/>
      <c r="J68" s="466"/>
      <c r="K68" s="466"/>
      <c r="L68" s="466"/>
    </row>
    <row r="69" spans="1:13" x14ac:dyDescent="0.25">
      <c r="A69" s="466"/>
      <c r="C69" s="466"/>
      <c r="D69" s="466"/>
      <c r="E69" s="466"/>
      <c r="F69" s="466"/>
      <c r="G69" s="466"/>
      <c r="H69" s="466"/>
      <c r="I69" s="466"/>
      <c r="J69" s="466"/>
      <c r="K69" s="466"/>
      <c r="L69" s="466"/>
    </row>
    <row r="70" spans="1:13" x14ac:dyDescent="0.25">
      <c r="A70" s="382"/>
      <c r="B70" s="84" t="s">
        <v>394</v>
      </c>
      <c r="C70" s="84" t="s">
        <v>378</v>
      </c>
      <c r="D70" s="84" t="s">
        <v>379</v>
      </c>
      <c r="E70" s="84" t="s">
        <v>380</v>
      </c>
      <c r="F70" s="84" t="s">
        <v>381</v>
      </c>
      <c r="G70" s="84" t="s">
        <v>382</v>
      </c>
      <c r="H70" s="84" t="s">
        <v>383</v>
      </c>
      <c r="I70" s="84" t="s">
        <v>595</v>
      </c>
      <c r="J70" s="84" t="s">
        <v>1043</v>
      </c>
      <c r="K70" s="84" t="s">
        <v>1059</v>
      </c>
      <c r="L70" s="84" t="s">
        <v>1062</v>
      </c>
      <c r="M70" s="84" t="s">
        <v>1080</v>
      </c>
    </row>
    <row r="71" spans="1:13" x14ac:dyDescent="0.25">
      <c r="A71" s="213"/>
      <c r="B71" s="232"/>
      <c r="C71" s="213"/>
      <c r="D71" s="213"/>
      <c r="E71" s="213"/>
      <c r="F71" s="213"/>
      <c r="G71" s="213"/>
      <c r="H71" s="213"/>
      <c r="I71" s="213"/>
      <c r="J71" s="213"/>
      <c r="K71" s="213"/>
      <c r="M71" s="232" t="s">
        <v>1363</v>
      </c>
    </row>
    <row r="72" spans="1:13" x14ac:dyDescent="0.25">
      <c r="A72" s="213"/>
      <c r="B72" s="103"/>
      <c r="C72" s="84"/>
      <c r="D72" s="84"/>
      <c r="E72" s="213"/>
      <c r="F72" s="213"/>
      <c r="G72" s="213"/>
      <c r="H72" s="213"/>
      <c r="I72" s="213"/>
      <c r="J72" s="213"/>
      <c r="K72" s="213"/>
      <c r="L72" s="213"/>
    </row>
    <row r="73" spans="1:13" x14ac:dyDescent="0.25">
      <c r="A73" s="49"/>
      <c r="B73" s="113" t="s">
        <v>2024</v>
      </c>
      <c r="C73" s="84">
        <v>350.1</v>
      </c>
      <c r="D73" s="84">
        <v>350.2</v>
      </c>
      <c r="E73" s="84">
        <v>352</v>
      </c>
      <c r="F73" s="84">
        <v>353</v>
      </c>
      <c r="G73" s="84">
        <v>354</v>
      </c>
      <c r="H73" s="84">
        <v>355</v>
      </c>
      <c r="I73" s="84">
        <v>356</v>
      </c>
      <c r="J73" s="84">
        <v>357</v>
      </c>
      <c r="K73" s="84">
        <v>358</v>
      </c>
      <c r="L73" s="84">
        <v>359</v>
      </c>
      <c r="M73" s="3" t="s">
        <v>215</v>
      </c>
    </row>
    <row r="74" spans="1:13" x14ac:dyDescent="0.25">
      <c r="A74" s="496">
        <f>A63+1</f>
        <v>28</v>
      </c>
      <c r="B74" s="979" t="s">
        <v>1562</v>
      </c>
      <c r="C74" s="977">
        <v>0</v>
      </c>
      <c r="D74" s="977">
        <v>0</v>
      </c>
      <c r="E74" s="977">
        <v>0</v>
      </c>
      <c r="F74" s="977">
        <v>0</v>
      </c>
      <c r="G74" s="977">
        <v>0</v>
      </c>
      <c r="H74" s="977">
        <v>0</v>
      </c>
      <c r="I74" s="977">
        <v>0</v>
      </c>
      <c r="J74" s="977">
        <v>0</v>
      </c>
      <c r="K74" s="977">
        <v>0</v>
      </c>
      <c r="L74" s="977">
        <v>0</v>
      </c>
      <c r="M74" s="968">
        <v>0</v>
      </c>
    </row>
    <row r="75" spans="1:13" x14ac:dyDescent="0.25">
      <c r="A75" s="496">
        <f t="shared" ref="A75:A86" si="1">A74+1</f>
        <v>29</v>
      </c>
      <c r="B75" s="979" t="s">
        <v>1562</v>
      </c>
      <c r="C75" s="977">
        <v>0</v>
      </c>
      <c r="D75" s="977">
        <v>0</v>
      </c>
      <c r="E75" s="977">
        <v>0</v>
      </c>
      <c r="F75" s="977">
        <v>0</v>
      </c>
      <c r="G75" s="977">
        <v>0</v>
      </c>
      <c r="H75" s="977">
        <v>0</v>
      </c>
      <c r="I75" s="977">
        <v>0</v>
      </c>
      <c r="J75" s="977">
        <v>0</v>
      </c>
      <c r="K75" s="977">
        <v>0</v>
      </c>
      <c r="L75" s="977">
        <v>0</v>
      </c>
      <c r="M75" s="968">
        <v>0</v>
      </c>
    </row>
    <row r="76" spans="1:13" x14ac:dyDescent="0.25">
      <c r="A76" s="496">
        <f t="shared" si="1"/>
        <v>30</v>
      </c>
      <c r="B76" s="979" t="s">
        <v>1562</v>
      </c>
      <c r="C76" s="977">
        <v>0</v>
      </c>
      <c r="D76" s="977">
        <v>0</v>
      </c>
      <c r="E76" s="977">
        <v>0</v>
      </c>
      <c r="F76" s="977">
        <v>0</v>
      </c>
      <c r="G76" s="977">
        <v>0</v>
      </c>
      <c r="H76" s="977">
        <v>0</v>
      </c>
      <c r="I76" s="977">
        <v>0</v>
      </c>
      <c r="J76" s="977">
        <v>0</v>
      </c>
      <c r="K76" s="977">
        <v>0</v>
      </c>
      <c r="L76" s="977">
        <v>0</v>
      </c>
      <c r="M76" s="968">
        <v>0</v>
      </c>
    </row>
    <row r="77" spans="1:13" x14ac:dyDescent="0.25">
      <c r="A77" s="496">
        <f t="shared" si="1"/>
        <v>31</v>
      </c>
      <c r="B77" s="979" t="s">
        <v>1562</v>
      </c>
      <c r="C77" s="977">
        <v>0</v>
      </c>
      <c r="D77" s="977">
        <v>0</v>
      </c>
      <c r="E77" s="977">
        <v>0</v>
      </c>
      <c r="F77" s="977">
        <v>0</v>
      </c>
      <c r="G77" s="977">
        <v>0</v>
      </c>
      <c r="H77" s="977">
        <v>0</v>
      </c>
      <c r="I77" s="977">
        <v>0</v>
      </c>
      <c r="J77" s="977">
        <v>0</v>
      </c>
      <c r="K77" s="977">
        <v>0</v>
      </c>
      <c r="L77" s="977">
        <v>0</v>
      </c>
      <c r="M77" s="968">
        <v>0</v>
      </c>
    </row>
    <row r="78" spans="1:13" x14ac:dyDescent="0.25">
      <c r="A78" s="496">
        <f t="shared" si="1"/>
        <v>32</v>
      </c>
      <c r="B78" s="979" t="s">
        <v>1562</v>
      </c>
      <c r="C78" s="977">
        <v>0</v>
      </c>
      <c r="D78" s="977">
        <v>0</v>
      </c>
      <c r="E78" s="977">
        <v>0</v>
      </c>
      <c r="F78" s="977">
        <v>0</v>
      </c>
      <c r="G78" s="977">
        <v>0</v>
      </c>
      <c r="H78" s="977">
        <v>0</v>
      </c>
      <c r="I78" s="977">
        <v>0</v>
      </c>
      <c r="J78" s="977">
        <v>0</v>
      </c>
      <c r="K78" s="977">
        <v>0</v>
      </c>
      <c r="L78" s="977">
        <v>0</v>
      </c>
      <c r="M78" s="968">
        <v>0</v>
      </c>
    </row>
    <row r="79" spans="1:13" x14ac:dyDescent="0.25">
      <c r="A79" s="496">
        <f t="shared" si="1"/>
        <v>33</v>
      </c>
      <c r="B79" s="979" t="s">
        <v>1562</v>
      </c>
      <c r="C79" s="977">
        <v>0</v>
      </c>
      <c r="D79" s="977">
        <v>0</v>
      </c>
      <c r="E79" s="977">
        <v>0</v>
      </c>
      <c r="F79" s="977">
        <v>0</v>
      </c>
      <c r="G79" s="977">
        <v>0</v>
      </c>
      <c r="H79" s="977">
        <v>0</v>
      </c>
      <c r="I79" s="977">
        <v>0</v>
      </c>
      <c r="J79" s="977">
        <v>0</v>
      </c>
      <c r="K79" s="977">
        <v>0</v>
      </c>
      <c r="L79" s="977">
        <v>0</v>
      </c>
      <c r="M79" s="968">
        <v>0</v>
      </c>
    </row>
    <row r="80" spans="1:13" x14ac:dyDescent="0.25">
      <c r="A80" s="496">
        <f t="shared" si="1"/>
        <v>34</v>
      </c>
      <c r="B80" s="979" t="s">
        <v>1562</v>
      </c>
      <c r="C80" s="977">
        <v>0</v>
      </c>
      <c r="D80" s="977">
        <v>0</v>
      </c>
      <c r="E80" s="977">
        <v>0</v>
      </c>
      <c r="F80" s="977">
        <v>0</v>
      </c>
      <c r="G80" s="977">
        <v>0</v>
      </c>
      <c r="H80" s="977">
        <v>0</v>
      </c>
      <c r="I80" s="977">
        <v>0</v>
      </c>
      <c r="J80" s="977">
        <v>0</v>
      </c>
      <c r="K80" s="977">
        <v>0</v>
      </c>
      <c r="L80" s="977">
        <v>0</v>
      </c>
      <c r="M80" s="968">
        <v>0</v>
      </c>
    </row>
    <row r="81" spans="1:13" x14ac:dyDescent="0.25">
      <c r="A81" s="496">
        <f t="shared" si="1"/>
        <v>35</v>
      </c>
      <c r="B81" s="979" t="s">
        <v>1562</v>
      </c>
      <c r="C81" s="977">
        <v>0</v>
      </c>
      <c r="D81" s="977">
        <v>0</v>
      </c>
      <c r="E81" s="977">
        <v>0</v>
      </c>
      <c r="F81" s="977">
        <v>0</v>
      </c>
      <c r="G81" s="977">
        <v>0</v>
      </c>
      <c r="H81" s="977">
        <v>0</v>
      </c>
      <c r="I81" s="977">
        <v>0</v>
      </c>
      <c r="J81" s="977">
        <v>0</v>
      </c>
      <c r="K81" s="977">
        <v>0</v>
      </c>
      <c r="L81" s="977">
        <v>0</v>
      </c>
      <c r="M81" s="968">
        <v>0</v>
      </c>
    </row>
    <row r="82" spans="1:13" x14ac:dyDescent="0.25">
      <c r="A82" s="496">
        <f t="shared" si="1"/>
        <v>36</v>
      </c>
      <c r="B82" s="979" t="s">
        <v>1562</v>
      </c>
      <c r="C82" s="977">
        <v>0</v>
      </c>
      <c r="D82" s="977">
        <v>0</v>
      </c>
      <c r="E82" s="977">
        <v>0</v>
      </c>
      <c r="F82" s="977">
        <v>0</v>
      </c>
      <c r="G82" s="977">
        <v>0</v>
      </c>
      <c r="H82" s="977">
        <v>0</v>
      </c>
      <c r="I82" s="977">
        <v>0</v>
      </c>
      <c r="J82" s="977">
        <v>0</v>
      </c>
      <c r="K82" s="977">
        <v>0</v>
      </c>
      <c r="L82" s="977">
        <v>0</v>
      </c>
      <c r="M82" s="968">
        <v>0</v>
      </c>
    </row>
    <row r="83" spans="1:13" x14ac:dyDescent="0.25">
      <c r="A83" s="496">
        <f t="shared" si="1"/>
        <v>37</v>
      </c>
      <c r="B83" s="979" t="s">
        <v>1562</v>
      </c>
      <c r="C83" s="977">
        <v>0</v>
      </c>
      <c r="D83" s="977">
        <v>0</v>
      </c>
      <c r="E83" s="977">
        <v>0</v>
      </c>
      <c r="F83" s="977">
        <v>0</v>
      </c>
      <c r="G83" s="977">
        <v>0</v>
      </c>
      <c r="H83" s="977">
        <v>0</v>
      </c>
      <c r="I83" s="977">
        <v>0</v>
      </c>
      <c r="J83" s="977">
        <v>0</v>
      </c>
      <c r="K83" s="977">
        <v>0</v>
      </c>
      <c r="L83" s="977">
        <v>0</v>
      </c>
      <c r="M83" s="968">
        <v>0</v>
      </c>
    </row>
    <row r="84" spans="1:13" x14ac:dyDescent="0.25">
      <c r="A84" s="496">
        <f t="shared" si="1"/>
        <v>38</v>
      </c>
      <c r="B84" s="979" t="s">
        <v>1562</v>
      </c>
      <c r="C84" s="977">
        <v>0</v>
      </c>
      <c r="D84" s="977">
        <v>0</v>
      </c>
      <c r="E84" s="977">
        <v>0</v>
      </c>
      <c r="F84" s="977">
        <v>0</v>
      </c>
      <c r="G84" s="977">
        <v>0</v>
      </c>
      <c r="H84" s="977">
        <v>0</v>
      </c>
      <c r="I84" s="977">
        <v>0</v>
      </c>
      <c r="J84" s="977">
        <v>0</v>
      </c>
      <c r="K84" s="977">
        <v>0</v>
      </c>
      <c r="L84" s="977">
        <v>0</v>
      </c>
      <c r="M84" s="968">
        <v>0</v>
      </c>
    </row>
    <row r="85" spans="1:13" ht="15" x14ac:dyDescent="0.4">
      <c r="A85" s="496">
        <f t="shared" si="1"/>
        <v>39</v>
      </c>
      <c r="B85" s="979" t="s">
        <v>1562</v>
      </c>
      <c r="C85" s="978">
        <v>0</v>
      </c>
      <c r="D85" s="978">
        <v>0</v>
      </c>
      <c r="E85" s="978">
        <v>0</v>
      </c>
      <c r="F85" s="978">
        <v>0</v>
      </c>
      <c r="G85" s="978">
        <v>0</v>
      </c>
      <c r="H85" s="978">
        <v>0</v>
      </c>
      <c r="I85" s="978">
        <v>0</v>
      </c>
      <c r="J85" s="978">
        <v>0</v>
      </c>
      <c r="K85" s="978">
        <v>0</v>
      </c>
      <c r="L85" s="978">
        <v>0</v>
      </c>
      <c r="M85" s="975">
        <v>0</v>
      </c>
    </row>
    <row r="86" spans="1:13" x14ac:dyDescent="0.25">
      <c r="A86" s="496">
        <f t="shared" si="1"/>
        <v>40</v>
      </c>
      <c r="B86" s="500" t="s">
        <v>4</v>
      </c>
      <c r="C86" s="968">
        <v>0</v>
      </c>
      <c r="D86" s="968">
        <v>0</v>
      </c>
      <c r="E86" s="968">
        <v>0</v>
      </c>
      <c r="F86" s="968">
        <v>0</v>
      </c>
      <c r="G86" s="968">
        <v>0</v>
      </c>
      <c r="H86" s="968">
        <v>0</v>
      </c>
      <c r="I86" s="968">
        <v>0</v>
      </c>
      <c r="J86" s="968">
        <v>0</v>
      </c>
      <c r="K86" s="968">
        <v>0</v>
      </c>
      <c r="L86" s="968">
        <v>0</v>
      </c>
      <c r="M86" s="968">
        <v>0</v>
      </c>
    </row>
    <row r="88" spans="1:13" x14ac:dyDescent="0.25">
      <c r="B88" s="43" t="s">
        <v>1972</v>
      </c>
      <c r="C88" s="13"/>
      <c r="D88" s="13"/>
      <c r="E88" s="13"/>
    </row>
    <row r="89" spans="1:13" x14ac:dyDescent="0.25">
      <c r="B89" s="13"/>
      <c r="C89" s="13"/>
      <c r="D89" s="13"/>
    </row>
    <row r="90" spans="1:13" x14ac:dyDescent="0.25">
      <c r="A90" s="382"/>
      <c r="B90" s="335" t="s">
        <v>394</v>
      </c>
      <c r="C90" s="335" t="s">
        <v>378</v>
      </c>
      <c r="D90" s="335" t="s">
        <v>379</v>
      </c>
      <c r="E90" s="84" t="s">
        <v>380</v>
      </c>
      <c r="F90" s="84" t="s">
        <v>381</v>
      </c>
      <c r="G90" s="84" t="s">
        <v>382</v>
      </c>
      <c r="H90" s="84" t="s">
        <v>383</v>
      </c>
      <c r="I90" s="84" t="s">
        <v>595</v>
      </c>
      <c r="J90" s="84" t="s">
        <v>1043</v>
      </c>
      <c r="K90" s="84" t="s">
        <v>1059</v>
      </c>
      <c r="L90" s="84" t="s">
        <v>1062</v>
      </c>
      <c r="M90" s="84" t="s">
        <v>1080</v>
      </c>
    </row>
    <row r="91" spans="1:13" x14ac:dyDescent="0.25">
      <c r="A91" s="213"/>
      <c r="B91" s="442"/>
      <c r="C91" s="222"/>
      <c r="D91" s="222"/>
      <c r="E91" s="213"/>
      <c r="F91" s="213"/>
      <c r="G91" s="213"/>
      <c r="H91" s="213"/>
      <c r="I91" s="213"/>
      <c r="J91" s="213"/>
      <c r="K91" s="213"/>
      <c r="M91" s="232" t="s">
        <v>1363</v>
      </c>
    </row>
    <row r="92" spans="1:13" x14ac:dyDescent="0.25">
      <c r="A92" s="213"/>
      <c r="B92" s="103"/>
      <c r="C92" s="335"/>
      <c r="D92" s="335"/>
      <c r="E92" s="213"/>
      <c r="F92" s="213"/>
      <c r="G92" s="213"/>
      <c r="H92" s="213"/>
      <c r="I92" s="213"/>
      <c r="J92" s="213"/>
      <c r="K92" s="213"/>
      <c r="L92" s="213"/>
    </row>
    <row r="93" spans="1:13" x14ac:dyDescent="0.25">
      <c r="A93" s="49"/>
      <c r="B93" s="113" t="s">
        <v>2024</v>
      </c>
      <c r="C93" s="335">
        <v>350.1</v>
      </c>
      <c r="D93" s="335">
        <v>350.2</v>
      </c>
      <c r="E93" s="84">
        <v>352</v>
      </c>
      <c r="F93" s="84">
        <v>353</v>
      </c>
      <c r="G93" s="84">
        <v>354</v>
      </c>
      <c r="H93" s="84">
        <v>355</v>
      </c>
      <c r="I93" s="84">
        <v>356</v>
      </c>
      <c r="J93" s="84">
        <v>357</v>
      </c>
      <c r="K93" s="84">
        <v>358</v>
      </c>
      <c r="L93" s="84">
        <v>359</v>
      </c>
      <c r="M93" s="3" t="s">
        <v>215</v>
      </c>
    </row>
    <row r="94" spans="1:13" x14ac:dyDescent="0.25">
      <c r="A94" s="496">
        <f>A86+1</f>
        <v>41</v>
      </c>
      <c r="B94" s="979" t="s">
        <v>1562</v>
      </c>
      <c r="C94" s="977">
        <v>0</v>
      </c>
      <c r="D94" s="977">
        <v>0</v>
      </c>
      <c r="E94" s="977">
        <v>0</v>
      </c>
      <c r="F94" s="977">
        <v>0</v>
      </c>
      <c r="G94" s="977">
        <v>0</v>
      </c>
      <c r="H94" s="977">
        <v>0</v>
      </c>
      <c r="I94" s="977">
        <v>0</v>
      </c>
      <c r="J94" s="977">
        <v>0</v>
      </c>
      <c r="K94" s="977">
        <v>0</v>
      </c>
      <c r="L94" s="977">
        <v>0</v>
      </c>
      <c r="M94" s="968">
        <v>0</v>
      </c>
    </row>
    <row r="95" spans="1:13" x14ac:dyDescent="0.25">
      <c r="A95" s="496">
        <f t="shared" ref="A95:A106" si="2">A94+1</f>
        <v>42</v>
      </c>
      <c r="B95" s="979" t="s">
        <v>1562</v>
      </c>
      <c r="C95" s="977">
        <v>0</v>
      </c>
      <c r="D95" s="977">
        <v>0</v>
      </c>
      <c r="E95" s="977">
        <v>0</v>
      </c>
      <c r="F95" s="977">
        <v>0</v>
      </c>
      <c r="G95" s="977">
        <v>0</v>
      </c>
      <c r="H95" s="977">
        <v>0</v>
      </c>
      <c r="I95" s="977">
        <v>0</v>
      </c>
      <c r="J95" s="977">
        <v>0</v>
      </c>
      <c r="K95" s="977">
        <v>0</v>
      </c>
      <c r="L95" s="977">
        <v>0</v>
      </c>
      <c r="M95" s="968">
        <v>0</v>
      </c>
    </row>
    <row r="96" spans="1:13" x14ac:dyDescent="0.25">
      <c r="A96" s="496">
        <f t="shared" si="2"/>
        <v>43</v>
      </c>
      <c r="B96" s="979" t="s">
        <v>1562</v>
      </c>
      <c r="C96" s="977">
        <v>0</v>
      </c>
      <c r="D96" s="977">
        <v>0</v>
      </c>
      <c r="E96" s="977">
        <v>0</v>
      </c>
      <c r="F96" s="977">
        <v>0</v>
      </c>
      <c r="G96" s="977">
        <v>0</v>
      </c>
      <c r="H96" s="977">
        <v>0</v>
      </c>
      <c r="I96" s="977">
        <v>0</v>
      </c>
      <c r="J96" s="977">
        <v>0</v>
      </c>
      <c r="K96" s="977">
        <v>0</v>
      </c>
      <c r="L96" s="977">
        <v>0</v>
      </c>
      <c r="M96" s="968">
        <v>0</v>
      </c>
    </row>
    <row r="97" spans="1:13" x14ac:dyDescent="0.25">
      <c r="A97" s="496">
        <f t="shared" si="2"/>
        <v>44</v>
      </c>
      <c r="B97" s="979" t="s">
        <v>1562</v>
      </c>
      <c r="C97" s="977">
        <v>0</v>
      </c>
      <c r="D97" s="977">
        <v>0</v>
      </c>
      <c r="E97" s="977">
        <v>0</v>
      </c>
      <c r="F97" s="977">
        <v>0</v>
      </c>
      <c r="G97" s="977">
        <v>0</v>
      </c>
      <c r="H97" s="977">
        <v>0</v>
      </c>
      <c r="I97" s="977">
        <v>0</v>
      </c>
      <c r="J97" s="977">
        <v>0</v>
      </c>
      <c r="K97" s="977">
        <v>0</v>
      </c>
      <c r="L97" s="977">
        <v>0</v>
      </c>
      <c r="M97" s="968">
        <v>0</v>
      </c>
    </row>
    <row r="98" spans="1:13" x14ac:dyDescent="0.25">
      <c r="A98" s="496">
        <f t="shared" si="2"/>
        <v>45</v>
      </c>
      <c r="B98" s="979" t="s">
        <v>1562</v>
      </c>
      <c r="C98" s="977">
        <v>0</v>
      </c>
      <c r="D98" s="977">
        <v>0</v>
      </c>
      <c r="E98" s="977">
        <v>0</v>
      </c>
      <c r="F98" s="977">
        <v>0</v>
      </c>
      <c r="G98" s="977">
        <v>0</v>
      </c>
      <c r="H98" s="977">
        <v>0</v>
      </c>
      <c r="I98" s="977">
        <v>0</v>
      </c>
      <c r="J98" s="977">
        <v>0</v>
      </c>
      <c r="K98" s="977">
        <v>0</v>
      </c>
      <c r="L98" s="977">
        <v>0</v>
      </c>
      <c r="M98" s="968">
        <v>0</v>
      </c>
    </row>
    <row r="99" spans="1:13" x14ac:dyDescent="0.25">
      <c r="A99" s="496">
        <f t="shared" si="2"/>
        <v>46</v>
      </c>
      <c r="B99" s="979" t="s">
        <v>1562</v>
      </c>
      <c r="C99" s="977">
        <v>0</v>
      </c>
      <c r="D99" s="977">
        <v>0</v>
      </c>
      <c r="E99" s="977">
        <v>0</v>
      </c>
      <c r="F99" s="977">
        <v>0</v>
      </c>
      <c r="G99" s="977">
        <v>0</v>
      </c>
      <c r="H99" s="977">
        <v>0</v>
      </c>
      <c r="I99" s="977">
        <v>0</v>
      </c>
      <c r="J99" s="977">
        <v>0</v>
      </c>
      <c r="K99" s="977">
        <v>0</v>
      </c>
      <c r="L99" s="977">
        <v>0</v>
      </c>
      <c r="M99" s="968">
        <v>0</v>
      </c>
    </row>
    <row r="100" spans="1:13" x14ac:dyDescent="0.25">
      <c r="A100" s="496">
        <f t="shared" si="2"/>
        <v>47</v>
      </c>
      <c r="B100" s="979" t="s">
        <v>1562</v>
      </c>
      <c r="C100" s="977">
        <v>0</v>
      </c>
      <c r="D100" s="977">
        <v>0</v>
      </c>
      <c r="E100" s="977">
        <v>0</v>
      </c>
      <c r="F100" s="977">
        <v>0</v>
      </c>
      <c r="G100" s="977">
        <v>0</v>
      </c>
      <c r="H100" s="977">
        <v>0</v>
      </c>
      <c r="I100" s="977">
        <v>0</v>
      </c>
      <c r="J100" s="977">
        <v>0</v>
      </c>
      <c r="K100" s="977">
        <v>0</v>
      </c>
      <c r="L100" s="977">
        <v>0</v>
      </c>
      <c r="M100" s="968">
        <v>0</v>
      </c>
    </row>
    <row r="101" spans="1:13" x14ac:dyDescent="0.25">
      <c r="A101" s="496">
        <f t="shared" si="2"/>
        <v>48</v>
      </c>
      <c r="B101" s="979" t="s">
        <v>1562</v>
      </c>
      <c r="C101" s="977">
        <v>0</v>
      </c>
      <c r="D101" s="977">
        <v>0</v>
      </c>
      <c r="E101" s="977">
        <v>0</v>
      </c>
      <c r="F101" s="977">
        <v>0</v>
      </c>
      <c r="G101" s="977">
        <v>0</v>
      </c>
      <c r="H101" s="977">
        <v>0</v>
      </c>
      <c r="I101" s="977">
        <v>0</v>
      </c>
      <c r="J101" s="977">
        <v>0</v>
      </c>
      <c r="K101" s="977">
        <v>0</v>
      </c>
      <c r="L101" s="977">
        <v>0</v>
      </c>
      <c r="M101" s="968">
        <v>0</v>
      </c>
    </row>
    <row r="102" spans="1:13" x14ac:dyDescent="0.25">
      <c r="A102" s="496">
        <f t="shared" si="2"/>
        <v>49</v>
      </c>
      <c r="B102" s="979" t="s">
        <v>1562</v>
      </c>
      <c r="C102" s="977">
        <v>0</v>
      </c>
      <c r="D102" s="977">
        <v>0</v>
      </c>
      <c r="E102" s="977">
        <v>0</v>
      </c>
      <c r="F102" s="977">
        <v>0</v>
      </c>
      <c r="G102" s="977">
        <v>0</v>
      </c>
      <c r="H102" s="977">
        <v>0</v>
      </c>
      <c r="I102" s="977">
        <v>0</v>
      </c>
      <c r="J102" s="977">
        <v>0</v>
      </c>
      <c r="K102" s="977">
        <v>0</v>
      </c>
      <c r="L102" s="977">
        <v>0</v>
      </c>
      <c r="M102" s="968">
        <v>0</v>
      </c>
    </row>
    <row r="103" spans="1:13" x14ac:dyDescent="0.25">
      <c r="A103" s="496">
        <f t="shared" si="2"/>
        <v>50</v>
      </c>
      <c r="B103" s="979" t="s">
        <v>1562</v>
      </c>
      <c r="C103" s="977">
        <v>0</v>
      </c>
      <c r="D103" s="977">
        <v>0</v>
      </c>
      <c r="E103" s="977">
        <v>0</v>
      </c>
      <c r="F103" s="977">
        <v>0</v>
      </c>
      <c r="G103" s="977">
        <v>0</v>
      </c>
      <c r="H103" s="977">
        <v>0</v>
      </c>
      <c r="I103" s="977">
        <v>0</v>
      </c>
      <c r="J103" s="977">
        <v>0</v>
      </c>
      <c r="K103" s="977">
        <v>0</v>
      </c>
      <c r="L103" s="977">
        <v>0</v>
      </c>
      <c r="M103" s="968">
        <v>0</v>
      </c>
    </row>
    <row r="104" spans="1:13" x14ac:dyDescent="0.25">
      <c r="A104" s="496">
        <f t="shared" si="2"/>
        <v>51</v>
      </c>
      <c r="B104" s="979" t="s">
        <v>1562</v>
      </c>
      <c r="C104" s="977">
        <v>0</v>
      </c>
      <c r="D104" s="977">
        <v>0</v>
      </c>
      <c r="E104" s="977">
        <v>0</v>
      </c>
      <c r="F104" s="977">
        <v>0</v>
      </c>
      <c r="G104" s="977">
        <v>0</v>
      </c>
      <c r="H104" s="977">
        <v>0</v>
      </c>
      <c r="I104" s="977">
        <v>0</v>
      </c>
      <c r="J104" s="977">
        <v>0</v>
      </c>
      <c r="K104" s="977">
        <v>0</v>
      </c>
      <c r="L104" s="977">
        <v>0</v>
      </c>
      <c r="M104" s="968">
        <v>0</v>
      </c>
    </row>
    <row r="105" spans="1:13" ht="15" x14ac:dyDescent="0.4">
      <c r="A105" s="496">
        <f t="shared" si="2"/>
        <v>52</v>
      </c>
      <c r="B105" s="979" t="s">
        <v>1562</v>
      </c>
      <c r="C105" s="978">
        <v>0</v>
      </c>
      <c r="D105" s="978">
        <v>0</v>
      </c>
      <c r="E105" s="978">
        <v>0</v>
      </c>
      <c r="F105" s="978">
        <v>0</v>
      </c>
      <c r="G105" s="978">
        <v>0</v>
      </c>
      <c r="H105" s="978">
        <v>0</v>
      </c>
      <c r="I105" s="978">
        <v>0</v>
      </c>
      <c r="J105" s="978">
        <v>0</v>
      </c>
      <c r="K105" s="978">
        <v>0</v>
      </c>
      <c r="L105" s="978">
        <v>0</v>
      </c>
      <c r="M105" s="975">
        <v>0</v>
      </c>
    </row>
    <row r="106" spans="1:13" x14ac:dyDescent="0.25">
      <c r="A106" s="496">
        <f t="shared" si="2"/>
        <v>53</v>
      </c>
      <c r="B106" s="500" t="s">
        <v>4</v>
      </c>
      <c r="C106" s="968">
        <v>0</v>
      </c>
      <c r="D106" s="968">
        <v>0</v>
      </c>
      <c r="E106" s="968">
        <v>0</v>
      </c>
      <c r="F106" s="968">
        <v>0</v>
      </c>
      <c r="G106" s="968">
        <v>0</v>
      </c>
      <c r="H106" s="968">
        <v>0</v>
      </c>
      <c r="I106" s="968">
        <v>0</v>
      </c>
      <c r="J106" s="968">
        <v>0</v>
      </c>
      <c r="K106" s="968">
        <v>0</v>
      </c>
      <c r="L106" s="968">
        <v>0</v>
      </c>
      <c r="M106" s="968">
        <v>0</v>
      </c>
    </row>
    <row r="108" spans="1:13" x14ac:dyDescent="0.25">
      <c r="B108" s="43" t="s">
        <v>1973</v>
      </c>
      <c r="C108" s="13"/>
      <c r="D108" s="13"/>
      <c r="E108" s="13"/>
      <c r="F108" s="13"/>
      <c r="G108" s="13"/>
    </row>
    <row r="109" spans="1:13" x14ac:dyDescent="0.25">
      <c r="B109" s="13"/>
      <c r="C109" s="13"/>
      <c r="D109" s="13"/>
      <c r="E109" s="13"/>
      <c r="F109" s="13"/>
      <c r="G109" s="13"/>
    </row>
    <row r="110" spans="1:13" x14ac:dyDescent="0.25">
      <c r="A110" s="382"/>
      <c r="B110" s="335" t="s">
        <v>394</v>
      </c>
      <c r="C110" s="335" t="s">
        <v>378</v>
      </c>
      <c r="D110" s="335" t="s">
        <v>379</v>
      </c>
      <c r="E110" s="335" t="s">
        <v>380</v>
      </c>
      <c r="F110" s="335" t="s">
        <v>381</v>
      </c>
      <c r="G110" s="335" t="s">
        <v>382</v>
      </c>
      <c r="H110" s="84" t="s">
        <v>383</v>
      </c>
      <c r="I110" s="84" t="s">
        <v>595</v>
      </c>
      <c r="J110" s="84" t="s">
        <v>1043</v>
      </c>
      <c r="K110" s="84" t="s">
        <v>1059</v>
      </c>
      <c r="L110" s="84" t="s">
        <v>1062</v>
      </c>
      <c r="M110" s="84" t="s">
        <v>1080</v>
      </c>
    </row>
    <row r="111" spans="1:13" x14ac:dyDescent="0.25">
      <c r="A111" s="213"/>
      <c r="B111" s="442"/>
      <c r="C111" s="222"/>
      <c r="D111" s="222"/>
      <c r="E111" s="222"/>
      <c r="F111" s="222"/>
      <c r="G111" s="222"/>
      <c r="H111" s="213"/>
      <c r="I111" s="213"/>
      <c r="J111" s="213"/>
      <c r="K111" s="213"/>
      <c r="M111" s="232" t="s">
        <v>1363</v>
      </c>
    </row>
    <row r="112" spans="1:13" x14ac:dyDescent="0.25">
      <c r="A112" s="213"/>
      <c r="B112" s="103"/>
      <c r="C112" s="335"/>
      <c r="D112" s="335"/>
      <c r="E112" s="222"/>
      <c r="F112" s="222"/>
      <c r="G112" s="222"/>
      <c r="H112" s="213"/>
      <c r="I112" s="213"/>
      <c r="J112" s="213"/>
      <c r="K112" s="213"/>
      <c r="L112" s="213"/>
    </row>
    <row r="113" spans="1:13" x14ac:dyDescent="0.25">
      <c r="A113" s="49"/>
      <c r="B113" s="113" t="s">
        <v>2024</v>
      </c>
      <c r="C113" s="335">
        <v>350.1</v>
      </c>
      <c r="D113" s="335">
        <v>350.2</v>
      </c>
      <c r="E113" s="335">
        <v>352</v>
      </c>
      <c r="F113" s="335">
        <v>353</v>
      </c>
      <c r="G113" s="335">
        <v>354</v>
      </c>
      <c r="H113" s="84">
        <v>355</v>
      </c>
      <c r="I113" s="84">
        <v>356</v>
      </c>
      <c r="J113" s="84">
        <v>357</v>
      </c>
      <c r="K113" s="84">
        <v>358</v>
      </c>
      <c r="L113" s="84">
        <v>359</v>
      </c>
      <c r="M113" s="3" t="s">
        <v>215</v>
      </c>
    </row>
    <row r="114" spans="1:13" x14ac:dyDescent="0.25">
      <c r="A114" s="496">
        <f>A106+1</f>
        <v>54</v>
      </c>
      <c r="B114" s="979" t="s">
        <v>1562</v>
      </c>
      <c r="C114" s="968">
        <v>0</v>
      </c>
      <c r="D114" s="968">
        <v>0</v>
      </c>
      <c r="E114" s="968">
        <v>0</v>
      </c>
      <c r="F114" s="968">
        <v>0</v>
      </c>
      <c r="G114" s="968">
        <v>0</v>
      </c>
      <c r="H114" s="968">
        <v>0</v>
      </c>
      <c r="I114" s="968">
        <v>0</v>
      </c>
      <c r="J114" s="968">
        <v>0</v>
      </c>
      <c r="K114" s="968">
        <v>0</v>
      </c>
      <c r="L114" s="968">
        <v>0</v>
      </c>
      <c r="M114" s="968">
        <v>0</v>
      </c>
    </row>
    <row r="115" spans="1:13" x14ac:dyDescent="0.25">
      <c r="A115" s="496">
        <f t="shared" ref="A115:A126" si="3">A114+1</f>
        <v>55</v>
      </c>
      <c r="B115" s="979" t="s">
        <v>1562</v>
      </c>
      <c r="C115" s="968">
        <v>0</v>
      </c>
      <c r="D115" s="968">
        <v>0</v>
      </c>
      <c r="E115" s="968">
        <v>0</v>
      </c>
      <c r="F115" s="968">
        <v>0</v>
      </c>
      <c r="G115" s="968">
        <v>0</v>
      </c>
      <c r="H115" s="968">
        <v>0</v>
      </c>
      <c r="I115" s="968">
        <v>0</v>
      </c>
      <c r="J115" s="968">
        <v>0</v>
      </c>
      <c r="K115" s="968">
        <v>0</v>
      </c>
      <c r="L115" s="968">
        <v>0</v>
      </c>
      <c r="M115" s="968">
        <v>0</v>
      </c>
    </row>
    <row r="116" spans="1:13" x14ac:dyDescent="0.25">
      <c r="A116" s="496">
        <f t="shared" si="3"/>
        <v>56</v>
      </c>
      <c r="B116" s="979" t="s">
        <v>1562</v>
      </c>
      <c r="C116" s="968">
        <v>0</v>
      </c>
      <c r="D116" s="968">
        <v>0</v>
      </c>
      <c r="E116" s="968">
        <v>0</v>
      </c>
      <c r="F116" s="968">
        <v>0</v>
      </c>
      <c r="G116" s="968">
        <v>0</v>
      </c>
      <c r="H116" s="968">
        <v>0</v>
      </c>
      <c r="I116" s="968">
        <v>0</v>
      </c>
      <c r="J116" s="968">
        <v>0</v>
      </c>
      <c r="K116" s="968">
        <v>0</v>
      </c>
      <c r="L116" s="968">
        <v>0</v>
      </c>
      <c r="M116" s="968">
        <v>0</v>
      </c>
    </row>
    <row r="117" spans="1:13" x14ac:dyDescent="0.25">
      <c r="A117" s="496">
        <f t="shared" si="3"/>
        <v>57</v>
      </c>
      <c r="B117" s="979" t="s">
        <v>1562</v>
      </c>
      <c r="C117" s="968">
        <v>0</v>
      </c>
      <c r="D117" s="968">
        <v>0</v>
      </c>
      <c r="E117" s="968">
        <v>0</v>
      </c>
      <c r="F117" s="968">
        <v>0</v>
      </c>
      <c r="G117" s="968">
        <v>0</v>
      </c>
      <c r="H117" s="968">
        <v>0</v>
      </c>
      <c r="I117" s="968">
        <v>0</v>
      </c>
      <c r="J117" s="968">
        <v>0</v>
      </c>
      <c r="K117" s="968">
        <v>0</v>
      </c>
      <c r="L117" s="968">
        <v>0</v>
      </c>
      <c r="M117" s="968">
        <v>0</v>
      </c>
    </row>
    <row r="118" spans="1:13" x14ac:dyDescent="0.25">
      <c r="A118" s="496">
        <f t="shared" si="3"/>
        <v>58</v>
      </c>
      <c r="B118" s="979" t="s">
        <v>1562</v>
      </c>
      <c r="C118" s="968">
        <v>0</v>
      </c>
      <c r="D118" s="968">
        <v>0</v>
      </c>
      <c r="E118" s="968">
        <v>0</v>
      </c>
      <c r="F118" s="968">
        <v>0</v>
      </c>
      <c r="G118" s="968">
        <v>0</v>
      </c>
      <c r="H118" s="968">
        <v>0</v>
      </c>
      <c r="I118" s="968">
        <v>0</v>
      </c>
      <c r="J118" s="968">
        <v>0</v>
      </c>
      <c r="K118" s="968">
        <v>0</v>
      </c>
      <c r="L118" s="968">
        <v>0</v>
      </c>
      <c r="M118" s="968">
        <v>0</v>
      </c>
    </row>
    <row r="119" spans="1:13" x14ac:dyDescent="0.25">
      <c r="A119" s="496">
        <f t="shared" si="3"/>
        <v>59</v>
      </c>
      <c r="B119" s="979" t="s">
        <v>1562</v>
      </c>
      <c r="C119" s="968">
        <v>0</v>
      </c>
      <c r="D119" s="968">
        <v>0</v>
      </c>
      <c r="E119" s="968">
        <v>0</v>
      </c>
      <c r="F119" s="968">
        <v>0</v>
      </c>
      <c r="G119" s="968">
        <v>0</v>
      </c>
      <c r="H119" s="968">
        <v>0</v>
      </c>
      <c r="I119" s="968">
        <v>0</v>
      </c>
      <c r="J119" s="968">
        <v>0</v>
      </c>
      <c r="K119" s="968">
        <v>0</v>
      </c>
      <c r="L119" s="968">
        <v>0</v>
      </c>
      <c r="M119" s="968">
        <v>0</v>
      </c>
    </row>
    <row r="120" spans="1:13" x14ac:dyDescent="0.25">
      <c r="A120" s="496">
        <f t="shared" si="3"/>
        <v>60</v>
      </c>
      <c r="B120" s="979" t="s">
        <v>1562</v>
      </c>
      <c r="C120" s="968">
        <v>0</v>
      </c>
      <c r="D120" s="968">
        <v>0</v>
      </c>
      <c r="E120" s="968">
        <v>0</v>
      </c>
      <c r="F120" s="968">
        <v>0</v>
      </c>
      <c r="G120" s="968">
        <v>0</v>
      </c>
      <c r="H120" s="968">
        <v>0</v>
      </c>
      <c r="I120" s="968">
        <v>0</v>
      </c>
      <c r="J120" s="968">
        <v>0</v>
      </c>
      <c r="K120" s="968">
        <v>0</v>
      </c>
      <c r="L120" s="968">
        <v>0</v>
      </c>
      <c r="M120" s="968">
        <v>0</v>
      </c>
    </row>
    <row r="121" spans="1:13" x14ac:dyDescent="0.25">
      <c r="A121" s="496">
        <f t="shared" si="3"/>
        <v>61</v>
      </c>
      <c r="B121" s="979" t="s">
        <v>1562</v>
      </c>
      <c r="C121" s="968">
        <v>0</v>
      </c>
      <c r="D121" s="968">
        <v>0</v>
      </c>
      <c r="E121" s="968">
        <v>0</v>
      </c>
      <c r="F121" s="968">
        <v>0</v>
      </c>
      <c r="G121" s="968">
        <v>0</v>
      </c>
      <c r="H121" s="968">
        <v>0</v>
      </c>
      <c r="I121" s="968">
        <v>0</v>
      </c>
      <c r="J121" s="968">
        <v>0</v>
      </c>
      <c r="K121" s="968">
        <v>0</v>
      </c>
      <c r="L121" s="968">
        <v>0</v>
      </c>
      <c r="M121" s="968">
        <v>0</v>
      </c>
    </row>
    <row r="122" spans="1:13" x14ac:dyDescent="0.25">
      <c r="A122" s="496">
        <f t="shared" si="3"/>
        <v>62</v>
      </c>
      <c r="B122" s="979" t="s">
        <v>1562</v>
      </c>
      <c r="C122" s="968">
        <v>0</v>
      </c>
      <c r="D122" s="968">
        <v>0</v>
      </c>
      <c r="E122" s="968">
        <v>0</v>
      </c>
      <c r="F122" s="968">
        <v>0</v>
      </c>
      <c r="G122" s="968">
        <v>0</v>
      </c>
      <c r="H122" s="968">
        <v>0</v>
      </c>
      <c r="I122" s="968">
        <v>0</v>
      </c>
      <c r="J122" s="968">
        <v>0</v>
      </c>
      <c r="K122" s="968">
        <v>0</v>
      </c>
      <c r="L122" s="968">
        <v>0</v>
      </c>
      <c r="M122" s="968">
        <v>0</v>
      </c>
    </row>
    <row r="123" spans="1:13" x14ac:dyDescent="0.25">
      <c r="A123" s="496">
        <f t="shared" si="3"/>
        <v>63</v>
      </c>
      <c r="B123" s="979" t="s">
        <v>1562</v>
      </c>
      <c r="C123" s="968">
        <v>0</v>
      </c>
      <c r="D123" s="968">
        <v>0</v>
      </c>
      <c r="E123" s="968">
        <v>0</v>
      </c>
      <c r="F123" s="968">
        <v>0</v>
      </c>
      <c r="G123" s="968">
        <v>0</v>
      </c>
      <c r="H123" s="968">
        <v>0</v>
      </c>
      <c r="I123" s="968">
        <v>0</v>
      </c>
      <c r="J123" s="968">
        <v>0</v>
      </c>
      <c r="K123" s="968">
        <v>0</v>
      </c>
      <c r="L123" s="968">
        <v>0</v>
      </c>
      <c r="M123" s="968">
        <v>0</v>
      </c>
    </row>
    <row r="124" spans="1:13" x14ac:dyDescent="0.25">
      <c r="A124" s="496">
        <f t="shared" si="3"/>
        <v>64</v>
      </c>
      <c r="B124" s="979" t="s">
        <v>1562</v>
      </c>
      <c r="C124" s="968">
        <v>0</v>
      </c>
      <c r="D124" s="968">
        <v>0</v>
      </c>
      <c r="E124" s="968">
        <v>0</v>
      </c>
      <c r="F124" s="968">
        <v>0</v>
      </c>
      <c r="G124" s="968">
        <v>0</v>
      </c>
      <c r="H124" s="968">
        <v>0</v>
      </c>
      <c r="I124" s="968">
        <v>0</v>
      </c>
      <c r="J124" s="968">
        <v>0</v>
      </c>
      <c r="K124" s="968">
        <v>0</v>
      </c>
      <c r="L124" s="968">
        <v>0</v>
      </c>
      <c r="M124" s="968">
        <v>0</v>
      </c>
    </row>
    <row r="125" spans="1:13" ht="15" x14ac:dyDescent="0.4">
      <c r="A125" s="496">
        <f t="shared" si="3"/>
        <v>65</v>
      </c>
      <c r="B125" s="979" t="s">
        <v>1562</v>
      </c>
      <c r="C125" s="969">
        <v>0</v>
      </c>
      <c r="D125" s="969">
        <v>0</v>
      </c>
      <c r="E125" s="969">
        <v>0</v>
      </c>
      <c r="F125" s="969">
        <v>0</v>
      </c>
      <c r="G125" s="969">
        <v>0</v>
      </c>
      <c r="H125" s="969">
        <v>0</v>
      </c>
      <c r="I125" s="969">
        <v>0</v>
      </c>
      <c r="J125" s="969">
        <v>0</v>
      </c>
      <c r="K125" s="969">
        <v>0</v>
      </c>
      <c r="L125" s="969">
        <v>0</v>
      </c>
      <c r="M125" s="969">
        <v>0</v>
      </c>
    </row>
    <row r="126" spans="1:13" x14ac:dyDescent="0.25">
      <c r="A126" s="496">
        <f t="shared" si="3"/>
        <v>66</v>
      </c>
      <c r="B126" s="500" t="s">
        <v>4</v>
      </c>
      <c r="C126" s="968">
        <v>0</v>
      </c>
      <c r="D126" s="968">
        <v>0</v>
      </c>
      <c r="E126" s="968">
        <v>0</v>
      </c>
      <c r="F126" s="968">
        <v>0</v>
      </c>
      <c r="G126" s="968">
        <v>0</v>
      </c>
      <c r="H126" s="968">
        <v>0</v>
      </c>
      <c r="I126" s="968">
        <v>0</v>
      </c>
      <c r="J126" s="968">
        <v>0</v>
      </c>
      <c r="K126" s="968">
        <v>0</v>
      </c>
      <c r="L126" s="968">
        <v>0</v>
      </c>
      <c r="M126" s="968">
        <v>0</v>
      </c>
    </row>
    <row r="128" spans="1:13" x14ac:dyDescent="0.25">
      <c r="B128" s="1" t="s">
        <v>1736</v>
      </c>
    </row>
    <row r="129" spans="1:13" x14ac:dyDescent="0.25">
      <c r="B129" s="470" t="s">
        <v>1737</v>
      </c>
    </row>
    <row r="130" spans="1:13" x14ac:dyDescent="0.25">
      <c r="B130" s="15"/>
      <c r="C130" s="84">
        <v>350.1</v>
      </c>
      <c r="D130" s="84">
        <v>350.2</v>
      </c>
      <c r="E130" s="84">
        <v>352</v>
      </c>
      <c r="F130" s="84">
        <v>353</v>
      </c>
      <c r="G130" s="84">
        <v>354</v>
      </c>
      <c r="H130" s="84">
        <v>355</v>
      </c>
      <c r="I130" s="84">
        <v>356</v>
      </c>
      <c r="J130" s="84">
        <v>357</v>
      </c>
      <c r="K130" s="84">
        <v>358</v>
      </c>
      <c r="L130" s="84">
        <v>359</v>
      </c>
      <c r="M130" s="3" t="s">
        <v>215</v>
      </c>
    </row>
    <row r="131" spans="1:13" x14ac:dyDescent="0.25">
      <c r="A131" s="496">
        <f>A126+1</f>
        <v>67</v>
      </c>
      <c r="B131" s="15"/>
      <c r="C131" s="968">
        <v>0</v>
      </c>
      <c r="D131" s="968">
        <v>0</v>
      </c>
      <c r="E131" s="968">
        <v>0</v>
      </c>
      <c r="F131" s="968">
        <v>0</v>
      </c>
      <c r="G131" s="968">
        <v>0</v>
      </c>
      <c r="H131" s="968">
        <v>0</v>
      </c>
      <c r="I131" s="968">
        <v>0</v>
      </c>
      <c r="J131" s="968">
        <v>0</v>
      </c>
      <c r="K131" s="968">
        <v>0</v>
      </c>
      <c r="L131" s="968">
        <v>0</v>
      </c>
      <c r="M131" s="968">
        <v>0</v>
      </c>
    </row>
    <row r="132" spans="1:13" x14ac:dyDescent="0.25">
      <c r="B132" s="15"/>
      <c r="C132" s="6"/>
      <c r="D132" s="6"/>
      <c r="E132" s="6"/>
      <c r="F132" s="6"/>
      <c r="G132" s="6"/>
      <c r="H132" s="6"/>
      <c r="I132" s="6"/>
      <c r="J132" s="6"/>
      <c r="K132" s="6"/>
      <c r="L132" s="6"/>
      <c r="M132" s="6"/>
    </row>
    <row r="133" spans="1:13" x14ac:dyDescent="0.25">
      <c r="B133" s="470" t="s">
        <v>1738</v>
      </c>
      <c r="C133" s="6"/>
      <c r="D133" s="6"/>
      <c r="E133" s="6"/>
      <c r="F133" s="6"/>
      <c r="G133" s="6"/>
      <c r="H133" s="6"/>
      <c r="I133" s="6"/>
      <c r="J133" s="6"/>
      <c r="K133" s="6"/>
      <c r="L133" s="6"/>
      <c r="M133" s="6"/>
    </row>
    <row r="134" spans="1:13" x14ac:dyDescent="0.25">
      <c r="B134" s="15"/>
      <c r="C134" s="84">
        <v>350.1</v>
      </c>
      <c r="D134" s="84">
        <v>350.2</v>
      </c>
      <c r="E134" s="84">
        <v>352</v>
      </c>
      <c r="F134" s="84">
        <v>353</v>
      </c>
      <c r="G134" s="84">
        <v>354</v>
      </c>
      <c r="H134" s="84">
        <v>355</v>
      </c>
      <c r="I134" s="84">
        <v>356</v>
      </c>
      <c r="J134" s="84">
        <v>357</v>
      </c>
      <c r="K134" s="84">
        <v>358</v>
      </c>
      <c r="L134" s="84">
        <v>359</v>
      </c>
      <c r="M134" s="3" t="s">
        <v>215</v>
      </c>
    </row>
    <row r="135" spans="1:13" x14ac:dyDescent="0.25">
      <c r="A135" s="496">
        <f>A131+1</f>
        <v>68</v>
      </c>
      <c r="B135" s="15"/>
      <c r="C135" s="968">
        <v>0</v>
      </c>
      <c r="D135" s="968">
        <v>0</v>
      </c>
      <c r="E135" s="968">
        <v>0</v>
      </c>
      <c r="F135" s="968">
        <v>0</v>
      </c>
      <c r="G135" s="968">
        <v>0</v>
      </c>
      <c r="H135" s="968">
        <v>0</v>
      </c>
      <c r="I135" s="968">
        <v>0</v>
      </c>
      <c r="J135" s="968">
        <v>0</v>
      </c>
      <c r="K135" s="968">
        <v>0</v>
      </c>
      <c r="L135" s="968">
        <v>0</v>
      </c>
      <c r="M135" s="968">
        <v>0</v>
      </c>
    </row>
    <row r="136" spans="1:13" x14ac:dyDescent="0.25">
      <c r="B136" s="15"/>
      <c r="C136" s="6"/>
      <c r="D136" s="6"/>
      <c r="E136" s="6"/>
      <c r="F136" s="6"/>
      <c r="G136" s="6"/>
      <c r="H136" s="6"/>
      <c r="I136" s="6"/>
      <c r="J136" s="6"/>
      <c r="K136" s="6"/>
      <c r="L136" s="6"/>
      <c r="M136" s="6"/>
    </row>
    <row r="137" spans="1:13" x14ac:dyDescent="0.25">
      <c r="B137" s="470" t="s">
        <v>1739</v>
      </c>
      <c r="C137" s="6"/>
      <c r="D137" s="6"/>
      <c r="E137" s="6"/>
      <c r="F137" s="6"/>
      <c r="G137" s="6"/>
      <c r="H137" s="6"/>
      <c r="I137" s="6"/>
      <c r="J137" s="6"/>
      <c r="K137" s="6"/>
      <c r="L137" s="6"/>
      <c r="M137" s="6"/>
    </row>
    <row r="138" spans="1:13" x14ac:dyDescent="0.25">
      <c r="C138" s="84">
        <v>350.1</v>
      </c>
      <c r="D138" s="84">
        <v>350.2</v>
      </c>
      <c r="E138" s="84">
        <v>352</v>
      </c>
      <c r="F138" s="84">
        <v>353</v>
      </c>
      <c r="G138" s="84">
        <v>354</v>
      </c>
      <c r="H138" s="84">
        <v>355</v>
      </c>
      <c r="I138" s="84">
        <v>356</v>
      </c>
      <c r="J138" s="84">
        <v>357</v>
      </c>
      <c r="K138" s="84">
        <v>358</v>
      </c>
      <c r="L138" s="84">
        <v>359</v>
      </c>
      <c r="M138" s="3" t="s">
        <v>215</v>
      </c>
    </row>
    <row r="139" spans="1:13" x14ac:dyDescent="0.25">
      <c r="A139" s="496">
        <f>A135+1</f>
        <v>69</v>
      </c>
      <c r="C139" s="968">
        <v>0</v>
      </c>
      <c r="D139" s="968">
        <v>0</v>
      </c>
      <c r="E139" s="968">
        <v>0</v>
      </c>
      <c r="F139" s="968">
        <v>0</v>
      </c>
      <c r="G139" s="968">
        <v>0</v>
      </c>
      <c r="H139" s="968">
        <v>0</v>
      </c>
      <c r="I139" s="968">
        <v>0</v>
      </c>
      <c r="J139" s="968">
        <v>0</v>
      </c>
      <c r="K139" s="968">
        <v>0</v>
      </c>
      <c r="L139" s="968">
        <v>0</v>
      </c>
      <c r="M139" s="968">
        <v>0</v>
      </c>
    </row>
    <row r="141" spans="1:13" x14ac:dyDescent="0.25">
      <c r="B141" s="43" t="s">
        <v>1974</v>
      </c>
      <c r="C141" s="13"/>
      <c r="D141" s="13"/>
      <c r="E141" s="13"/>
      <c r="F141" s="13"/>
      <c r="G141" s="13"/>
    </row>
    <row r="142" spans="1:13" x14ac:dyDescent="0.25">
      <c r="A142" s="382"/>
      <c r="B142" s="335" t="s">
        <v>394</v>
      </c>
      <c r="C142" s="335" t="s">
        <v>378</v>
      </c>
      <c r="D142" s="335" t="s">
        <v>379</v>
      </c>
      <c r="E142" s="335" t="s">
        <v>380</v>
      </c>
      <c r="F142" s="335" t="s">
        <v>381</v>
      </c>
      <c r="G142" s="335" t="s">
        <v>382</v>
      </c>
      <c r="H142" s="84" t="s">
        <v>383</v>
      </c>
      <c r="I142" s="84" t="s">
        <v>595</v>
      </c>
      <c r="J142" s="84" t="s">
        <v>1043</v>
      </c>
      <c r="K142" s="84" t="s">
        <v>1059</v>
      </c>
      <c r="L142" s="84" t="s">
        <v>1062</v>
      </c>
      <c r="M142" s="84" t="s">
        <v>1080</v>
      </c>
    </row>
    <row r="143" spans="1:13" x14ac:dyDescent="0.25">
      <c r="A143" s="213"/>
      <c r="B143" s="440"/>
      <c r="C143" s="222"/>
      <c r="D143" s="222"/>
      <c r="E143" s="222"/>
      <c r="F143" s="514"/>
      <c r="G143" s="222"/>
      <c r="H143" s="213"/>
      <c r="I143" s="213"/>
      <c r="J143" s="213"/>
      <c r="K143" s="213"/>
      <c r="L143" s="213"/>
      <c r="M143" s="232" t="s">
        <v>1363</v>
      </c>
    </row>
    <row r="144" spans="1:13" x14ac:dyDescent="0.25">
      <c r="A144" s="213"/>
      <c r="B144" s="103"/>
      <c r="C144" s="335"/>
      <c r="D144" s="335"/>
      <c r="E144" s="222"/>
      <c r="F144" s="222"/>
      <c r="G144" s="222"/>
      <c r="H144" s="213"/>
      <c r="I144" s="213"/>
      <c r="J144" s="213"/>
      <c r="K144" s="213"/>
      <c r="L144" s="213"/>
    </row>
    <row r="145" spans="1:13" x14ac:dyDescent="0.25">
      <c r="A145" s="49"/>
      <c r="B145" s="113" t="s">
        <v>2024</v>
      </c>
      <c r="C145" s="335">
        <v>350.1</v>
      </c>
      <c r="D145" s="335">
        <v>350.2</v>
      </c>
      <c r="E145" s="335">
        <v>352</v>
      </c>
      <c r="F145" s="335">
        <v>353</v>
      </c>
      <c r="G145" s="335">
        <v>354</v>
      </c>
      <c r="H145" s="84">
        <v>355</v>
      </c>
      <c r="I145" s="84">
        <v>356</v>
      </c>
      <c r="J145" s="84">
        <v>357</v>
      </c>
      <c r="K145" s="84">
        <v>358</v>
      </c>
      <c r="L145" s="84">
        <v>359</v>
      </c>
      <c r="M145" s="3" t="s">
        <v>215</v>
      </c>
    </row>
    <row r="146" spans="1:13" x14ac:dyDescent="0.25">
      <c r="A146" s="496">
        <f>A139+1</f>
        <v>70</v>
      </c>
      <c r="B146" s="979" t="s">
        <v>1562</v>
      </c>
      <c r="C146" s="968">
        <v>0</v>
      </c>
      <c r="D146" s="968">
        <v>0</v>
      </c>
      <c r="E146" s="968">
        <v>0</v>
      </c>
      <c r="F146" s="968">
        <v>0</v>
      </c>
      <c r="G146" s="968">
        <v>0</v>
      </c>
      <c r="H146" s="968">
        <v>0</v>
      </c>
      <c r="I146" s="968">
        <v>0</v>
      </c>
      <c r="J146" s="968">
        <v>0</v>
      </c>
      <c r="K146" s="968">
        <v>0</v>
      </c>
      <c r="L146" s="968">
        <v>0</v>
      </c>
      <c r="M146" s="968">
        <v>0</v>
      </c>
    </row>
    <row r="147" spans="1:13" x14ac:dyDescent="0.25">
      <c r="A147" s="496">
        <f t="shared" ref="A147:A158" si="4">A146+1</f>
        <v>71</v>
      </c>
      <c r="B147" s="979" t="s">
        <v>1562</v>
      </c>
      <c r="C147" s="968">
        <v>0</v>
      </c>
      <c r="D147" s="968">
        <v>0</v>
      </c>
      <c r="E147" s="968">
        <v>0</v>
      </c>
      <c r="F147" s="968">
        <v>0</v>
      </c>
      <c r="G147" s="968">
        <v>0</v>
      </c>
      <c r="H147" s="968">
        <v>0</v>
      </c>
      <c r="I147" s="968">
        <v>0</v>
      </c>
      <c r="J147" s="968">
        <v>0</v>
      </c>
      <c r="K147" s="968">
        <v>0</v>
      </c>
      <c r="L147" s="968">
        <v>0</v>
      </c>
      <c r="M147" s="968">
        <v>0</v>
      </c>
    </row>
    <row r="148" spans="1:13" x14ac:dyDescent="0.25">
      <c r="A148" s="496">
        <f t="shared" si="4"/>
        <v>72</v>
      </c>
      <c r="B148" s="979" t="s">
        <v>1562</v>
      </c>
      <c r="C148" s="968">
        <v>0</v>
      </c>
      <c r="D148" s="968">
        <v>0</v>
      </c>
      <c r="E148" s="968">
        <v>0</v>
      </c>
      <c r="F148" s="968">
        <v>0</v>
      </c>
      <c r="G148" s="968">
        <v>0</v>
      </c>
      <c r="H148" s="968">
        <v>0</v>
      </c>
      <c r="I148" s="968">
        <v>0</v>
      </c>
      <c r="J148" s="968">
        <v>0</v>
      </c>
      <c r="K148" s="968">
        <v>0</v>
      </c>
      <c r="L148" s="968">
        <v>0</v>
      </c>
      <c r="M148" s="968">
        <v>0</v>
      </c>
    </row>
    <row r="149" spans="1:13" x14ac:dyDescent="0.25">
      <c r="A149" s="496">
        <f t="shared" si="4"/>
        <v>73</v>
      </c>
      <c r="B149" s="979" t="s">
        <v>1562</v>
      </c>
      <c r="C149" s="968">
        <v>0</v>
      </c>
      <c r="D149" s="968">
        <v>0</v>
      </c>
      <c r="E149" s="968">
        <v>0</v>
      </c>
      <c r="F149" s="968">
        <v>0</v>
      </c>
      <c r="G149" s="968">
        <v>0</v>
      </c>
      <c r="H149" s="968">
        <v>0</v>
      </c>
      <c r="I149" s="968">
        <v>0</v>
      </c>
      <c r="J149" s="968">
        <v>0</v>
      </c>
      <c r="K149" s="968">
        <v>0</v>
      </c>
      <c r="L149" s="968">
        <v>0</v>
      </c>
      <c r="M149" s="968">
        <v>0</v>
      </c>
    </row>
    <row r="150" spans="1:13" x14ac:dyDescent="0.25">
      <c r="A150" s="496">
        <f t="shared" si="4"/>
        <v>74</v>
      </c>
      <c r="B150" s="979" t="s">
        <v>1562</v>
      </c>
      <c r="C150" s="968">
        <v>0</v>
      </c>
      <c r="D150" s="968">
        <v>0</v>
      </c>
      <c r="E150" s="968">
        <v>0</v>
      </c>
      <c r="F150" s="968">
        <v>0</v>
      </c>
      <c r="G150" s="968">
        <v>0</v>
      </c>
      <c r="H150" s="968">
        <v>0</v>
      </c>
      <c r="I150" s="968">
        <v>0</v>
      </c>
      <c r="J150" s="968">
        <v>0</v>
      </c>
      <c r="K150" s="968">
        <v>0</v>
      </c>
      <c r="L150" s="968">
        <v>0</v>
      </c>
      <c r="M150" s="968">
        <v>0</v>
      </c>
    </row>
    <row r="151" spans="1:13" x14ac:dyDescent="0.25">
      <c r="A151" s="496">
        <f t="shared" si="4"/>
        <v>75</v>
      </c>
      <c r="B151" s="979" t="s">
        <v>1562</v>
      </c>
      <c r="C151" s="968">
        <v>0</v>
      </c>
      <c r="D151" s="968">
        <v>0</v>
      </c>
      <c r="E151" s="968">
        <v>0</v>
      </c>
      <c r="F151" s="968">
        <v>0</v>
      </c>
      <c r="G151" s="968">
        <v>0</v>
      </c>
      <c r="H151" s="968">
        <v>0</v>
      </c>
      <c r="I151" s="968">
        <v>0</v>
      </c>
      <c r="J151" s="968">
        <v>0</v>
      </c>
      <c r="K151" s="968">
        <v>0</v>
      </c>
      <c r="L151" s="968">
        <v>0</v>
      </c>
      <c r="M151" s="968">
        <v>0</v>
      </c>
    </row>
    <row r="152" spans="1:13" x14ac:dyDescent="0.25">
      <c r="A152" s="496">
        <f t="shared" si="4"/>
        <v>76</v>
      </c>
      <c r="B152" s="979" t="s">
        <v>1562</v>
      </c>
      <c r="C152" s="968">
        <v>0</v>
      </c>
      <c r="D152" s="968">
        <v>0</v>
      </c>
      <c r="E152" s="968">
        <v>0</v>
      </c>
      <c r="F152" s="968">
        <v>0</v>
      </c>
      <c r="G152" s="968">
        <v>0</v>
      </c>
      <c r="H152" s="968">
        <v>0</v>
      </c>
      <c r="I152" s="968">
        <v>0</v>
      </c>
      <c r="J152" s="968">
        <v>0</v>
      </c>
      <c r="K152" s="968">
        <v>0</v>
      </c>
      <c r="L152" s="968">
        <v>0</v>
      </c>
      <c r="M152" s="968">
        <v>0</v>
      </c>
    </row>
    <row r="153" spans="1:13" x14ac:dyDescent="0.25">
      <c r="A153" s="496">
        <f t="shared" si="4"/>
        <v>77</v>
      </c>
      <c r="B153" s="979" t="s">
        <v>1562</v>
      </c>
      <c r="C153" s="968">
        <v>0</v>
      </c>
      <c r="D153" s="968">
        <v>0</v>
      </c>
      <c r="E153" s="968">
        <v>0</v>
      </c>
      <c r="F153" s="968">
        <v>0</v>
      </c>
      <c r="G153" s="968">
        <v>0</v>
      </c>
      <c r="H153" s="968">
        <v>0</v>
      </c>
      <c r="I153" s="968">
        <v>0</v>
      </c>
      <c r="J153" s="968">
        <v>0</v>
      </c>
      <c r="K153" s="968">
        <v>0</v>
      </c>
      <c r="L153" s="968">
        <v>0</v>
      </c>
      <c r="M153" s="968">
        <v>0</v>
      </c>
    </row>
    <row r="154" spans="1:13" x14ac:dyDescent="0.25">
      <c r="A154" s="496">
        <f t="shared" si="4"/>
        <v>78</v>
      </c>
      <c r="B154" s="979" t="s">
        <v>1562</v>
      </c>
      <c r="C154" s="968">
        <v>0</v>
      </c>
      <c r="D154" s="968">
        <v>0</v>
      </c>
      <c r="E154" s="968">
        <v>0</v>
      </c>
      <c r="F154" s="968">
        <v>0</v>
      </c>
      <c r="G154" s="968">
        <v>0</v>
      </c>
      <c r="H154" s="968">
        <v>0</v>
      </c>
      <c r="I154" s="968">
        <v>0</v>
      </c>
      <c r="J154" s="968">
        <v>0</v>
      </c>
      <c r="K154" s="968">
        <v>0</v>
      </c>
      <c r="L154" s="968">
        <v>0</v>
      </c>
      <c r="M154" s="968">
        <v>0</v>
      </c>
    </row>
    <row r="155" spans="1:13" x14ac:dyDescent="0.25">
      <c r="A155" s="496">
        <f t="shared" si="4"/>
        <v>79</v>
      </c>
      <c r="B155" s="979" t="s">
        <v>1562</v>
      </c>
      <c r="C155" s="968">
        <v>0</v>
      </c>
      <c r="D155" s="968">
        <v>0</v>
      </c>
      <c r="E155" s="968">
        <v>0</v>
      </c>
      <c r="F155" s="968">
        <v>0</v>
      </c>
      <c r="G155" s="968">
        <v>0</v>
      </c>
      <c r="H155" s="968">
        <v>0</v>
      </c>
      <c r="I155" s="968">
        <v>0</v>
      </c>
      <c r="J155" s="968">
        <v>0</v>
      </c>
      <c r="K155" s="968">
        <v>0</v>
      </c>
      <c r="L155" s="968">
        <v>0</v>
      </c>
      <c r="M155" s="968">
        <v>0</v>
      </c>
    </row>
    <row r="156" spans="1:13" x14ac:dyDescent="0.25">
      <c r="A156" s="496">
        <f t="shared" si="4"/>
        <v>80</v>
      </c>
      <c r="B156" s="979" t="s">
        <v>1562</v>
      </c>
      <c r="C156" s="968">
        <v>0</v>
      </c>
      <c r="D156" s="968">
        <v>0</v>
      </c>
      <c r="E156" s="968">
        <v>0</v>
      </c>
      <c r="F156" s="968">
        <v>0</v>
      </c>
      <c r="G156" s="968">
        <v>0</v>
      </c>
      <c r="H156" s="968">
        <v>0</v>
      </c>
      <c r="I156" s="968">
        <v>0</v>
      </c>
      <c r="J156" s="968">
        <v>0</v>
      </c>
      <c r="K156" s="968">
        <v>0</v>
      </c>
      <c r="L156" s="968">
        <v>0</v>
      </c>
      <c r="M156" s="968">
        <v>0</v>
      </c>
    </row>
    <row r="157" spans="1:13" ht="15" x14ac:dyDescent="0.4">
      <c r="A157" s="496">
        <f t="shared" si="4"/>
        <v>81</v>
      </c>
      <c r="B157" s="979" t="s">
        <v>1562</v>
      </c>
      <c r="C157" s="969">
        <v>0</v>
      </c>
      <c r="D157" s="969">
        <v>0</v>
      </c>
      <c r="E157" s="969">
        <v>0</v>
      </c>
      <c r="F157" s="969">
        <v>0</v>
      </c>
      <c r="G157" s="969">
        <v>0</v>
      </c>
      <c r="H157" s="969">
        <v>0</v>
      </c>
      <c r="I157" s="969">
        <v>0</v>
      </c>
      <c r="J157" s="969">
        <v>0</v>
      </c>
      <c r="K157" s="969">
        <v>0</v>
      </c>
      <c r="L157" s="969">
        <v>0</v>
      </c>
      <c r="M157" s="969">
        <v>0</v>
      </c>
    </row>
    <row r="158" spans="1:13" x14ac:dyDescent="0.25">
      <c r="A158" s="496">
        <f t="shared" si="4"/>
        <v>82</v>
      </c>
      <c r="B158" s="500" t="s">
        <v>4</v>
      </c>
      <c r="C158" s="968">
        <v>0</v>
      </c>
      <c r="D158" s="968">
        <v>0</v>
      </c>
      <c r="E158" s="968">
        <v>0</v>
      </c>
      <c r="F158" s="968">
        <v>0</v>
      </c>
      <c r="G158" s="968">
        <v>0</v>
      </c>
      <c r="H158" s="968">
        <v>0</v>
      </c>
      <c r="I158" s="968">
        <v>0</v>
      </c>
      <c r="J158" s="968">
        <v>0</v>
      </c>
      <c r="K158" s="968">
        <v>0</v>
      </c>
      <c r="L158" s="968">
        <v>0</v>
      </c>
      <c r="M158" s="968">
        <v>0</v>
      </c>
    </row>
    <row r="160" spans="1:13" x14ac:dyDescent="0.25">
      <c r="B160" s="387" t="s">
        <v>256</v>
      </c>
    </row>
    <row r="161" spans="2:44" x14ac:dyDescent="0.25">
      <c r="B161" s="468" t="s">
        <v>2229</v>
      </c>
      <c r="C161" s="13"/>
      <c r="D161" s="13"/>
      <c r="E161" s="13"/>
      <c r="F161" s="13"/>
      <c r="G161" s="13"/>
      <c r="H161" s="13"/>
      <c r="I161" s="13"/>
      <c r="J161" s="13"/>
      <c r="K161" s="13"/>
      <c r="L161" s="13"/>
    </row>
    <row r="162" spans="2:44" x14ac:dyDescent="0.25">
      <c r="B162" s="934" t="s">
        <v>2274</v>
      </c>
      <c r="C162" s="468"/>
      <c r="D162" s="468"/>
      <c r="E162" s="468"/>
      <c r="F162" s="468"/>
      <c r="G162" s="468"/>
      <c r="H162" s="468"/>
      <c r="I162" s="13"/>
      <c r="J162" s="468"/>
      <c r="K162" s="468"/>
      <c r="L162" s="468"/>
      <c r="M162" s="468"/>
      <c r="N162" s="466"/>
      <c r="O162" s="466"/>
      <c r="P162" s="466"/>
      <c r="Q162" s="466"/>
      <c r="R162" s="466"/>
      <c r="S162" s="466"/>
      <c r="T162" s="466"/>
      <c r="U162" s="466"/>
      <c r="V162" s="466"/>
      <c r="W162" s="466"/>
      <c r="X162" s="466"/>
      <c r="Y162" s="466"/>
      <c r="Z162" s="466"/>
      <c r="AA162" s="466"/>
      <c r="AB162" s="466"/>
      <c r="AC162" s="466"/>
      <c r="AD162" s="466"/>
      <c r="AE162" s="466"/>
      <c r="AF162" s="466"/>
      <c r="AG162" s="466"/>
      <c r="AH162" s="466"/>
      <c r="AI162" s="466"/>
      <c r="AJ162" s="466"/>
      <c r="AK162" s="466"/>
      <c r="AL162" s="466"/>
      <c r="AM162" s="466"/>
      <c r="AN162" s="466"/>
      <c r="AO162" s="466"/>
      <c r="AP162" s="466"/>
      <c r="AQ162" s="466"/>
      <c r="AR162" s="466"/>
    </row>
    <row r="163" spans="2:44" x14ac:dyDescent="0.25">
      <c r="B163" s="13" t="s">
        <v>2230</v>
      </c>
      <c r="C163" s="13"/>
      <c r="D163" s="13"/>
      <c r="E163" s="13"/>
      <c r="F163" s="13"/>
      <c r="G163" s="13"/>
      <c r="H163" s="13"/>
      <c r="I163" s="13"/>
      <c r="J163" s="13"/>
      <c r="K163" s="13"/>
      <c r="L163" s="13"/>
      <c r="M163" s="13"/>
    </row>
    <row r="164" spans="2:44" x14ac:dyDescent="0.25">
      <c r="B164" s="465" t="s">
        <v>2231</v>
      </c>
      <c r="C164" s="13"/>
      <c r="D164" s="13"/>
      <c r="E164" s="13"/>
      <c r="F164" s="13"/>
      <c r="G164" s="13"/>
      <c r="H164" s="13"/>
      <c r="I164" s="13"/>
      <c r="J164" s="13"/>
      <c r="K164" s="13"/>
      <c r="M164" s="13"/>
    </row>
    <row r="165" spans="2:44" x14ac:dyDescent="0.25">
      <c r="B165" s="465" t="s">
        <v>2233</v>
      </c>
      <c r="C165" s="13"/>
      <c r="D165" s="13"/>
      <c r="E165" s="13"/>
      <c r="F165" s="13"/>
      <c r="G165" s="13"/>
      <c r="H165" s="13"/>
      <c r="I165" s="13"/>
      <c r="J165" s="13"/>
      <c r="K165" s="13"/>
      <c r="L165" s="13"/>
      <c r="M165" s="13"/>
    </row>
    <row r="166" spans="2:44" x14ac:dyDescent="0.25">
      <c r="B166" s="105" t="s">
        <v>2232</v>
      </c>
      <c r="C166" s="13"/>
      <c r="D166" s="13"/>
      <c r="E166" s="13"/>
      <c r="F166" s="13"/>
      <c r="G166" s="13"/>
      <c r="H166" s="13"/>
      <c r="I166" s="13"/>
      <c r="J166" s="13"/>
      <c r="K166" s="13"/>
      <c r="L166" s="13"/>
      <c r="M166" s="13"/>
    </row>
    <row r="167" spans="2:44" x14ac:dyDescent="0.25">
      <c r="B167" s="468" t="s">
        <v>2234</v>
      </c>
      <c r="C167" s="13"/>
      <c r="D167" s="13"/>
      <c r="E167" s="13"/>
      <c r="F167" s="13"/>
      <c r="G167" s="13"/>
      <c r="H167" s="13"/>
      <c r="I167" s="13"/>
      <c r="J167" s="13"/>
      <c r="K167" s="13"/>
      <c r="L167" s="13"/>
      <c r="M167" s="13"/>
    </row>
    <row r="168" spans="2:44" x14ac:dyDescent="0.25">
      <c r="B168" s="465" t="s">
        <v>2235</v>
      </c>
      <c r="C168" s="13"/>
      <c r="D168" s="13"/>
      <c r="E168" s="13"/>
      <c r="F168" s="13"/>
      <c r="G168" s="13"/>
      <c r="H168" s="13"/>
      <c r="I168" s="13"/>
      <c r="J168" s="13"/>
      <c r="K168" s="13"/>
      <c r="L168" s="13"/>
      <c r="M168" s="13"/>
    </row>
    <row r="169" spans="2:44" x14ac:dyDescent="0.25">
      <c r="B169" s="465" t="s">
        <v>2236</v>
      </c>
      <c r="C169" s="13"/>
      <c r="D169" s="13"/>
      <c r="E169" s="13"/>
      <c r="F169" s="13"/>
      <c r="G169" s="13"/>
      <c r="H169" s="13"/>
      <c r="I169" s="13"/>
      <c r="J169" s="13"/>
      <c r="K169" s="13"/>
      <c r="L169" s="13"/>
      <c r="M169" s="13"/>
    </row>
    <row r="170" spans="2:44" x14ac:dyDescent="0.25">
      <c r="B170" s="465" t="s">
        <v>2237</v>
      </c>
      <c r="C170" s="13"/>
      <c r="D170" s="13"/>
      <c r="E170" s="13"/>
      <c r="F170" s="13"/>
      <c r="G170" s="13"/>
      <c r="H170" s="13"/>
      <c r="I170" s="13"/>
      <c r="J170" s="13"/>
      <c r="K170" s="13"/>
      <c r="L170" s="13"/>
      <c r="M170" s="13"/>
    </row>
    <row r="171" spans="2:44" x14ac:dyDescent="0.25">
      <c r="B171" s="468" t="str">
        <f>"2) Amounts on Line "&amp;A34&amp;" must match 6-Plant Study amounts for Distribution Plant - ISO for previous year."</f>
        <v>2) Amounts on Line 15 must match 6-Plant Study amounts for Distribution Plant - ISO for previous year.</v>
      </c>
      <c r="C171" s="13"/>
      <c r="D171" s="13"/>
      <c r="E171" s="13"/>
      <c r="F171" s="13"/>
      <c r="G171" s="13"/>
      <c r="H171" s="13"/>
      <c r="I171" s="13"/>
      <c r="J171" s="13"/>
    </row>
    <row r="172" spans="2:44" x14ac:dyDescent="0.25">
      <c r="B172" s="465" t="str">
        <f>"Amounts on Line "&amp;A35&amp;" must match amounts on 6-PlantStudy for Distribution Plant - ISO."</f>
        <v>Amounts on Line 16 must match amounts on 6-PlantStudy for Distribution Plant - ISO.</v>
      </c>
      <c r="C172" s="13"/>
      <c r="D172" s="13"/>
      <c r="E172" s="13"/>
      <c r="F172" s="13"/>
      <c r="G172" s="13"/>
      <c r="H172" s="13"/>
      <c r="I172" s="13"/>
      <c r="J172" s="13"/>
    </row>
    <row r="173" spans="2:44" x14ac:dyDescent="0.25">
      <c r="B173" s="468" t="s">
        <v>2531</v>
      </c>
      <c r="C173" s="13"/>
      <c r="D173" s="13"/>
      <c r="E173" s="13"/>
      <c r="F173" s="13"/>
      <c r="G173" s="13"/>
      <c r="H173" s="13"/>
      <c r="I173" s="13"/>
      <c r="J173" s="13"/>
    </row>
    <row r="174" spans="2:44" x14ac:dyDescent="0.25">
      <c r="B174" s="13" t="str">
        <f>"4) Column 12 matches 'Activity for Incentive Projects' on 14-IncentivePlant, Lines "&amp;'14-IncentivePlant'!A94&amp;" to "&amp;'14-IncentivePlant'!A107&amp;".  Other columns from SCE internal accounting records."</f>
        <v>4) Column 12 matches 'Activity for Incentive Projects' on 14-IncentivePlant, Lines 39 to 52.  Other columns from SCE internal accounting records.</v>
      </c>
      <c r="C174" s="13"/>
      <c r="D174" s="13"/>
      <c r="E174" s="13"/>
      <c r="F174" s="13"/>
      <c r="G174" s="13"/>
      <c r="H174" s="13"/>
      <c r="I174" s="13"/>
      <c r="J174" s="13"/>
    </row>
    <row r="175" spans="2:44" x14ac:dyDescent="0.25">
      <c r="B175" s="466" t="str">
        <f>"5) Amount in matrix on lines "&amp;A74&amp;" to "&amp;A85&amp;" minus amount in matrix on lines "&amp;A94&amp;" to "&amp;A105&amp;""</f>
        <v>5) Amount in matrix on lines 28 to 39 minus amount in matrix on lines 41 to 52</v>
      </c>
    </row>
    <row r="176" spans="2:44" x14ac:dyDescent="0.25">
      <c r="B176" t="str">
        <f>"6) Amount on Line "&amp;A23&amp;" less amount on Line "&amp;A11&amp;" for each account."</f>
        <v>6) Amount on Line 13 less amount on Line 1 for each account.</v>
      </c>
    </row>
    <row r="177" spans="2:8" x14ac:dyDescent="0.25">
      <c r="B177" t="str">
        <f>"7) Line "&amp;A106&amp;""</f>
        <v>7) Line 53</v>
      </c>
    </row>
    <row r="178" spans="2:8" x14ac:dyDescent="0.25">
      <c r="B178" t="str">
        <f>"8) Amount on Line "&amp;A131&amp;" less amount on Line "&amp;A135&amp;" for each account."</f>
        <v>8) Amount on Line 67 less amount on Line 68 for each account.</v>
      </c>
    </row>
    <row r="179" spans="2:8" x14ac:dyDescent="0.25">
      <c r="B179" s="468" t="str">
        <f>"9) For each column (FERC Account) divide Line "&amp;A139&amp;" by Line "&amp;A126&amp;" to arrive at a ratio for each column."</f>
        <v>9) For each column (FERC Account) divide Line 69 by Line 66 to arrive at a ratio for each column.</v>
      </c>
      <c r="C179" s="13"/>
      <c r="D179" s="13"/>
      <c r="E179" s="13"/>
      <c r="F179" s="13"/>
      <c r="G179" s="13"/>
      <c r="H179" s="13"/>
    </row>
    <row r="180" spans="2:8" x14ac:dyDescent="0.25">
      <c r="B180" s="468" t="str">
        <f>"Apply the ratio of each column to each monthly value from Lines "&amp;A114&amp;"-"&amp;A125&amp;" to calculate the values for"</f>
        <v>Apply the ratio of each column to each monthly value from Lines 54-65 to calculate the values for</v>
      </c>
      <c r="C180" s="13"/>
      <c r="D180" s="13"/>
      <c r="E180" s="13"/>
      <c r="F180" s="13"/>
      <c r="G180" s="13"/>
      <c r="H180" s="13"/>
    </row>
    <row r="181" spans="2:8" x14ac:dyDescent="0.25">
      <c r="B181" s="468" t="str">
        <f>"the corresponsing months listed in Lines "&amp;A146&amp;"-"&amp;A157&amp;"."</f>
        <v>the corresponsing months listed in Lines 70-81.</v>
      </c>
      <c r="C181" s="13"/>
      <c r="D181" s="13"/>
      <c r="E181" s="13"/>
      <c r="F181" s="13"/>
      <c r="G181" s="13"/>
      <c r="H181" s="13"/>
    </row>
  </sheetData>
  <phoneticPr fontId="9" type="noConversion"/>
  <pageMargins left="0.75" right="0.75" top="1" bottom="1" header="0.5" footer="0.5"/>
  <pageSetup scale="65" orientation="landscape" cellComments="asDisplayed" r:id="rId1"/>
  <headerFooter alignWithMargins="0">
    <oddHeader xml:space="preserve">&amp;C&amp;"Arial,Bold"Schedule 6
Plant In Service&amp;"Arial,Regular"
</oddHeader>
    <oddFooter>&amp;R&amp;A</oddFooter>
  </headerFooter>
  <rowBreaks count="3" manualBreakCount="3">
    <brk id="37" max="16383" man="1"/>
    <brk id="87" max="16383" man="1"/>
    <brk id="12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90" zoomScaleNormal="90" workbookViewId="0"/>
  </sheetViews>
  <sheetFormatPr defaultRowHeight="13.8" x14ac:dyDescent="0.3"/>
  <cols>
    <col min="1" max="1" width="4.6640625" customWidth="1"/>
    <col min="2" max="2" width="25.6640625" style="115" customWidth="1"/>
    <col min="3" max="5" width="15.6640625" style="115" customWidth="1"/>
    <col min="6" max="6" width="12.33203125" style="115" customWidth="1"/>
    <col min="8" max="8" width="15.5546875" customWidth="1"/>
  </cols>
  <sheetData>
    <row r="1" spans="1:8" ht="13.2" x14ac:dyDescent="0.25">
      <c r="A1" s="1" t="s">
        <v>477</v>
      </c>
      <c r="B1" s="156"/>
      <c r="C1" s="156"/>
      <c r="D1" s="156"/>
      <c r="E1" s="157" t="s">
        <v>496</v>
      </c>
      <c r="F1" s="167"/>
      <c r="G1" s="11"/>
    </row>
    <row r="2" spans="1:8" x14ac:dyDescent="0.3">
      <c r="B2" s="156"/>
      <c r="C2" s="156"/>
      <c r="G2" s="11"/>
    </row>
    <row r="3" spans="1:8" ht="13.2" x14ac:dyDescent="0.25">
      <c r="A3" s="935" t="s">
        <v>1980</v>
      </c>
      <c r="B3" s="936"/>
      <c r="C3" s="936"/>
      <c r="D3" s="936"/>
      <c r="E3" s="937" t="s">
        <v>1975</v>
      </c>
      <c r="F3" s="233" t="s">
        <v>1562</v>
      </c>
      <c r="G3" s="11"/>
    </row>
    <row r="4" spans="1:8" ht="13.2" x14ac:dyDescent="0.25">
      <c r="A4" s="154"/>
      <c r="B4" s="156"/>
      <c r="C4" s="156"/>
      <c r="D4" s="156"/>
      <c r="E4" s="156"/>
      <c r="F4" s="156"/>
      <c r="G4" s="11"/>
    </row>
    <row r="5" spans="1:8" x14ac:dyDescent="0.3">
      <c r="B5" s="154"/>
      <c r="C5" s="84" t="s">
        <v>394</v>
      </c>
      <c r="E5" s="84" t="s">
        <v>378</v>
      </c>
      <c r="F5" s="84" t="s">
        <v>379</v>
      </c>
      <c r="G5" s="11"/>
    </row>
    <row r="6" spans="1:8" x14ac:dyDescent="0.3">
      <c r="B6" s="154"/>
      <c r="C6" s="84"/>
      <c r="E6" s="84"/>
      <c r="F6" s="84"/>
      <c r="G6" s="11"/>
    </row>
    <row r="7" spans="1:8" ht="13.2" x14ac:dyDescent="0.25">
      <c r="A7" s="49" t="s">
        <v>360</v>
      </c>
      <c r="B7" s="154"/>
      <c r="C7" s="155" t="s">
        <v>215</v>
      </c>
      <c r="D7" s="155"/>
      <c r="E7" s="155" t="s">
        <v>1254</v>
      </c>
      <c r="F7" s="155" t="s">
        <v>479</v>
      </c>
      <c r="G7" s="11"/>
    </row>
    <row r="8" spans="1:8" ht="13.2" x14ac:dyDescent="0.25">
      <c r="A8" s="2">
        <v>1</v>
      </c>
      <c r="B8" s="147" t="s">
        <v>110</v>
      </c>
      <c r="C8" s="147" t="s">
        <v>414</v>
      </c>
      <c r="D8" s="147" t="s">
        <v>483</v>
      </c>
      <c r="E8" s="147" t="s">
        <v>1255</v>
      </c>
      <c r="F8" s="147" t="s">
        <v>480</v>
      </c>
      <c r="G8" s="158" t="s">
        <v>187</v>
      </c>
    </row>
    <row r="9" spans="1:8" ht="12.75" customHeight="1" x14ac:dyDescent="0.25">
      <c r="A9" s="2">
        <f>A8+1</f>
        <v>2</v>
      </c>
      <c r="B9" s="148" t="s">
        <v>473</v>
      </c>
      <c r="C9" s="159"/>
      <c r="D9" s="159"/>
      <c r="E9" s="159"/>
      <c r="F9" s="160"/>
      <c r="G9" s="11"/>
    </row>
    <row r="10" spans="1:8" ht="13.2" x14ac:dyDescent="0.25">
      <c r="A10" s="2">
        <f t="shared" ref="A10:A28" si="0">A9+1</f>
        <v>3</v>
      </c>
      <c r="B10" s="149">
        <v>352</v>
      </c>
      <c r="C10" s="977">
        <v>0</v>
      </c>
      <c r="D10" s="144" t="s">
        <v>484</v>
      </c>
      <c r="E10" s="977">
        <v>0</v>
      </c>
      <c r="F10" s="970" t="s">
        <v>2690</v>
      </c>
      <c r="G10" s="11"/>
      <c r="H10" s="127"/>
    </row>
    <row r="11" spans="1:8" ht="15" x14ac:dyDescent="0.4">
      <c r="A11" s="2">
        <f t="shared" si="0"/>
        <v>4</v>
      </c>
      <c r="B11" s="149">
        <v>353</v>
      </c>
      <c r="C11" s="978">
        <v>0</v>
      </c>
      <c r="D11" s="144" t="s">
        <v>485</v>
      </c>
      <c r="E11" s="978">
        <v>0</v>
      </c>
      <c r="F11" s="976" t="s">
        <v>2690</v>
      </c>
      <c r="G11" s="11"/>
    </row>
    <row r="12" spans="1:8" ht="13.2" x14ac:dyDescent="0.25">
      <c r="A12" s="2">
        <f t="shared" si="0"/>
        <v>5</v>
      </c>
      <c r="B12" s="151" t="s">
        <v>468</v>
      </c>
      <c r="C12" s="968">
        <v>0</v>
      </c>
      <c r="D12" s="12" t="str">
        <f>"L "&amp;A10&amp;" + L "&amp;A11&amp;""</f>
        <v>L 3 + L 4</v>
      </c>
      <c r="E12" s="968">
        <v>0</v>
      </c>
      <c r="F12" s="970" t="s">
        <v>2690</v>
      </c>
      <c r="G12" s="11"/>
    </row>
    <row r="13" spans="1:8" ht="13.2" x14ac:dyDescent="0.25">
      <c r="A13" s="2">
        <f t="shared" si="0"/>
        <v>6</v>
      </c>
      <c r="B13" s="161"/>
      <c r="C13" s="162"/>
      <c r="D13" s="162"/>
      <c r="E13" s="162"/>
      <c r="F13" s="146"/>
      <c r="G13" s="11"/>
    </row>
    <row r="14" spans="1:8" ht="13.2" x14ac:dyDescent="0.25">
      <c r="A14" s="2">
        <f t="shared" si="0"/>
        <v>7</v>
      </c>
      <c r="B14" s="150" t="s">
        <v>469</v>
      </c>
      <c r="C14" s="163"/>
      <c r="D14" s="163"/>
      <c r="E14" s="163"/>
      <c r="F14" s="164"/>
      <c r="G14" s="11"/>
    </row>
    <row r="15" spans="1:8" ht="13.2" x14ac:dyDescent="0.25">
      <c r="A15" s="2">
        <f t="shared" si="0"/>
        <v>8</v>
      </c>
      <c r="B15" s="149">
        <v>350</v>
      </c>
      <c r="C15" s="977">
        <v>0</v>
      </c>
      <c r="D15" s="144" t="s">
        <v>486</v>
      </c>
      <c r="E15" s="977">
        <v>0</v>
      </c>
      <c r="F15" s="970" t="s">
        <v>2690</v>
      </c>
      <c r="G15" s="11"/>
    </row>
    <row r="16" spans="1:8" ht="13.2" x14ac:dyDescent="0.25">
      <c r="A16" s="2">
        <f t="shared" si="0"/>
        <v>9</v>
      </c>
      <c r="B16" s="149"/>
      <c r="C16" s="143"/>
      <c r="D16" s="143"/>
      <c r="E16" s="143"/>
      <c r="F16" s="146"/>
      <c r="G16" s="11"/>
    </row>
    <row r="17" spans="1:7" ht="13.2" x14ac:dyDescent="0.25">
      <c r="A17" s="2">
        <f t="shared" si="0"/>
        <v>10</v>
      </c>
      <c r="B17" s="150" t="s">
        <v>470</v>
      </c>
      <c r="C17" s="968">
        <v>0</v>
      </c>
      <c r="D17" s="12" t="str">
        <f>"L "&amp;A12&amp;" + L "&amp;A15&amp;""</f>
        <v>L 5 + L 8</v>
      </c>
      <c r="E17" s="968">
        <v>0</v>
      </c>
      <c r="F17" s="970" t="s">
        <v>2690</v>
      </c>
      <c r="G17" s="11"/>
    </row>
    <row r="18" spans="1:7" ht="13.2" x14ac:dyDescent="0.25">
      <c r="A18" s="2">
        <f t="shared" si="0"/>
        <v>11</v>
      </c>
      <c r="B18" s="161"/>
      <c r="C18" s="162"/>
      <c r="D18" s="162"/>
      <c r="E18" s="162"/>
      <c r="F18" s="146"/>
      <c r="G18" s="11"/>
    </row>
    <row r="19" spans="1:7" ht="13.2" x14ac:dyDescent="0.25">
      <c r="A19" s="2">
        <f t="shared" si="0"/>
        <v>12</v>
      </c>
      <c r="B19" s="150" t="s">
        <v>471</v>
      </c>
      <c r="C19" s="162"/>
      <c r="D19" s="162"/>
      <c r="E19" s="162"/>
      <c r="F19" s="146"/>
      <c r="G19" s="11"/>
    </row>
    <row r="20" spans="1:7" ht="13.2" x14ac:dyDescent="0.25">
      <c r="A20" s="2">
        <f t="shared" si="0"/>
        <v>13</v>
      </c>
      <c r="B20" s="149">
        <v>354</v>
      </c>
      <c r="C20" s="977">
        <v>0</v>
      </c>
      <c r="D20" s="144" t="s">
        <v>487</v>
      </c>
      <c r="E20" s="977">
        <v>0</v>
      </c>
      <c r="F20" s="970" t="s">
        <v>2690</v>
      </c>
      <c r="G20" s="11"/>
    </row>
    <row r="21" spans="1:7" ht="13.2" x14ac:dyDescent="0.25">
      <c r="A21" s="2">
        <f t="shared" si="0"/>
        <v>14</v>
      </c>
      <c r="B21" s="149">
        <v>355</v>
      </c>
      <c r="C21" s="977">
        <v>0</v>
      </c>
      <c r="D21" s="144" t="s">
        <v>488</v>
      </c>
      <c r="E21" s="977">
        <v>0</v>
      </c>
      <c r="F21" s="970" t="s">
        <v>2690</v>
      </c>
      <c r="G21" s="11"/>
    </row>
    <row r="22" spans="1:7" ht="13.2" x14ac:dyDescent="0.25">
      <c r="A22" s="2">
        <f t="shared" si="0"/>
        <v>15</v>
      </c>
      <c r="B22" s="149">
        <v>356</v>
      </c>
      <c r="C22" s="977">
        <v>0</v>
      </c>
      <c r="D22" s="144" t="s">
        <v>489</v>
      </c>
      <c r="E22" s="977">
        <v>0</v>
      </c>
      <c r="F22" s="970" t="s">
        <v>2690</v>
      </c>
      <c r="G22" s="11"/>
    </row>
    <row r="23" spans="1:7" ht="13.2" x14ac:dyDescent="0.25">
      <c r="A23" s="2">
        <f t="shared" si="0"/>
        <v>16</v>
      </c>
      <c r="B23" s="149">
        <v>357</v>
      </c>
      <c r="C23" s="977">
        <v>0</v>
      </c>
      <c r="D23" s="144" t="s">
        <v>490</v>
      </c>
      <c r="E23" s="977">
        <v>0</v>
      </c>
      <c r="F23" s="970" t="s">
        <v>2690</v>
      </c>
      <c r="G23" s="11"/>
    </row>
    <row r="24" spans="1:7" ht="13.2" x14ac:dyDescent="0.25">
      <c r="A24" s="2">
        <f t="shared" si="0"/>
        <v>17</v>
      </c>
      <c r="B24" s="149">
        <v>358</v>
      </c>
      <c r="C24" s="977">
        <v>0</v>
      </c>
      <c r="D24" s="144" t="s">
        <v>491</v>
      </c>
      <c r="E24" s="977">
        <v>0</v>
      </c>
      <c r="F24" s="970" t="s">
        <v>2690</v>
      </c>
      <c r="G24" s="11"/>
    </row>
    <row r="25" spans="1:7" ht="15" x14ac:dyDescent="0.4">
      <c r="A25" s="2">
        <f t="shared" si="0"/>
        <v>18</v>
      </c>
      <c r="B25" s="149">
        <v>359</v>
      </c>
      <c r="C25" s="978">
        <v>0</v>
      </c>
      <c r="D25" s="144" t="s">
        <v>485</v>
      </c>
      <c r="E25" s="978">
        <v>0</v>
      </c>
      <c r="F25" s="976" t="s">
        <v>2690</v>
      </c>
      <c r="G25" s="11"/>
    </row>
    <row r="26" spans="1:7" ht="13.2" x14ac:dyDescent="0.25">
      <c r="A26" s="2">
        <f t="shared" si="0"/>
        <v>19</v>
      </c>
      <c r="B26" s="151" t="s">
        <v>472</v>
      </c>
      <c r="C26" s="968">
        <v>0</v>
      </c>
      <c r="D26" s="145" t="str">
        <f>"Sum L"&amp;A20&amp;" to L"&amp;A25&amp;""</f>
        <v>Sum L13 to L18</v>
      </c>
      <c r="E26" s="968">
        <v>0</v>
      </c>
      <c r="F26" s="970" t="s">
        <v>2690</v>
      </c>
      <c r="G26" s="11"/>
    </row>
    <row r="27" spans="1:7" ht="13.2" x14ac:dyDescent="0.25">
      <c r="A27" s="2">
        <f t="shared" si="0"/>
        <v>20</v>
      </c>
      <c r="B27" s="165"/>
      <c r="C27" s="143"/>
      <c r="D27" s="143"/>
      <c r="E27" s="143"/>
      <c r="F27" s="146"/>
      <c r="G27" s="11"/>
    </row>
    <row r="28" spans="1:7" ht="13.2" x14ac:dyDescent="0.25">
      <c r="A28" s="2">
        <f t="shared" si="0"/>
        <v>21</v>
      </c>
      <c r="B28" s="166" t="s">
        <v>482</v>
      </c>
      <c r="C28" s="968">
        <v>0</v>
      </c>
      <c r="D28" s="12" t="str">
        <f>"L "&amp;A17&amp;" + L "&amp;A26&amp;""</f>
        <v>L 10 + L 19</v>
      </c>
      <c r="E28" s="968">
        <v>0</v>
      </c>
      <c r="F28" s="970" t="s">
        <v>2690</v>
      </c>
      <c r="G28" s="11" t="s">
        <v>395</v>
      </c>
    </row>
    <row r="29" spans="1:7" x14ac:dyDescent="0.3">
      <c r="A29" s="2"/>
      <c r="B29" s="120"/>
      <c r="C29" s="116"/>
      <c r="D29" s="116"/>
      <c r="E29" s="116"/>
      <c r="F29" s="119"/>
    </row>
    <row r="30" spans="1:7" x14ac:dyDescent="0.3">
      <c r="A30" s="2"/>
      <c r="B30" s="117"/>
      <c r="C30" s="118"/>
      <c r="D30" s="118"/>
      <c r="E30" s="592"/>
      <c r="F30" s="118"/>
    </row>
    <row r="31" spans="1:7" x14ac:dyDescent="0.3">
      <c r="A31" s="154" t="s">
        <v>481</v>
      </c>
      <c r="C31" s="118"/>
      <c r="D31" s="118"/>
      <c r="E31" s="118"/>
      <c r="F31" s="118"/>
    </row>
    <row r="32" spans="1:7" x14ac:dyDescent="0.3">
      <c r="A32" s="2"/>
      <c r="B32" s="123"/>
      <c r="C32" s="118"/>
      <c r="D32" s="118"/>
      <c r="E32" s="118"/>
      <c r="F32" s="118"/>
    </row>
    <row r="33" spans="1:9" ht="13.2" x14ac:dyDescent="0.25">
      <c r="A33" s="49" t="s">
        <v>360</v>
      </c>
      <c r="B33" s="154"/>
      <c r="C33" s="155" t="s">
        <v>215</v>
      </c>
      <c r="D33" s="155"/>
      <c r="E33" s="155" t="s">
        <v>336</v>
      </c>
      <c r="F33" s="155" t="s">
        <v>479</v>
      </c>
    </row>
    <row r="34" spans="1:9" ht="13.2" x14ac:dyDescent="0.25">
      <c r="A34" s="2">
        <f>A28+1</f>
        <v>22</v>
      </c>
      <c r="B34" s="147" t="s">
        <v>110</v>
      </c>
      <c r="C34" s="147" t="s">
        <v>414</v>
      </c>
      <c r="D34" s="147" t="s">
        <v>483</v>
      </c>
      <c r="E34" s="147" t="s">
        <v>1255</v>
      </c>
      <c r="F34" s="147" t="s">
        <v>480</v>
      </c>
    </row>
    <row r="35" spans="1:9" x14ac:dyDescent="0.3">
      <c r="A35" s="2">
        <f t="shared" ref="A35:A42" si="1">A34+1</f>
        <v>23</v>
      </c>
      <c r="B35" s="148" t="s">
        <v>474</v>
      </c>
      <c r="C35" s="116"/>
      <c r="D35" s="116"/>
      <c r="E35" s="116"/>
      <c r="F35" s="119"/>
    </row>
    <row r="36" spans="1:9" ht="13.2" x14ac:dyDescent="0.25">
      <c r="A36" s="2">
        <f t="shared" si="1"/>
        <v>24</v>
      </c>
      <c r="B36" s="149">
        <v>360</v>
      </c>
      <c r="C36" s="977">
        <v>0</v>
      </c>
      <c r="D36" s="144" t="s">
        <v>492</v>
      </c>
      <c r="E36" s="977">
        <v>0</v>
      </c>
      <c r="F36" s="970" t="s">
        <v>2690</v>
      </c>
    </row>
    <row r="37" spans="1:9" ht="13.2" x14ac:dyDescent="0.25">
      <c r="A37" s="2">
        <f t="shared" si="1"/>
        <v>25</v>
      </c>
      <c r="B37" s="150" t="s">
        <v>475</v>
      </c>
      <c r="C37" s="143"/>
      <c r="D37" s="143"/>
      <c r="E37" s="143"/>
      <c r="F37" s="146"/>
    </row>
    <row r="38" spans="1:9" ht="13.2" x14ac:dyDescent="0.25">
      <c r="A38" s="2">
        <f t="shared" si="1"/>
        <v>26</v>
      </c>
      <c r="B38" s="149">
        <v>361</v>
      </c>
      <c r="C38" s="977">
        <v>0</v>
      </c>
      <c r="D38" s="144" t="s">
        <v>493</v>
      </c>
      <c r="E38" s="977">
        <v>0</v>
      </c>
      <c r="F38" s="970" t="s">
        <v>2690</v>
      </c>
    </row>
    <row r="39" spans="1:9" ht="15" x14ac:dyDescent="0.4">
      <c r="A39" s="2">
        <f t="shared" si="1"/>
        <v>27</v>
      </c>
      <c r="B39" s="149">
        <v>362</v>
      </c>
      <c r="C39" s="978">
        <v>0</v>
      </c>
      <c r="D39" s="144" t="s">
        <v>494</v>
      </c>
      <c r="E39" s="978">
        <v>0</v>
      </c>
      <c r="F39" s="976" t="s">
        <v>2690</v>
      </c>
    </row>
    <row r="40" spans="1:9" ht="13.2" x14ac:dyDescent="0.25">
      <c r="A40" s="2">
        <f t="shared" si="1"/>
        <v>28</v>
      </c>
      <c r="B40" s="151" t="s">
        <v>476</v>
      </c>
      <c r="C40" s="968">
        <v>0</v>
      </c>
      <c r="D40" s="12" t="str">
        <f>"L "&amp;A38&amp;" + L "&amp;A39&amp;""</f>
        <v>L 26 + L 27</v>
      </c>
      <c r="E40" s="968">
        <v>0</v>
      </c>
      <c r="F40" s="970" t="s">
        <v>2690</v>
      </c>
    </row>
    <row r="41" spans="1:9" x14ac:dyDescent="0.3">
      <c r="A41" s="2">
        <f t="shared" si="1"/>
        <v>29</v>
      </c>
      <c r="B41" s="152"/>
      <c r="C41" s="128"/>
      <c r="D41" s="143"/>
      <c r="E41" s="143"/>
      <c r="F41" s="146"/>
    </row>
    <row r="42" spans="1:9" ht="13.2" x14ac:dyDescent="0.25">
      <c r="A42" s="2">
        <f t="shared" si="1"/>
        <v>30</v>
      </c>
      <c r="B42" s="153" t="s">
        <v>1364</v>
      </c>
      <c r="C42" s="968">
        <v>0</v>
      </c>
      <c r="D42" s="12" t="str">
        <f>"L "&amp;A36&amp;" + L "&amp;A40&amp;""</f>
        <v>L 24 + L 28</v>
      </c>
      <c r="E42" s="968">
        <v>0</v>
      </c>
      <c r="F42" s="970" t="s">
        <v>2690</v>
      </c>
      <c r="G42" s="11" t="s">
        <v>396</v>
      </c>
      <c r="H42" s="11"/>
    </row>
    <row r="43" spans="1:9" x14ac:dyDescent="0.25">
      <c r="A43" s="2"/>
      <c r="B43" s="124"/>
      <c r="C43" s="125"/>
      <c r="D43" s="125"/>
      <c r="E43" s="125"/>
      <c r="F43" s="126"/>
      <c r="H43" s="129"/>
      <c r="I43" s="11"/>
    </row>
    <row r="44" spans="1:9" x14ac:dyDescent="0.3">
      <c r="A44" s="59"/>
      <c r="E44" s="121"/>
    </row>
    <row r="45" spans="1:9" x14ac:dyDescent="0.3">
      <c r="A45" s="83" t="s">
        <v>256</v>
      </c>
    </row>
    <row r="46" spans="1:9" x14ac:dyDescent="0.3">
      <c r="A46" s="12" t="s">
        <v>495</v>
      </c>
      <c r="E46" s="121"/>
    </row>
    <row r="47" spans="1:9" x14ac:dyDescent="0.3">
      <c r="A47" s="12" t="s">
        <v>500</v>
      </c>
    </row>
    <row r="48" spans="1:9" x14ac:dyDescent="0.3">
      <c r="A48" s="12" t="s">
        <v>497</v>
      </c>
      <c r="C48" s="121"/>
      <c r="D48" s="121"/>
    </row>
    <row r="49" spans="1:4" x14ac:dyDescent="0.3">
      <c r="A49" s="12" t="s">
        <v>499</v>
      </c>
      <c r="C49" s="122"/>
      <c r="D49" s="122"/>
    </row>
    <row r="50" spans="1:4" x14ac:dyDescent="0.3">
      <c r="A50" s="59"/>
      <c r="C50" s="121"/>
      <c r="D50" s="121"/>
    </row>
    <row r="51" spans="1:4" x14ac:dyDescent="0.3">
      <c r="A51" s="83" t="s">
        <v>420</v>
      </c>
    </row>
    <row r="52" spans="1:4" x14ac:dyDescent="0.3">
      <c r="A52" s="12" t="s">
        <v>498</v>
      </c>
    </row>
    <row r="53" spans="1:4" x14ac:dyDescent="0.3">
      <c r="A53" s="12" t="s">
        <v>1614</v>
      </c>
    </row>
    <row r="54" spans="1:4" x14ac:dyDescent="0.3">
      <c r="A54" s="470" t="s">
        <v>2499</v>
      </c>
    </row>
  </sheetData>
  <pageMargins left="0.7" right="0.7" top="0.75" bottom="0.75" header="0.3" footer="0.3"/>
  <pageSetup scale="90" orientation="portrait" cellComments="asDisplayed" r:id="rId1"/>
  <headerFooter>
    <oddHeader xml:space="preserve">&amp;C&amp;"Arial,Bold"Schedule 7
Transmission Plant Study Summary&amp;"Arial,Regular"
</oddHeader>
    <oddFooter>&amp;R7-PlantStudy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1"/>
  <sheetViews>
    <sheetView zoomScale="90" zoomScaleNormal="90" workbookViewId="0"/>
  </sheetViews>
  <sheetFormatPr defaultRowHeight="13.2" x14ac:dyDescent="0.25"/>
  <cols>
    <col min="1" max="1" width="4.6640625" customWidth="1"/>
    <col min="2" max="2" width="7.6640625" customWidth="1"/>
    <col min="3" max="3" width="10.6640625" customWidth="1"/>
    <col min="4" max="4" width="13.6640625" customWidth="1"/>
    <col min="5" max="6" width="14.6640625" customWidth="1"/>
    <col min="7" max="10" width="13.6640625" customWidth="1"/>
    <col min="11" max="12" width="11.6640625" customWidth="1"/>
    <col min="13" max="13" width="13.6640625" customWidth="1"/>
    <col min="14" max="14" width="14.6640625" customWidth="1"/>
    <col min="15" max="15" width="13.6640625" style="13" customWidth="1"/>
    <col min="16" max="23" width="9.109375" style="13"/>
  </cols>
  <sheetData>
    <row r="1" spans="1:18" x14ac:dyDescent="0.25">
      <c r="A1" s="1" t="s">
        <v>181</v>
      </c>
      <c r="B1" s="1"/>
      <c r="C1" s="213"/>
      <c r="D1" s="213"/>
      <c r="E1" s="213"/>
      <c r="F1" s="213"/>
      <c r="G1" s="213"/>
      <c r="H1" s="213"/>
      <c r="I1" s="213"/>
      <c r="J1" s="515" t="s">
        <v>496</v>
      </c>
      <c r="K1" s="167"/>
      <c r="L1" s="213"/>
      <c r="M1" s="213"/>
      <c r="N1" s="213"/>
      <c r="O1" s="222"/>
      <c r="P1" s="222"/>
      <c r="Q1" s="222"/>
      <c r="R1" s="222"/>
    </row>
    <row r="2" spans="1:18" x14ac:dyDescent="0.25">
      <c r="A2" s="213"/>
      <c r="B2" s="213"/>
      <c r="C2" s="213"/>
      <c r="D2" s="213"/>
      <c r="E2" s="213"/>
      <c r="F2" s="213"/>
      <c r="G2" s="213"/>
      <c r="H2" s="213"/>
      <c r="I2" s="213"/>
      <c r="L2" s="213"/>
      <c r="M2" s="213"/>
      <c r="N2" s="213"/>
      <c r="O2" s="222"/>
      <c r="P2" s="222"/>
      <c r="Q2" s="222"/>
      <c r="R2" s="222"/>
    </row>
    <row r="3" spans="1:18" x14ac:dyDescent="0.25">
      <c r="A3" s="213"/>
      <c r="B3" s="1" t="s">
        <v>358</v>
      </c>
      <c r="C3" s="213"/>
      <c r="D3" s="213"/>
      <c r="E3" s="213"/>
      <c r="F3" s="213"/>
      <c r="G3" s="885" t="s">
        <v>1975</v>
      </c>
      <c r="H3" s="233" t="s">
        <v>1562</v>
      </c>
      <c r="I3" s="213"/>
      <c r="J3" s="213"/>
      <c r="K3" s="213"/>
      <c r="L3" s="213"/>
      <c r="M3" s="213"/>
      <c r="N3" s="213"/>
      <c r="O3" s="222"/>
      <c r="P3" s="222"/>
      <c r="Q3" s="222"/>
      <c r="R3" s="222"/>
    </row>
    <row r="4" spans="1:18" x14ac:dyDescent="0.25">
      <c r="A4" s="213"/>
      <c r="B4" s="213"/>
      <c r="C4" s="213"/>
      <c r="D4" s="213"/>
      <c r="E4" s="213"/>
      <c r="F4" s="213"/>
      <c r="G4" s="213"/>
      <c r="H4" s="213"/>
      <c r="I4" s="213"/>
      <c r="J4" s="213"/>
      <c r="K4" s="213"/>
      <c r="L4" s="213"/>
      <c r="M4" s="213"/>
      <c r="N4" s="213"/>
      <c r="O4" s="222"/>
      <c r="P4" s="222"/>
      <c r="Q4" s="222"/>
      <c r="R4" s="222"/>
    </row>
    <row r="5" spans="1:18" x14ac:dyDescent="0.25">
      <c r="A5" s="213"/>
      <c r="B5" s="213"/>
      <c r="C5" s="466" t="s">
        <v>1743</v>
      </c>
      <c r="D5" s="213"/>
      <c r="E5" s="213"/>
      <c r="F5" s="213"/>
      <c r="G5" s="213"/>
      <c r="H5" s="213"/>
      <c r="I5" s="213"/>
      <c r="J5" s="466"/>
      <c r="K5" s="213"/>
      <c r="L5" s="213"/>
      <c r="M5" s="213"/>
      <c r="N5" s="213"/>
      <c r="O5" s="222"/>
      <c r="P5" s="222"/>
      <c r="Q5" s="222"/>
      <c r="R5" s="222"/>
    </row>
    <row r="6" spans="1:18" x14ac:dyDescent="0.25">
      <c r="A6" s="213"/>
      <c r="B6" s="213"/>
      <c r="C6" s="213"/>
      <c r="D6" s="213"/>
      <c r="E6" s="213"/>
      <c r="F6" s="213"/>
      <c r="G6" s="213"/>
      <c r="H6" s="213"/>
      <c r="I6" s="213"/>
      <c r="J6" s="213"/>
      <c r="K6" s="213"/>
      <c r="L6" s="213"/>
      <c r="M6" s="213"/>
      <c r="N6" s="213"/>
      <c r="O6" s="222"/>
      <c r="P6" s="222"/>
      <c r="Q6" s="222"/>
      <c r="R6" s="222"/>
    </row>
    <row r="7" spans="1:18" x14ac:dyDescent="0.25">
      <c r="A7" s="213"/>
      <c r="B7" s="213"/>
      <c r="C7" s="84" t="s">
        <v>394</v>
      </c>
      <c r="D7" s="84" t="s">
        <v>378</v>
      </c>
      <c r="E7" s="84" t="s">
        <v>379</v>
      </c>
      <c r="F7" s="84" t="s">
        <v>380</v>
      </c>
      <c r="G7" s="84" t="s">
        <v>381</v>
      </c>
      <c r="H7" s="84" t="s">
        <v>382</v>
      </c>
      <c r="I7" s="84" t="s">
        <v>383</v>
      </c>
      <c r="J7" s="84" t="s">
        <v>595</v>
      </c>
      <c r="K7" s="84" t="s">
        <v>1043</v>
      </c>
      <c r="L7" s="84" t="s">
        <v>1059</v>
      </c>
      <c r="M7" s="84" t="s">
        <v>1062</v>
      </c>
      <c r="N7" s="84" t="s">
        <v>1080</v>
      </c>
      <c r="O7" s="222"/>
      <c r="P7" s="222"/>
      <c r="Q7" s="222"/>
      <c r="R7" s="222"/>
    </row>
    <row r="8" spans="1:18" x14ac:dyDescent="0.25">
      <c r="A8" s="213"/>
      <c r="B8" s="213"/>
      <c r="C8" s="232"/>
      <c r="D8" s="213"/>
      <c r="E8" s="213"/>
      <c r="F8" s="213"/>
      <c r="G8" s="213"/>
      <c r="H8" s="213"/>
      <c r="I8" s="213"/>
      <c r="J8" s="213"/>
      <c r="K8" s="213"/>
      <c r="L8" s="213"/>
      <c r="M8" s="213"/>
      <c r="N8" s="448" t="s">
        <v>1882</v>
      </c>
      <c r="O8" s="222"/>
      <c r="P8" s="222"/>
      <c r="Q8" s="222"/>
      <c r="R8" s="222"/>
    </row>
    <row r="9" spans="1:18" x14ac:dyDescent="0.25">
      <c r="A9" s="213"/>
      <c r="B9" s="213"/>
      <c r="C9" s="440"/>
      <c r="D9" s="516" t="s">
        <v>12</v>
      </c>
      <c r="E9" s="213"/>
      <c r="F9" s="213"/>
      <c r="G9" s="213"/>
      <c r="H9" s="213"/>
      <c r="I9" s="213"/>
      <c r="J9" s="213"/>
      <c r="K9" s="213"/>
      <c r="L9" s="213"/>
      <c r="M9" s="213"/>
      <c r="N9" s="213"/>
      <c r="O9" s="222"/>
      <c r="P9" s="222"/>
      <c r="Q9" s="222"/>
      <c r="R9" s="222"/>
    </row>
    <row r="10" spans="1:18" x14ac:dyDescent="0.25">
      <c r="A10" s="213"/>
      <c r="B10" s="213"/>
      <c r="C10" s="103"/>
      <c r="D10" s="516" t="s">
        <v>1060</v>
      </c>
      <c r="E10" s="213"/>
      <c r="F10" s="213"/>
      <c r="G10" s="213"/>
      <c r="H10" s="213"/>
      <c r="I10" s="213"/>
      <c r="J10" s="213"/>
      <c r="K10" s="213"/>
      <c r="L10" s="213"/>
      <c r="M10" s="213"/>
      <c r="N10" s="213"/>
      <c r="O10" s="222"/>
      <c r="P10" s="222"/>
      <c r="Q10" s="222"/>
      <c r="R10" s="222"/>
    </row>
    <row r="11" spans="1:18" ht="12.75" customHeight="1" x14ac:dyDescent="0.25">
      <c r="A11" s="49" t="s">
        <v>360</v>
      </c>
      <c r="B11" s="49"/>
      <c r="C11" s="113" t="s">
        <v>2024</v>
      </c>
      <c r="D11" s="84">
        <v>350.1</v>
      </c>
      <c r="E11" s="84">
        <v>350.2</v>
      </c>
      <c r="F11" s="84">
        <v>352</v>
      </c>
      <c r="G11" s="84">
        <v>353</v>
      </c>
      <c r="H11" s="84">
        <v>354</v>
      </c>
      <c r="I11" s="84">
        <v>355</v>
      </c>
      <c r="J11" s="84">
        <v>356</v>
      </c>
      <c r="K11" s="84">
        <v>357</v>
      </c>
      <c r="L11" s="84">
        <v>358</v>
      </c>
      <c r="M11" s="84">
        <v>359</v>
      </c>
      <c r="N11" s="3" t="s">
        <v>215</v>
      </c>
      <c r="O11" s="222"/>
      <c r="P11" s="222"/>
      <c r="Q11" s="222"/>
      <c r="R11" s="222"/>
    </row>
    <row r="12" spans="1:18" ht="12.75" customHeight="1" x14ac:dyDescent="0.25">
      <c r="A12" s="496">
        <v>1</v>
      </c>
      <c r="B12" s="496"/>
      <c r="C12" s="979" t="s">
        <v>1562</v>
      </c>
      <c r="D12" s="977">
        <v>0</v>
      </c>
      <c r="E12" s="977">
        <v>0</v>
      </c>
      <c r="F12" s="977">
        <v>0</v>
      </c>
      <c r="G12" s="977">
        <v>0</v>
      </c>
      <c r="H12" s="977">
        <v>0</v>
      </c>
      <c r="I12" s="977">
        <v>0</v>
      </c>
      <c r="J12" s="977">
        <v>0</v>
      </c>
      <c r="K12" s="977">
        <v>0</v>
      </c>
      <c r="L12" s="977">
        <v>0</v>
      </c>
      <c r="M12" s="977">
        <v>0</v>
      </c>
      <c r="N12" s="968">
        <v>0</v>
      </c>
      <c r="O12" s="222"/>
      <c r="P12" s="222"/>
      <c r="Q12" s="222"/>
      <c r="R12" s="222"/>
    </row>
    <row r="13" spans="1:18" ht="12.75" customHeight="1" x14ac:dyDescent="0.25">
      <c r="A13" s="496">
        <f>A12+1</f>
        <v>2</v>
      </c>
      <c r="B13" s="496"/>
      <c r="C13" s="979" t="s">
        <v>1562</v>
      </c>
      <c r="D13" s="968">
        <v>0</v>
      </c>
      <c r="E13" s="968">
        <v>0</v>
      </c>
      <c r="F13" s="968">
        <v>0</v>
      </c>
      <c r="G13" s="968">
        <v>0</v>
      </c>
      <c r="H13" s="968">
        <v>0</v>
      </c>
      <c r="I13" s="968">
        <v>0</v>
      </c>
      <c r="J13" s="968">
        <v>0</v>
      </c>
      <c r="K13" s="968">
        <v>0</v>
      </c>
      <c r="L13" s="968">
        <v>0</v>
      </c>
      <c r="M13" s="968">
        <v>0</v>
      </c>
      <c r="N13" s="968">
        <v>0</v>
      </c>
      <c r="O13" s="222"/>
      <c r="P13" s="222"/>
      <c r="Q13" s="222"/>
      <c r="R13" s="222"/>
    </row>
    <row r="14" spans="1:18" ht="12.75" customHeight="1" x14ac:dyDescent="0.25">
      <c r="A14" s="496">
        <f t="shared" ref="A14:A25" si="0">A13+1</f>
        <v>3</v>
      </c>
      <c r="B14" s="496"/>
      <c r="C14" s="979" t="s">
        <v>1562</v>
      </c>
      <c r="D14" s="968">
        <v>0</v>
      </c>
      <c r="E14" s="968">
        <v>0</v>
      </c>
      <c r="F14" s="968">
        <v>0</v>
      </c>
      <c r="G14" s="968">
        <v>0</v>
      </c>
      <c r="H14" s="968">
        <v>0</v>
      </c>
      <c r="I14" s="968">
        <v>0</v>
      </c>
      <c r="J14" s="968">
        <v>0</v>
      </c>
      <c r="K14" s="968">
        <v>0</v>
      </c>
      <c r="L14" s="968">
        <v>0</v>
      </c>
      <c r="M14" s="968">
        <v>0</v>
      </c>
      <c r="N14" s="968">
        <v>0</v>
      </c>
      <c r="O14" s="222"/>
      <c r="P14" s="222"/>
      <c r="Q14" s="222"/>
      <c r="R14" s="222"/>
    </row>
    <row r="15" spans="1:18" ht="12.75" customHeight="1" x14ac:dyDescent="0.25">
      <c r="A15" s="496">
        <f t="shared" si="0"/>
        <v>4</v>
      </c>
      <c r="B15" s="496"/>
      <c r="C15" s="979" t="s">
        <v>1562</v>
      </c>
      <c r="D15" s="968">
        <v>0</v>
      </c>
      <c r="E15" s="968">
        <v>0</v>
      </c>
      <c r="F15" s="968">
        <v>0</v>
      </c>
      <c r="G15" s="968">
        <v>0</v>
      </c>
      <c r="H15" s="968">
        <v>0</v>
      </c>
      <c r="I15" s="968">
        <v>0</v>
      </c>
      <c r="J15" s="968">
        <v>0</v>
      </c>
      <c r="K15" s="968">
        <v>0</v>
      </c>
      <c r="L15" s="968">
        <v>0</v>
      </c>
      <c r="M15" s="968">
        <v>0</v>
      </c>
      <c r="N15" s="968">
        <v>0</v>
      </c>
      <c r="O15" s="222"/>
      <c r="P15" s="222"/>
      <c r="Q15" s="222"/>
      <c r="R15" s="222"/>
    </row>
    <row r="16" spans="1:18" ht="12.75" customHeight="1" x14ac:dyDescent="0.25">
      <c r="A16" s="496">
        <f t="shared" si="0"/>
        <v>5</v>
      </c>
      <c r="B16" s="496"/>
      <c r="C16" s="979" t="s">
        <v>1562</v>
      </c>
      <c r="D16" s="968">
        <v>0</v>
      </c>
      <c r="E16" s="968">
        <v>0</v>
      </c>
      <c r="F16" s="968">
        <v>0</v>
      </c>
      <c r="G16" s="968">
        <v>0</v>
      </c>
      <c r="H16" s="968">
        <v>0</v>
      </c>
      <c r="I16" s="968">
        <v>0</v>
      </c>
      <c r="J16" s="968">
        <v>0</v>
      </c>
      <c r="K16" s="968">
        <v>0</v>
      </c>
      <c r="L16" s="968">
        <v>0</v>
      </c>
      <c r="M16" s="968">
        <v>0</v>
      </c>
      <c r="N16" s="968">
        <v>0</v>
      </c>
      <c r="O16" s="222"/>
      <c r="P16" s="222"/>
      <c r="Q16" s="222"/>
      <c r="R16" s="222"/>
    </row>
    <row r="17" spans="1:18" ht="12.75" customHeight="1" x14ac:dyDescent="0.25">
      <c r="A17" s="496">
        <f t="shared" si="0"/>
        <v>6</v>
      </c>
      <c r="B17" s="496"/>
      <c r="C17" s="979" t="s">
        <v>1562</v>
      </c>
      <c r="D17" s="968">
        <v>0</v>
      </c>
      <c r="E17" s="968">
        <v>0</v>
      </c>
      <c r="F17" s="968">
        <v>0</v>
      </c>
      <c r="G17" s="968">
        <v>0</v>
      </c>
      <c r="H17" s="968">
        <v>0</v>
      </c>
      <c r="I17" s="968">
        <v>0</v>
      </c>
      <c r="J17" s="968">
        <v>0</v>
      </c>
      <c r="K17" s="968">
        <v>0</v>
      </c>
      <c r="L17" s="968">
        <v>0</v>
      </c>
      <c r="M17" s="968">
        <v>0</v>
      </c>
      <c r="N17" s="968">
        <v>0</v>
      </c>
      <c r="O17" s="222"/>
      <c r="P17" s="222"/>
      <c r="Q17" s="222"/>
      <c r="R17" s="222"/>
    </row>
    <row r="18" spans="1:18" ht="12.75" customHeight="1" x14ac:dyDescent="0.25">
      <c r="A18" s="496">
        <f t="shared" si="0"/>
        <v>7</v>
      </c>
      <c r="B18" s="496"/>
      <c r="C18" s="979" t="s">
        <v>1562</v>
      </c>
      <c r="D18" s="968">
        <v>0</v>
      </c>
      <c r="E18" s="968">
        <v>0</v>
      </c>
      <c r="F18" s="968">
        <v>0</v>
      </c>
      <c r="G18" s="968">
        <v>0</v>
      </c>
      <c r="H18" s="968">
        <v>0</v>
      </c>
      <c r="I18" s="968">
        <v>0</v>
      </c>
      <c r="J18" s="968">
        <v>0</v>
      </c>
      <c r="K18" s="968">
        <v>0</v>
      </c>
      <c r="L18" s="968">
        <v>0</v>
      </c>
      <c r="M18" s="968">
        <v>0</v>
      </c>
      <c r="N18" s="968">
        <v>0</v>
      </c>
      <c r="O18" s="222"/>
      <c r="P18" s="222"/>
      <c r="Q18" s="222"/>
      <c r="R18" s="222"/>
    </row>
    <row r="19" spans="1:18" ht="12.75" customHeight="1" x14ac:dyDescent="0.25">
      <c r="A19" s="496">
        <f t="shared" si="0"/>
        <v>8</v>
      </c>
      <c r="B19" s="496"/>
      <c r="C19" s="979" t="s">
        <v>1562</v>
      </c>
      <c r="D19" s="968">
        <v>0</v>
      </c>
      <c r="E19" s="968">
        <v>0</v>
      </c>
      <c r="F19" s="968">
        <v>0</v>
      </c>
      <c r="G19" s="968">
        <v>0</v>
      </c>
      <c r="H19" s="968">
        <v>0</v>
      </c>
      <c r="I19" s="968">
        <v>0</v>
      </c>
      <c r="J19" s="968">
        <v>0</v>
      </c>
      <c r="K19" s="968">
        <v>0</v>
      </c>
      <c r="L19" s="968">
        <v>0</v>
      </c>
      <c r="M19" s="968">
        <v>0</v>
      </c>
      <c r="N19" s="968">
        <v>0</v>
      </c>
      <c r="O19" s="222"/>
      <c r="P19" s="222"/>
      <c r="Q19" s="222"/>
      <c r="R19" s="222"/>
    </row>
    <row r="20" spans="1:18" ht="12.75" customHeight="1" x14ac:dyDescent="0.25">
      <c r="A20" s="496">
        <f t="shared" si="0"/>
        <v>9</v>
      </c>
      <c r="B20" s="496"/>
      <c r="C20" s="979" t="s">
        <v>1562</v>
      </c>
      <c r="D20" s="968">
        <v>0</v>
      </c>
      <c r="E20" s="968">
        <v>0</v>
      </c>
      <c r="F20" s="968">
        <v>0</v>
      </c>
      <c r="G20" s="968">
        <v>0</v>
      </c>
      <c r="H20" s="968">
        <v>0</v>
      </c>
      <c r="I20" s="968">
        <v>0</v>
      </c>
      <c r="J20" s="968">
        <v>0</v>
      </c>
      <c r="K20" s="968">
        <v>0</v>
      </c>
      <c r="L20" s="968">
        <v>0</v>
      </c>
      <c r="M20" s="968">
        <v>0</v>
      </c>
      <c r="N20" s="968">
        <v>0</v>
      </c>
      <c r="O20" s="222"/>
      <c r="P20" s="222"/>
      <c r="Q20" s="222"/>
      <c r="R20" s="222"/>
    </row>
    <row r="21" spans="1:18" ht="12.75" customHeight="1" x14ac:dyDescent="0.25">
      <c r="A21" s="496">
        <f t="shared" si="0"/>
        <v>10</v>
      </c>
      <c r="B21" s="496"/>
      <c r="C21" s="979" t="s">
        <v>1562</v>
      </c>
      <c r="D21" s="968">
        <v>0</v>
      </c>
      <c r="E21" s="968">
        <v>0</v>
      </c>
      <c r="F21" s="968">
        <v>0</v>
      </c>
      <c r="G21" s="968">
        <v>0</v>
      </c>
      <c r="H21" s="968">
        <v>0</v>
      </c>
      <c r="I21" s="968">
        <v>0</v>
      </c>
      <c r="J21" s="968">
        <v>0</v>
      </c>
      <c r="K21" s="968">
        <v>0</v>
      </c>
      <c r="L21" s="968">
        <v>0</v>
      </c>
      <c r="M21" s="968">
        <v>0</v>
      </c>
      <c r="N21" s="968">
        <v>0</v>
      </c>
      <c r="O21" s="222"/>
      <c r="P21" s="222"/>
      <c r="Q21" s="222"/>
      <c r="R21" s="222"/>
    </row>
    <row r="22" spans="1:18" ht="12.75" customHeight="1" x14ac:dyDescent="0.25">
      <c r="A22" s="496">
        <f t="shared" si="0"/>
        <v>11</v>
      </c>
      <c r="B22" s="496"/>
      <c r="C22" s="979" t="s">
        <v>1562</v>
      </c>
      <c r="D22" s="968">
        <v>0</v>
      </c>
      <c r="E22" s="968">
        <v>0</v>
      </c>
      <c r="F22" s="968">
        <v>0</v>
      </c>
      <c r="G22" s="968">
        <v>0</v>
      </c>
      <c r="H22" s="968">
        <v>0</v>
      </c>
      <c r="I22" s="968">
        <v>0</v>
      </c>
      <c r="J22" s="968">
        <v>0</v>
      </c>
      <c r="K22" s="968">
        <v>0</v>
      </c>
      <c r="L22" s="968">
        <v>0</v>
      </c>
      <c r="M22" s="968">
        <v>0</v>
      </c>
      <c r="N22" s="968">
        <v>0</v>
      </c>
      <c r="O22" s="222"/>
      <c r="P22" s="222"/>
      <c r="Q22" s="222"/>
      <c r="R22" s="222"/>
    </row>
    <row r="23" spans="1:18" ht="12.75" customHeight="1" x14ac:dyDescent="0.25">
      <c r="A23" s="496">
        <f t="shared" si="0"/>
        <v>12</v>
      </c>
      <c r="B23" s="496"/>
      <c r="C23" s="979" t="s">
        <v>1562</v>
      </c>
      <c r="D23" s="968">
        <v>0</v>
      </c>
      <c r="E23" s="968">
        <v>0</v>
      </c>
      <c r="F23" s="968">
        <v>0</v>
      </c>
      <c r="G23" s="968">
        <v>0</v>
      </c>
      <c r="H23" s="968">
        <v>0</v>
      </c>
      <c r="I23" s="968">
        <v>0</v>
      </c>
      <c r="J23" s="968">
        <v>0</v>
      </c>
      <c r="K23" s="968">
        <v>0</v>
      </c>
      <c r="L23" s="968">
        <v>0</v>
      </c>
      <c r="M23" s="968">
        <v>0</v>
      </c>
      <c r="N23" s="968">
        <v>0</v>
      </c>
      <c r="O23" s="222"/>
      <c r="P23" s="222"/>
      <c r="Q23" s="222"/>
      <c r="R23" s="222"/>
    </row>
    <row r="24" spans="1:18" ht="15" x14ac:dyDescent="0.4">
      <c r="A24" s="496">
        <f t="shared" si="0"/>
        <v>13</v>
      </c>
      <c r="B24" s="496"/>
      <c r="C24" s="979" t="s">
        <v>1562</v>
      </c>
      <c r="D24" s="978">
        <v>0</v>
      </c>
      <c r="E24" s="978">
        <v>0</v>
      </c>
      <c r="F24" s="978">
        <v>0</v>
      </c>
      <c r="G24" s="978">
        <v>0</v>
      </c>
      <c r="H24" s="978">
        <v>0</v>
      </c>
      <c r="I24" s="978">
        <v>0</v>
      </c>
      <c r="J24" s="978">
        <v>0</v>
      </c>
      <c r="K24" s="978">
        <v>0</v>
      </c>
      <c r="L24" s="978">
        <v>0</v>
      </c>
      <c r="M24" s="978">
        <v>0</v>
      </c>
      <c r="N24" s="969">
        <v>0</v>
      </c>
      <c r="O24" s="222"/>
      <c r="P24" s="222"/>
      <c r="Q24" s="222"/>
      <c r="R24" s="222"/>
    </row>
    <row r="25" spans="1:18" x14ac:dyDescent="0.25">
      <c r="A25" s="496">
        <f t="shared" si="0"/>
        <v>14</v>
      </c>
      <c r="B25" s="213"/>
      <c r="C25" s="500" t="s">
        <v>1322</v>
      </c>
      <c r="D25" s="968">
        <v>0</v>
      </c>
      <c r="E25" s="968">
        <v>0</v>
      </c>
      <c r="F25" s="968">
        <v>0</v>
      </c>
      <c r="G25" s="968">
        <v>0</v>
      </c>
      <c r="H25" s="968">
        <v>0</v>
      </c>
      <c r="I25" s="968">
        <v>0</v>
      </c>
      <c r="J25" s="968">
        <v>0</v>
      </c>
      <c r="K25" s="968">
        <v>0</v>
      </c>
      <c r="L25" s="968">
        <v>0</v>
      </c>
      <c r="M25" s="968">
        <v>0</v>
      </c>
      <c r="N25" s="968">
        <v>0</v>
      </c>
      <c r="O25" s="222"/>
      <c r="P25" s="222"/>
      <c r="Q25" s="222"/>
      <c r="R25" s="222"/>
    </row>
    <row r="26" spans="1:18" x14ac:dyDescent="0.25">
      <c r="A26" s="213"/>
      <c r="B26" s="213"/>
      <c r="C26" s="213"/>
      <c r="D26" s="213"/>
      <c r="E26" s="213"/>
      <c r="F26" s="213"/>
      <c r="G26" s="213"/>
      <c r="H26" s="213"/>
      <c r="I26" s="213"/>
      <c r="J26" s="213"/>
      <c r="K26" s="213"/>
      <c r="L26" s="213"/>
      <c r="M26" s="213"/>
      <c r="N26" s="213"/>
      <c r="O26" s="222"/>
      <c r="P26" s="222"/>
      <c r="Q26" s="222"/>
      <c r="R26" s="222"/>
    </row>
    <row r="27" spans="1:18" x14ac:dyDescent="0.25">
      <c r="A27" s="222"/>
      <c r="B27" s="222"/>
      <c r="C27" s="222"/>
      <c r="D27" s="222"/>
      <c r="E27" s="222"/>
      <c r="F27" s="222"/>
      <c r="G27" s="222"/>
      <c r="H27" s="222"/>
      <c r="I27" s="222"/>
      <c r="J27" s="222"/>
      <c r="K27" s="222"/>
      <c r="L27" s="222"/>
      <c r="M27" s="222"/>
      <c r="N27" s="222"/>
      <c r="O27" s="222"/>
      <c r="P27" s="222"/>
      <c r="Q27" s="222"/>
      <c r="R27" s="222"/>
    </row>
    <row r="28" spans="1:18" x14ac:dyDescent="0.25">
      <c r="A28" s="213"/>
      <c r="B28" s="382" t="s">
        <v>1744</v>
      </c>
      <c r="C28" s="213"/>
      <c r="D28" s="213"/>
      <c r="E28" s="213"/>
      <c r="F28" s="213"/>
      <c r="G28" s="213"/>
      <c r="H28" s="213"/>
      <c r="I28" s="213"/>
      <c r="J28" s="213"/>
      <c r="K28" s="213"/>
      <c r="L28" s="213"/>
      <c r="M28" s="213"/>
      <c r="N28" s="213"/>
      <c r="O28" s="222"/>
      <c r="P28" s="222"/>
      <c r="Q28" s="222"/>
      <c r="R28" s="222"/>
    </row>
    <row r="29" spans="1:18" x14ac:dyDescent="0.25">
      <c r="A29" s="213"/>
      <c r="B29" s="382"/>
      <c r="C29" s="213"/>
      <c r="D29" s="213"/>
      <c r="E29" s="213"/>
      <c r="F29" s="213"/>
      <c r="G29" s="213"/>
      <c r="H29" s="213"/>
      <c r="I29" s="213"/>
      <c r="J29" s="213"/>
      <c r="K29" s="213"/>
      <c r="L29" s="213"/>
      <c r="M29" s="213"/>
      <c r="N29" s="213"/>
      <c r="O29" s="222"/>
      <c r="P29" s="222"/>
      <c r="Q29" s="222"/>
      <c r="R29" s="222"/>
    </row>
    <row r="30" spans="1:18" x14ac:dyDescent="0.25">
      <c r="A30" s="213"/>
      <c r="B30" s="213"/>
      <c r="C30" s="84" t="s">
        <v>394</v>
      </c>
      <c r="D30" s="84" t="s">
        <v>378</v>
      </c>
      <c r="E30" s="84" t="s">
        <v>379</v>
      </c>
      <c r="F30" s="84" t="s">
        <v>380</v>
      </c>
      <c r="G30" s="84" t="s">
        <v>381</v>
      </c>
      <c r="H30" s="213"/>
      <c r="I30" s="213"/>
      <c r="J30" s="213"/>
      <c r="K30" s="213"/>
      <c r="L30" s="213"/>
      <c r="M30" s="213"/>
      <c r="N30" s="213"/>
      <c r="O30" s="222"/>
      <c r="P30" s="222"/>
      <c r="Q30" s="222"/>
      <c r="R30" s="222"/>
    </row>
    <row r="31" spans="1:18" x14ac:dyDescent="0.25">
      <c r="A31" s="213"/>
      <c r="B31" s="213"/>
      <c r="C31" s="213"/>
      <c r="D31" s="516" t="s">
        <v>12</v>
      </c>
      <c r="E31" s="213"/>
      <c r="F31" s="213"/>
      <c r="G31" s="448" t="s">
        <v>1881</v>
      </c>
      <c r="H31" s="213"/>
      <c r="I31" s="213"/>
      <c r="J31" s="213"/>
      <c r="K31" s="213"/>
      <c r="L31" s="213"/>
      <c r="M31" s="213"/>
      <c r="N31" s="213"/>
      <c r="O31" s="518"/>
      <c r="P31" s="222"/>
      <c r="Q31" s="222"/>
      <c r="R31" s="222"/>
    </row>
    <row r="32" spans="1:18" x14ac:dyDescent="0.25">
      <c r="A32" s="213"/>
      <c r="B32" s="213"/>
      <c r="C32" s="213"/>
      <c r="D32" s="516" t="s">
        <v>1060</v>
      </c>
      <c r="E32" s="213"/>
      <c r="F32" s="213"/>
      <c r="G32" s="213"/>
      <c r="H32" s="213"/>
      <c r="I32" s="213"/>
      <c r="J32" s="213"/>
      <c r="K32" s="213"/>
      <c r="L32" s="213"/>
      <c r="M32" s="213"/>
      <c r="N32" s="213"/>
      <c r="O32" s="450"/>
      <c r="P32" s="222"/>
      <c r="Q32" s="222"/>
      <c r="R32" s="222"/>
    </row>
    <row r="33" spans="1:18" x14ac:dyDescent="0.25">
      <c r="A33" s="213"/>
      <c r="B33" s="213"/>
      <c r="C33" s="113" t="s">
        <v>2024</v>
      </c>
      <c r="D33" s="84">
        <v>360</v>
      </c>
      <c r="E33" s="84">
        <v>361</v>
      </c>
      <c r="F33" s="84">
        <v>362</v>
      </c>
      <c r="G33" s="3" t="s">
        <v>215</v>
      </c>
      <c r="H33" s="938" t="s">
        <v>187</v>
      </c>
      <c r="I33" s="222"/>
      <c r="J33" s="222"/>
      <c r="K33" s="213"/>
      <c r="L33" s="213"/>
      <c r="M33" s="213"/>
      <c r="N33" s="213"/>
      <c r="O33" s="450"/>
      <c r="P33" s="222"/>
      <c r="Q33" s="222"/>
      <c r="R33" s="222"/>
    </row>
    <row r="34" spans="1:18" x14ac:dyDescent="0.25">
      <c r="A34" s="496">
        <f>A25+1</f>
        <v>15</v>
      </c>
      <c r="C34" s="979" t="s">
        <v>1562</v>
      </c>
      <c r="D34" s="977">
        <v>0</v>
      </c>
      <c r="E34" s="977">
        <v>0</v>
      </c>
      <c r="F34" s="977">
        <v>0</v>
      </c>
      <c r="G34" s="215">
        <f>SUM(D34:F34)</f>
        <v>0</v>
      </c>
      <c r="H34" s="465" t="s">
        <v>2025</v>
      </c>
      <c r="I34" s="222"/>
      <c r="J34" s="222"/>
      <c r="K34" s="213"/>
      <c r="L34" s="213"/>
      <c r="M34" s="213"/>
      <c r="N34" s="213"/>
      <c r="O34" s="450"/>
      <c r="P34" s="222"/>
      <c r="Q34" s="222"/>
      <c r="R34" s="222"/>
    </row>
    <row r="35" spans="1:18" ht="15" x14ac:dyDescent="0.4">
      <c r="A35" s="496">
        <v>16</v>
      </c>
      <c r="C35" s="979" t="s">
        <v>1562</v>
      </c>
      <c r="D35" s="978">
        <v>0</v>
      </c>
      <c r="E35" s="978">
        <v>0</v>
      </c>
      <c r="F35" s="978">
        <v>0</v>
      </c>
      <c r="G35" s="342">
        <f>SUM(D35:F35)</f>
        <v>0</v>
      </c>
      <c r="H35" s="465" t="s">
        <v>100</v>
      </c>
      <c r="I35" s="222"/>
      <c r="J35" s="222"/>
      <c r="K35" s="213"/>
      <c r="L35" s="213"/>
      <c r="O35" s="450"/>
      <c r="P35" s="222"/>
      <c r="Q35" s="222"/>
      <c r="R35" s="222"/>
    </row>
    <row r="36" spans="1:18" x14ac:dyDescent="0.25">
      <c r="A36" s="496">
        <f>A35+1</f>
        <v>17</v>
      </c>
      <c r="C36" s="214" t="s">
        <v>1500</v>
      </c>
      <c r="D36" s="968">
        <v>0</v>
      </c>
      <c r="E36" s="968">
        <v>0</v>
      </c>
      <c r="F36" s="968">
        <v>0</v>
      </c>
      <c r="G36" s="215">
        <f>AVERAGE(G34:G35)</f>
        <v>0</v>
      </c>
      <c r="H36" s="230" t="str">
        <f>"Average of Line "&amp;A34&amp;" and Line "&amp;A35&amp;""</f>
        <v>Average of Line 15 and Line 16</v>
      </c>
      <c r="I36" s="213"/>
      <c r="J36" s="213"/>
      <c r="K36" s="213"/>
      <c r="M36" s="497"/>
      <c r="N36" s="479"/>
      <c r="O36" s="450"/>
      <c r="P36" s="222"/>
      <c r="Q36" s="222"/>
      <c r="R36" s="222"/>
    </row>
    <row r="37" spans="1:18" x14ac:dyDescent="0.25">
      <c r="C37" s="214"/>
      <c r="I37" s="213"/>
      <c r="J37" s="213"/>
      <c r="K37" s="213"/>
      <c r="M37" s="508"/>
      <c r="N37" s="510"/>
      <c r="O37" s="450"/>
      <c r="P37" s="222"/>
      <c r="Q37" s="222"/>
      <c r="R37" s="222"/>
    </row>
    <row r="38" spans="1:18" x14ac:dyDescent="0.25">
      <c r="B38" s="382" t="s">
        <v>1740</v>
      </c>
      <c r="I38" s="213"/>
      <c r="J38" s="213"/>
      <c r="K38" s="213"/>
      <c r="L38" s="213"/>
      <c r="M38" s="497"/>
      <c r="N38" s="510"/>
      <c r="O38" s="450"/>
      <c r="P38" s="222"/>
      <c r="Q38" s="222"/>
      <c r="R38" s="222"/>
    </row>
    <row r="39" spans="1:18" ht="14.4" x14ac:dyDescent="0.3">
      <c r="B39" s="344"/>
      <c r="C39" s="335" t="s">
        <v>394</v>
      </c>
      <c r="D39" s="335" t="s">
        <v>378</v>
      </c>
      <c r="E39" s="335" t="s">
        <v>379</v>
      </c>
      <c r="F39" s="335" t="s">
        <v>380</v>
      </c>
      <c r="G39" s="335" t="s">
        <v>381</v>
      </c>
      <c r="J39" s="213"/>
      <c r="K39" s="216"/>
      <c r="L39" s="213"/>
      <c r="O39" s="222"/>
      <c r="P39" s="222"/>
      <c r="Q39" s="222"/>
      <c r="R39" s="222"/>
    </row>
    <row r="40" spans="1:18" ht="14.4" x14ac:dyDescent="0.3">
      <c r="B40" s="344"/>
      <c r="C40" s="335"/>
      <c r="D40" s="335"/>
      <c r="E40" s="538" t="s">
        <v>2067</v>
      </c>
      <c r="F40" s="335"/>
      <c r="G40" s="335"/>
      <c r="J40" s="213"/>
      <c r="K40" s="216"/>
      <c r="L40" s="213"/>
      <c r="O40" s="222"/>
      <c r="P40" s="222"/>
      <c r="Q40" s="222"/>
      <c r="R40" s="222"/>
    </row>
    <row r="41" spans="1:18" x14ac:dyDescent="0.25">
      <c r="C41" s="13"/>
      <c r="D41" s="13"/>
      <c r="E41" s="440" t="s">
        <v>215</v>
      </c>
      <c r="F41" s="13"/>
      <c r="G41" s="13"/>
      <c r="J41" s="213"/>
      <c r="K41" s="216"/>
      <c r="L41" s="213"/>
      <c r="O41" s="222"/>
      <c r="P41" s="222"/>
      <c r="Q41" s="222"/>
      <c r="R41" s="222"/>
    </row>
    <row r="42" spans="1:18" x14ac:dyDescent="0.25">
      <c r="B42" s="213"/>
      <c r="C42" s="13"/>
      <c r="D42" s="222"/>
      <c r="E42" s="440" t="s">
        <v>2066</v>
      </c>
      <c r="F42" s="103" t="s">
        <v>1346</v>
      </c>
      <c r="G42" s="103" t="s">
        <v>1347</v>
      </c>
      <c r="J42" s="213"/>
      <c r="K42" s="216"/>
      <c r="L42" s="213"/>
      <c r="O42" s="222"/>
      <c r="P42" s="222"/>
      <c r="Q42" s="222"/>
      <c r="R42" s="222"/>
    </row>
    <row r="43" spans="1:18" x14ac:dyDescent="0.25">
      <c r="B43" s="213"/>
      <c r="C43" s="13"/>
      <c r="D43" s="222"/>
      <c r="E43" s="440" t="s">
        <v>1501</v>
      </c>
      <c r="F43" s="440" t="s">
        <v>1501</v>
      </c>
      <c r="G43" s="440" t="s">
        <v>1501</v>
      </c>
      <c r="J43" s="213"/>
      <c r="K43" s="216"/>
      <c r="L43" s="213"/>
      <c r="Q43" s="222"/>
      <c r="R43" s="222"/>
    </row>
    <row r="44" spans="1:18" x14ac:dyDescent="0.25">
      <c r="B44" s="213"/>
      <c r="C44" s="113" t="s">
        <v>2024</v>
      </c>
      <c r="D44" s="222"/>
      <c r="E44" s="441" t="s">
        <v>1502</v>
      </c>
      <c r="F44" s="441" t="s">
        <v>1502</v>
      </c>
      <c r="G44" s="441" t="s">
        <v>1502</v>
      </c>
      <c r="H44" s="387" t="s">
        <v>198</v>
      </c>
      <c r="J44" s="213"/>
      <c r="K44" s="343"/>
      <c r="L44" s="213"/>
      <c r="O44" s="222"/>
      <c r="P44" s="222"/>
      <c r="Q44" s="222"/>
      <c r="R44" s="222"/>
    </row>
    <row r="45" spans="1:18" x14ac:dyDescent="0.25">
      <c r="A45" s="496">
        <f>A36+1</f>
        <v>18</v>
      </c>
      <c r="B45" s="213"/>
      <c r="C45" s="979" t="s">
        <v>1562</v>
      </c>
      <c r="D45" s="501" t="s">
        <v>1498</v>
      </c>
      <c r="E45" s="968">
        <v>0</v>
      </c>
      <c r="F45" s="977">
        <v>0</v>
      </c>
      <c r="G45" s="977">
        <v>0</v>
      </c>
      <c r="H45" s="450" t="s">
        <v>2068</v>
      </c>
      <c r="I45" s="13"/>
      <c r="J45" s="222"/>
      <c r="L45" s="213"/>
      <c r="O45" s="222"/>
      <c r="P45" s="222"/>
      <c r="Q45" s="222"/>
      <c r="R45" s="222"/>
    </row>
    <row r="46" spans="1:18" ht="15" x14ac:dyDescent="0.4">
      <c r="A46" s="496">
        <f>A45+1</f>
        <v>19</v>
      </c>
      <c r="B46" s="213"/>
      <c r="C46" s="979" t="s">
        <v>1562</v>
      </c>
      <c r="D46" s="214" t="s">
        <v>1499</v>
      </c>
      <c r="E46" s="969">
        <v>0</v>
      </c>
      <c r="F46" s="977">
        <v>0</v>
      </c>
      <c r="G46" s="977">
        <v>0</v>
      </c>
      <c r="H46" s="450" t="s">
        <v>2069</v>
      </c>
      <c r="I46" s="13"/>
      <c r="J46" s="222"/>
      <c r="K46" s="517"/>
      <c r="L46" s="213"/>
      <c r="O46" s="222"/>
      <c r="P46" s="222"/>
      <c r="Q46" s="222"/>
      <c r="R46" s="222"/>
    </row>
    <row r="47" spans="1:18" x14ac:dyDescent="0.25">
      <c r="A47" s="496">
        <f>A46+1</f>
        <v>20</v>
      </c>
      <c r="B47" s="213"/>
      <c r="D47" s="214" t="s">
        <v>1500</v>
      </c>
      <c r="E47" s="968">
        <v>0</v>
      </c>
      <c r="H47" s="230" t="str">
        <f>"Average of Line "&amp;A45&amp;" and Line "&amp;A46&amp;""</f>
        <v>Average of Line 18 and Line 19</v>
      </c>
      <c r="J47" s="213"/>
      <c r="K47" s="517"/>
      <c r="L47" s="213"/>
      <c r="O47" s="222"/>
      <c r="P47" s="222"/>
      <c r="Q47" s="222"/>
      <c r="R47" s="222"/>
    </row>
    <row r="48" spans="1:18" x14ac:dyDescent="0.25">
      <c r="I48" s="213"/>
      <c r="J48" s="213"/>
      <c r="K48" s="213"/>
      <c r="L48" s="213"/>
      <c r="O48" s="222"/>
      <c r="P48" s="222"/>
      <c r="Q48" s="222"/>
      <c r="R48" s="222"/>
    </row>
    <row r="49" spans="1:18" x14ac:dyDescent="0.25">
      <c r="B49" s="1" t="s">
        <v>1503</v>
      </c>
      <c r="C49" s="21"/>
      <c r="D49" s="505"/>
      <c r="E49" s="213"/>
      <c r="F49" s="213"/>
      <c r="G49" s="213"/>
      <c r="H49" s="213"/>
      <c r="I49" s="213"/>
      <c r="J49" s="213"/>
      <c r="K49" s="213"/>
      <c r="L49" s="213"/>
      <c r="M49" s="213"/>
      <c r="N49" s="213"/>
      <c r="O49" s="222"/>
      <c r="P49" s="222"/>
      <c r="Q49" s="222"/>
      <c r="R49" s="222"/>
    </row>
    <row r="50" spans="1:18" x14ac:dyDescent="0.25">
      <c r="B50" s="1"/>
      <c r="C50" s="21"/>
      <c r="D50" s="505"/>
      <c r="E50" s="213"/>
      <c r="F50" s="213"/>
      <c r="G50" s="213"/>
      <c r="H50" s="213"/>
      <c r="I50" s="213"/>
      <c r="J50" s="213"/>
      <c r="K50" s="213"/>
      <c r="L50" s="213"/>
      <c r="M50" s="213"/>
      <c r="N50" s="213"/>
      <c r="O50" s="222"/>
      <c r="P50" s="222"/>
      <c r="Q50" s="222"/>
      <c r="R50" s="222"/>
    </row>
    <row r="51" spans="1:18" x14ac:dyDescent="0.25">
      <c r="B51" s="213"/>
      <c r="C51" s="1"/>
      <c r="D51" s="21"/>
      <c r="E51" s="505"/>
      <c r="F51" s="343" t="s">
        <v>194</v>
      </c>
      <c r="G51" s="387" t="s">
        <v>198</v>
      </c>
      <c r="H51" s="213"/>
      <c r="I51" s="213"/>
      <c r="J51" s="213"/>
      <c r="K51" s="213"/>
      <c r="L51" s="213"/>
      <c r="M51" s="213"/>
      <c r="N51" s="213"/>
      <c r="O51" s="222"/>
      <c r="P51" s="222"/>
      <c r="Q51" s="222"/>
      <c r="R51" s="222"/>
    </row>
    <row r="52" spans="1:18" x14ac:dyDescent="0.25">
      <c r="A52" s="496">
        <f>A47+1</f>
        <v>21</v>
      </c>
      <c r="B52" s="213"/>
      <c r="C52" s="21"/>
      <c r="D52" s="21"/>
      <c r="E52" s="501" t="s">
        <v>1504</v>
      </c>
      <c r="F52" s="968">
        <v>0</v>
      </c>
      <c r="G52" s="230" t="str">
        <f>"Line "&amp;A47&amp;""</f>
        <v>Line 20</v>
      </c>
      <c r="H52" s="213"/>
      <c r="I52" s="213"/>
      <c r="J52" s="213"/>
      <c r="K52" s="213"/>
      <c r="L52" s="213"/>
      <c r="M52" s="213"/>
      <c r="N52" s="213"/>
      <c r="O52" s="222"/>
      <c r="P52" s="222"/>
      <c r="Q52" s="222"/>
      <c r="R52" s="222"/>
    </row>
    <row r="53" spans="1:18" x14ac:dyDescent="0.25">
      <c r="A53" s="496">
        <f>A52+1</f>
        <v>22</v>
      </c>
      <c r="B53" s="213"/>
      <c r="C53" s="21"/>
      <c r="D53" s="21"/>
      <c r="E53" s="513" t="s">
        <v>265</v>
      </c>
      <c r="F53" s="971" t="s">
        <v>2690</v>
      </c>
      <c r="G53" s="450" t="str">
        <f>"27-Allocators, Line "&amp;'27-Allocators'!A15&amp;""</f>
        <v>27-Allocators, Line 9</v>
      </c>
      <c r="H53" s="213"/>
      <c r="I53" s="213"/>
      <c r="J53" s="213"/>
      <c r="K53" s="213"/>
      <c r="L53" s="213"/>
      <c r="M53" s="213"/>
      <c r="N53" s="213"/>
      <c r="O53" s="222"/>
      <c r="P53" s="222"/>
      <c r="Q53" s="222"/>
      <c r="R53" s="222"/>
    </row>
    <row r="54" spans="1:18" x14ac:dyDescent="0.25">
      <c r="A54" s="496">
        <f>A53+1</f>
        <v>23</v>
      </c>
      <c r="B54" s="213"/>
      <c r="C54" s="21"/>
      <c r="D54" s="21"/>
      <c r="E54" s="513" t="s">
        <v>1505</v>
      </c>
      <c r="F54" s="968">
        <v>0</v>
      </c>
      <c r="G54" s="230" t="str">
        <f>"Line "&amp;A52&amp;" * Line "&amp;A53&amp;""</f>
        <v>Line 21 * Line 22</v>
      </c>
      <c r="H54" s="213"/>
      <c r="I54" s="213"/>
      <c r="J54" s="213"/>
      <c r="K54" s="213"/>
      <c r="L54" s="213"/>
      <c r="M54" s="213"/>
      <c r="O54" s="222"/>
      <c r="P54" s="222"/>
      <c r="Q54" s="222"/>
      <c r="R54" s="222"/>
    </row>
    <row r="55" spans="1:18" x14ac:dyDescent="0.25">
      <c r="B55" s="21"/>
      <c r="C55" s="21"/>
      <c r="D55" s="513"/>
      <c r="E55" s="502"/>
      <c r="F55" s="213"/>
      <c r="G55" s="213"/>
      <c r="H55" s="213"/>
      <c r="I55" s="213"/>
      <c r="J55" s="213"/>
      <c r="K55" s="213"/>
      <c r="L55" s="213"/>
      <c r="M55" s="213"/>
      <c r="O55" s="222"/>
      <c r="P55" s="222"/>
      <c r="Q55" s="222"/>
      <c r="R55" s="222"/>
    </row>
    <row r="56" spans="1:18" x14ac:dyDescent="0.25">
      <c r="B56" s="1" t="s">
        <v>2705</v>
      </c>
      <c r="C56" s="21"/>
      <c r="D56" s="505"/>
      <c r="E56" s="213"/>
      <c r="F56" s="213"/>
      <c r="G56" s="213"/>
      <c r="H56" s="213"/>
      <c r="I56" s="213"/>
      <c r="J56" s="213"/>
      <c r="K56" s="213"/>
      <c r="L56" s="213"/>
      <c r="M56" s="213"/>
      <c r="O56" s="222"/>
      <c r="P56" s="222"/>
      <c r="Q56" s="222"/>
      <c r="R56" s="222"/>
    </row>
    <row r="57" spans="1:18" x14ac:dyDescent="0.25">
      <c r="B57" s="213"/>
      <c r="C57" s="213"/>
      <c r="D57" s="213"/>
      <c r="E57" s="213"/>
      <c r="F57" s="213"/>
      <c r="G57" s="213"/>
      <c r="H57" s="213"/>
      <c r="I57" s="213"/>
      <c r="J57" s="213"/>
      <c r="K57" s="213"/>
      <c r="L57" s="213"/>
      <c r="M57" s="213"/>
      <c r="O57" s="519"/>
      <c r="P57" s="75"/>
      <c r="Q57" s="222"/>
      <c r="R57" s="222"/>
    </row>
    <row r="58" spans="1:18" x14ac:dyDescent="0.25">
      <c r="B58" s="213"/>
      <c r="C58" s="213"/>
      <c r="D58" s="213"/>
      <c r="E58" s="213"/>
      <c r="F58" s="343" t="s">
        <v>194</v>
      </c>
      <c r="G58" s="387" t="s">
        <v>198</v>
      </c>
      <c r="H58" s="213"/>
      <c r="I58" s="213"/>
      <c r="J58" s="213"/>
      <c r="K58" s="213"/>
      <c r="L58" s="213"/>
      <c r="M58" s="213"/>
      <c r="O58" s="411"/>
      <c r="P58" s="411"/>
      <c r="Q58" s="222"/>
      <c r="R58" s="222"/>
    </row>
    <row r="59" spans="1:18" x14ac:dyDescent="0.25">
      <c r="A59" s="496">
        <f>A54+1</f>
        <v>24</v>
      </c>
      <c r="B59" s="21"/>
      <c r="C59" s="21"/>
      <c r="E59" s="501" t="s">
        <v>1506</v>
      </c>
      <c r="F59" s="968">
        <v>0</v>
      </c>
      <c r="G59" s="230" t="str">
        <f>"Line "&amp;A46&amp;""</f>
        <v>Line 19</v>
      </c>
      <c r="H59" s="213"/>
      <c r="I59" s="213"/>
      <c r="J59" s="213"/>
      <c r="K59" s="213"/>
      <c r="L59" s="213"/>
      <c r="M59" s="213"/>
      <c r="O59" s="40"/>
      <c r="P59" s="455"/>
      <c r="Q59" s="222"/>
      <c r="R59" s="222"/>
    </row>
    <row r="60" spans="1:18" x14ac:dyDescent="0.25">
      <c r="A60" s="496">
        <f>A59+1</f>
        <v>25</v>
      </c>
      <c r="B60" s="21"/>
      <c r="C60" s="21"/>
      <c r="E60" s="513" t="s">
        <v>265</v>
      </c>
      <c r="F60" s="971" t="s">
        <v>2690</v>
      </c>
      <c r="G60" s="450" t="str">
        <f>"27-Allocators, Line "&amp;'27-Allocators'!A15&amp;""</f>
        <v>27-Allocators, Line 9</v>
      </c>
      <c r="H60" s="213"/>
      <c r="I60" s="213"/>
      <c r="J60" s="213"/>
      <c r="K60" s="213"/>
      <c r="L60" s="213"/>
      <c r="M60" s="213"/>
      <c r="O60" s="40"/>
      <c r="P60" s="455"/>
      <c r="Q60" s="222"/>
      <c r="R60" s="222"/>
    </row>
    <row r="61" spans="1:18" x14ac:dyDescent="0.25">
      <c r="A61" s="496">
        <f>A60+1</f>
        <v>26</v>
      </c>
      <c r="B61" s="21"/>
      <c r="C61" s="21"/>
      <c r="E61" s="513" t="s">
        <v>1507</v>
      </c>
      <c r="F61" s="968">
        <v>0</v>
      </c>
      <c r="G61" s="230" t="str">
        <f>"Line "&amp;A59&amp;" * Line "&amp;A60&amp;""</f>
        <v>Line 24 * Line 25</v>
      </c>
      <c r="H61" s="213"/>
      <c r="I61" s="213"/>
      <c r="J61" s="213"/>
      <c r="K61" s="213"/>
      <c r="L61" s="213"/>
      <c r="M61" s="213"/>
      <c r="Q61" s="222"/>
      <c r="R61" s="222"/>
    </row>
    <row r="62" spans="1:18" x14ac:dyDescent="0.25">
      <c r="B62" s="213"/>
      <c r="C62" s="213"/>
      <c r="D62" s="213"/>
      <c r="E62" s="213"/>
      <c r="F62" s="213"/>
      <c r="G62" s="213"/>
      <c r="H62" s="213"/>
      <c r="I62" s="213"/>
      <c r="J62" s="213"/>
      <c r="K62" s="213"/>
      <c r="L62" s="213"/>
      <c r="M62" s="213"/>
      <c r="Q62" s="222"/>
      <c r="R62" s="222"/>
    </row>
    <row r="63" spans="1:18" x14ac:dyDescent="0.25">
      <c r="Q63" s="222"/>
      <c r="R63" s="222"/>
    </row>
    <row r="64" spans="1:18" x14ac:dyDescent="0.25">
      <c r="B64" s="1" t="s">
        <v>1741</v>
      </c>
      <c r="Q64" s="222"/>
      <c r="R64" s="222"/>
    </row>
    <row r="65" spans="1:18" x14ac:dyDescent="0.25">
      <c r="Q65" s="222"/>
      <c r="R65" s="222"/>
    </row>
    <row r="66" spans="1:18" x14ac:dyDescent="0.25">
      <c r="C66" s="1" t="s">
        <v>1735</v>
      </c>
      <c r="D66" s="466"/>
      <c r="E66" s="466"/>
      <c r="F66" s="466"/>
      <c r="G66" s="466"/>
      <c r="H66" s="466"/>
      <c r="I66" s="466"/>
      <c r="J66" s="466"/>
      <c r="K66" s="466"/>
      <c r="L66" s="466"/>
      <c r="M66" s="466"/>
      <c r="Q66" s="222"/>
      <c r="R66" s="222"/>
    </row>
    <row r="67" spans="1:18" x14ac:dyDescent="0.25">
      <c r="A67" s="466"/>
      <c r="D67" s="466"/>
      <c r="E67" s="466"/>
      <c r="F67" s="466"/>
      <c r="G67" s="466"/>
      <c r="H67" s="466"/>
      <c r="I67" s="466"/>
      <c r="J67" s="466"/>
      <c r="K67" s="466"/>
      <c r="L67" s="466"/>
      <c r="M67" s="466"/>
      <c r="Q67" s="222"/>
      <c r="R67" s="222"/>
    </row>
    <row r="68" spans="1:18" x14ac:dyDescent="0.25">
      <c r="A68" s="382"/>
      <c r="C68" s="84" t="s">
        <v>394</v>
      </c>
      <c r="D68" s="84" t="s">
        <v>378</v>
      </c>
      <c r="E68" s="84" t="s">
        <v>379</v>
      </c>
      <c r="F68" s="84" t="s">
        <v>380</v>
      </c>
      <c r="G68" s="84" t="s">
        <v>381</v>
      </c>
      <c r="H68" s="84" t="s">
        <v>382</v>
      </c>
      <c r="I68" s="84" t="s">
        <v>383</v>
      </c>
      <c r="J68" s="84" t="s">
        <v>595</v>
      </c>
      <c r="K68" s="84" t="s">
        <v>1043</v>
      </c>
      <c r="L68" s="84" t="s">
        <v>1059</v>
      </c>
      <c r="M68" s="84" t="s">
        <v>1062</v>
      </c>
      <c r="N68" s="84" t="s">
        <v>1080</v>
      </c>
      <c r="Q68" s="222"/>
      <c r="R68" s="222"/>
    </row>
    <row r="69" spans="1:18" x14ac:dyDescent="0.25">
      <c r="A69" s="213"/>
      <c r="C69" s="232"/>
      <c r="D69" s="213"/>
      <c r="E69" s="213"/>
      <c r="F69" s="213"/>
      <c r="G69" s="213"/>
      <c r="H69" s="213"/>
      <c r="I69" s="213"/>
      <c r="J69" s="213"/>
      <c r="K69" s="213"/>
      <c r="L69" s="213"/>
      <c r="N69" s="232" t="s">
        <v>1363</v>
      </c>
      <c r="O69" s="222"/>
      <c r="P69" s="222"/>
      <c r="Q69" s="222"/>
      <c r="R69" s="222"/>
    </row>
    <row r="70" spans="1:18" x14ac:dyDescent="0.25">
      <c r="A70" s="213"/>
      <c r="C70" s="103"/>
      <c r="D70" s="84"/>
      <c r="E70" s="84"/>
      <c r="F70" s="213"/>
      <c r="G70" s="213"/>
      <c r="H70" s="213"/>
      <c r="I70" s="213"/>
      <c r="J70" s="213"/>
      <c r="K70" s="213"/>
      <c r="L70" s="213"/>
      <c r="M70" s="213"/>
      <c r="O70" s="222"/>
      <c r="P70" s="222"/>
      <c r="Q70" s="222"/>
      <c r="R70" s="222"/>
    </row>
    <row r="71" spans="1:18" x14ac:dyDescent="0.25">
      <c r="A71" s="49"/>
      <c r="C71" s="113" t="s">
        <v>2024</v>
      </c>
      <c r="D71" s="84">
        <v>350.1</v>
      </c>
      <c r="E71" s="84">
        <v>350.2</v>
      </c>
      <c r="F71" s="84">
        <v>352</v>
      </c>
      <c r="G71" s="84">
        <v>353</v>
      </c>
      <c r="H71" s="84">
        <v>354</v>
      </c>
      <c r="I71" s="84">
        <v>355</v>
      </c>
      <c r="J71" s="84">
        <v>356</v>
      </c>
      <c r="K71" s="84">
        <v>357</v>
      </c>
      <c r="L71" s="84">
        <v>358</v>
      </c>
      <c r="M71" s="84">
        <v>359</v>
      </c>
      <c r="N71" s="3" t="s">
        <v>215</v>
      </c>
      <c r="O71" s="222"/>
      <c r="P71" s="222"/>
      <c r="Q71" s="222"/>
      <c r="R71" s="222"/>
    </row>
    <row r="72" spans="1:18" x14ac:dyDescent="0.25">
      <c r="A72" s="496">
        <f>A61+1</f>
        <v>27</v>
      </c>
      <c r="C72" s="979" t="s">
        <v>1562</v>
      </c>
      <c r="D72" s="977">
        <v>0</v>
      </c>
      <c r="E72" s="977">
        <v>0</v>
      </c>
      <c r="F72" s="977">
        <v>0</v>
      </c>
      <c r="G72" s="977">
        <v>0</v>
      </c>
      <c r="H72" s="977">
        <v>0</v>
      </c>
      <c r="I72" s="977">
        <v>0</v>
      </c>
      <c r="J72" s="977">
        <v>0</v>
      </c>
      <c r="K72" s="977">
        <v>0</v>
      </c>
      <c r="L72" s="977">
        <v>0</v>
      </c>
      <c r="M72" s="977">
        <v>0</v>
      </c>
      <c r="N72" s="968">
        <v>0</v>
      </c>
      <c r="O72" s="222"/>
      <c r="P72" s="222"/>
      <c r="Q72" s="222"/>
      <c r="R72" s="222"/>
    </row>
    <row r="73" spans="1:18" x14ac:dyDescent="0.25">
      <c r="A73" s="496">
        <f t="shared" ref="A73:A84" si="1">A72+1</f>
        <v>28</v>
      </c>
      <c r="C73" s="979" t="s">
        <v>1562</v>
      </c>
      <c r="D73" s="977">
        <v>0</v>
      </c>
      <c r="E73" s="977">
        <v>0</v>
      </c>
      <c r="F73" s="977">
        <v>0</v>
      </c>
      <c r="G73" s="977">
        <v>0</v>
      </c>
      <c r="H73" s="977">
        <v>0</v>
      </c>
      <c r="I73" s="977">
        <v>0</v>
      </c>
      <c r="J73" s="977">
        <v>0</v>
      </c>
      <c r="K73" s="977">
        <v>0</v>
      </c>
      <c r="L73" s="977">
        <v>0</v>
      </c>
      <c r="M73" s="977">
        <v>0</v>
      </c>
      <c r="N73" s="968">
        <v>0</v>
      </c>
      <c r="P73" s="222"/>
      <c r="Q73" s="222"/>
      <c r="R73" s="222"/>
    </row>
    <row r="74" spans="1:18" x14ac:dyDescent="0.25">
      <c r="A74" s="496">
        <f t="shared" si="1"/>
        <v>29</v>
      </c>
      <c r="C74" s="979" t="s">
        <v>1562</v>
      </c>
      <c r="D74" s="977">
        <v>0</v>
      </c>
      <c r="E74" s="977">
        <v>0</v>
      </c>
      <c r="F74" s="977">
        <v>0</v>
      </c>
      <c r="G74" s="977">
        <v>0</v>
      </c>
      <c r="H74" s="977">
        <v>0</v>
      </c>
      <c r="I74" s="977">
        <v>0</v>
      </c>
      <c r="J74" s="977">
        <v>0</v>
      </c>
      <c r="K74" s="977">
        <v>0</v>
      </c>
      <c r="L74" s="977">
        <v>0</v>
      </c>
      <c r="M74" s="977">
        <v>0</v>
      </c>
      <c r="N74" s="968">
        <v>0</v>
      </c>
      <c r="P74" s="222"/>
      <c r="Q74" s="222"/>
      <c r="R74" s="222"/>
    </row>
    <row r="75" spans="1:18" x14ac:dyDescent="0.25">
      <c r="A75" s="496">
        <f t="shared" si="1"/>
        <v>30</v>
      </c>
      <c r="C75" s="979" t="s">
        <v>1562</v>
      </c>
      <c r="D75" s="977">
        <v>0</v>
      </c>
      <c r="E75" s="977">
        <v>0</v>
      </c>
      <c r="F75" s="977">
        <v>0</v>
      </c>
      <c r="G75" s="977">
        <v>0</v>
      </c>
      <c r="H75" s="977">
        <v>0</v>
      </c>
      <c r="I75" s="977">
        <v>0</v>
      </c>
      <c r="J75" s="977">
        <v>0</v>
      </c>
      <c r="K75" s="977">
        <v>0</v>
      </c>
      <c r="L75" s="977">
        <v>0</v>
      </c>
      <c r="M75" s="977">
        <v>0</v>
      </c>
      <c r="N75" s="968">
        <v>0</v>
      </c>
      <c r="P75" s="222"/>
      <c r="Q75" s="222"/>
      <c r="R75" s="222"/>
    </row>
    <row r="76" spans="1:18" x14ac:dyDescent="0.25">
      <c r="A76" s="496">
        <f t="shared" si="1"/>
        <v>31</v>
      </c>
      <c r="C76" s="979" t="s">
        <v>1562</v>
      </c>
      <c r="D76" s="977">
        <v>0</v>
      </c>
      <c r="E76" s="977">
        <v>0</v>
      </c>
      <c r="F76" s="977">
        <v>0</v>
      </c>
      <c r="G76" s="977">
        <v>0</v>
      </c>
      <c r="H76" s="977">
        <v>0</v>
      </c>
      <c r="I76" s="977">
        <v>0</v>
      </c>
      <c r="J76" s="977">
        <v>0</v>
      </c>
      <c r="K76" s="977">
        <v>0</v>
      </c>
      <c r="L76" s="977">
        <v>0</v>
      </c>
      <c r="M76" s="977">
        <v>0</v>
      </c>
      <c r="N76" s="968">
        <v>0</v>
      </c>
    </row>
    <row r="77" spans="1:18" x14ac:dyDescent="0.25">
      <c r="A77" s="496">
        <f t="shared" si="1"/>
        <v>32</v>
      </c>
      <c r="C77" s="979" t="s">
        <v>1562</v>
      </c>
      <c r="D77" s="977">
        <v>0</v>
      </c>
      <c r="E77" s="977">
        <v>0</v>
      </c>
      <c r="F77" s="977">
        <v>0</v>
      </c>
      <c r="G77" s="977">
        <v>0</v>
      </c>
      <c r="H77" s="977">
        <v>0</v>
      </c>
      <c r="I77" s="977">
        <v>0</v>
      </c>
      <c r="J77" s="977">
        <v>0</v>
      </c>
      <c r="K77" s="977">
        <v>0</v>
      </c>
      <c r="L77" s="977">
        <v>0</v>
      </c>
      <c r="M77" s="977">
        <v>0</v>
      </c>
      <c r="N77" s="968">
        <v>0</v>
      </c>
    </row>
    <row r="78" spans="1:18" x14ac:dyDescent="0.25">
      <c r="A78" s="496">
        <f t="shared" si="1"/>
        <v>33</v>
      </c>
      <c r="C78" s="979" t="s">
        <v>1562</v>
      </c>
      <c r="D78" s="977">
        <v>0</v>
      </c>
      <c r="E78" s="977">
        <v>0</v>
      </c>
      <c r="F78" s="977">
        <v>0</v>
      </c>
      <c r="G78" s="977">
        <v>0</v>
      </c>
      <c r="H78" s="977">
        <v>0</v>
      </c>
      <c r="I78" s="977">
        <v>0</v>
      </c>
      <c r="J78" s="977">
        <v>0</v>
      </c>
      <c r="K78" s="977">
        <v>0</v>
      </c>
      <c r="L78" s="977">
        <v>0</v>
      </c>
      <c r="M78" s="977">
        <v>0</v>
      </c>
      <c r="N78" s="968">
        <v>0</v>
      </c>
    </row>
    <row r="79" spans="1:18" x14ac:dyDescent="0.25">
      <c r="A79" s="496">
        <f t="shared" si="1"/>
        <v>34</v>
      </c>
      <c r="C79" s="979" t="s">
        <v>1562</v>
      </c>
      <c r="D79" s="977">
        <v>0</v>
      </c>
      <c r="E79" s="977">
        <v>0</v>
      </c>
      <c r="F79" s="977">
        <v>0</v>
      </c>
      <c r="G79" s="977">
        <v>0</v>
      </c>
      <c r="H79" s="977">
        <v>0</v>
      </c>
      <c r="I79" s="977">
        <v>0</v>
      </c>
      <c r="J79" s="977">
        <v>0</v>
      </c>
      <c r="K79" s="977">
        <v>0</v>
      </c>
      <c r="L79" s="977">
        <v>0</v>
      </c>
      <c r="M79" s="977">
        <v>0</v>
      </c>
      <c r="N79" s="968">
        <v>0</v>
      </c>
    </row>
    <row r="80" spans="1:18" x14ac:dyDescent="0.25">
      <c r="A80" s="496">
        <f t="shared" si="1"/>
        <v>35</v>
      </c>
      <c r="C80" s="979" t="s">
        <v>1562</v>
      </c>
      <c r="D80" s="977">
        <v>0</v>
      </c>
      <c r="E80" s="977">
        <v>0</v>
      </c>
      <c r="F80" s="977">
        <v>0</v>
      </c>
      <c r="G80" s="977">
        <v>0</v>
      </c>
      <c r="H80" s="977">
        <v>0</v>
      </c>
      <c r="I80" s="977">
        <v>0</v>
      </c>
      <c r="J80" s="977">
        <v>0</v>
      </c>
      <c r="K80" s="977">
        <v>0</v>
      </c>
      <c r="L80" s="977">
        <v>0</v>
      </c>
      <c r="M80" s="977">
        <v>0</v>
      </c>
      <c r="N80" s="968">
        <v>0</v>
      </c>
    </row>
    <row r="81" spans="1:15" x14ac:dyDescent="0.25">
      <c r="A81" s="496">
        <f t="shared" si="1"/>
        <v>36</v>
      </c>
      <c r="C81" s="979" t="s">
        <v>1562</v>
      </c>
      <c r="D81" s="977">
        <v>0</v>
      </c>
      <c r="E81" s="977">
        <v>0</v>
      </c>
      <c r="F81" s="977">
        <v>0</v>
      </c>
      <c r="G81" s="977">
        <v>0</v>
      </c>
      <c r="H81" s="977">
        <v>0</v>
      </c>
      <c r="I81" s="977">
        <v>0</v>
      </c>
      <c r="J81" s="977">
        <v>0</v>
      </c>
      <c r="K81" s="977">
        <v>0</v>
      </c>
      <c r="L81" s="977">
        <v>0</v>
      </c>
      <c r="M81" s="977">
        <v>0</v>
      </c>
      <c r="N81" s="968">
        <v>0</v>
      </c>
    </row>
    <row r="82" spans="1:15" x14ac:dyDescent="0.25">
      <c r="A82" s="496">
        <f t="shared" si="1"/>
        <v>37</v>
      </c>
      <c r="C82" s="979" t="s">
        <v>1562</v>
      </c>
      <c r="D82" s="977">
        <v>0</v>
      </c>
      <c r="E82" s="977">
        <v>0</v>
      </c>
      <c r="F82" s="977">
        <v>0</v>
      </c>
      <c r="G82" s="977">
        <v>0</v>
      </c>
      <c r="H82" s="977">
        <v>0</v>
      </c>
      <c r="I82" s="977">
        <v>0</v>
      </c>
      <c r="J82" s="977">
        <v>0</v>
      </c>
      <c r="K82" s="977">
        <v>0</v>
      </c>
      <c r="L82" s="977">
        <v>0</v>
      </c>
      <c r="M82" s="977">
        <v>0</v>
      </c>
      <c r="N82" s="968">
        <v>0</v>
      </c>
    </row>
    <row r="83" spans="1:15" ht="15" x14ac:dyDescent="0.4">
      <c r="A83" s="496">
        <f t="shared" si="1"/>
        <v>38</v>
      </c>
      <c r="C83" s="979" t="s">
        <v>1562</v>
      </c>
      <c r="D83" s="978">
        <v>0</v>
      </c>
      <c r="E83" s="978">
        <v>0</v>
      </c>
      <c r="F83" s="978">
        <v>0</v>
      </c>
      <c r="G83" s="978">
        <v>0</v>
      </c>
      <c r="H83" s="978">
        <v>0</v>
      </c>
      <c r="I83" s="978">
        <v>0</v>
      </c>
      <c r="J83" s="978">
        <v>0</v>
      </c>
      <c r="K83" s="978">
        <v>0</v>
      </c>
      <c r="L83" s="978">
        <v>0</v>
      </c>
      <c r="M83" s="978">
        <v>0</v>
      </c>
      <c r="N83" s="969">
        <v>0</v>
      </c>
      <c r="O83" s="222"/>
    </row>
    <row r="84" spans="1:15" x14ac:dyDescent="0.25">
      <c r="A84" s="496">
        <f t="shared" si="1"/>
        <v>39</v>
      </c>
      <c r="C84" s="500" t="s">
        <v>4</v>
      </c>
      <c r="D84" s="968">
        <v>0</v>
      </c>
      <c r="E84" s="968">
        <v>0</v>
      </c>
      <c r="F84" s="968">
        <v>0</v>
      </c>
      <c r="G84" s="968">
        <v>0</v>
      </c>
      <c r="H84" s="968">
        <v>0</v>
      </c>
      <c r="I84" s="968">
        <v>0</v>
      </c>
      <c r="J84" s="968">
        <v>0</v>
      </c>
      <c r="K84" s="968">
        <v>0</v>
      </c>
      <c r="L84" s="968">
        <v>0</v>
      </c>
      <c r="M84" s="968">
        <v>0</v>
      </c>
      <c r="N84" s="968">
        <v>0</v>
      </c>
      <c r="O84" s="222"/>
    </row>
    <row r="86" spans="1:15" x14ac:dyDescent="0.25">
      <c r="C86" s="1" t="s">
        <v>1746</v>
      </c>
      <c r="D86" s="466"/>
      <c r="E86" s="466"/>
      <c r="F86" s="466"/>
      <c r="G86" s="466"/>
      <c r="H86" s="466"/>
      <c r="I86" s="466"/>
      <c r="J86" s="466"/>
      <c r="K86" s="466"/>
      <c r="L86" s="466"/>
    </row>
    <row r="87" spans="1:15" x14ac:dyDescent="0.25">
      <c r="A87" s="466"/>
      <c r="C87" s="466"/>
      <c r="D87" s="466"/>
      <c r="E87" s="466"/>
      <c r="F87" s="466"/>
      <c r="G87" s="466"/>
      <c r="H87" s="466"/>
      <c r="I87" s="466"/>
      <c r="J87" s="466"/>
      <c r="K87" s="466"/>
      <c r="L87" s="466"/>
    </row>
    <row r="88" spans="1:15" x14ac:dyDescent="0.25">
      <c r="A88" s="382"/>
      <c r="C88" s="84" t="s">
        <v>394</v>
      </c>
      <c r="D88" s="84" t="s">
        <v>378</v>
      </c>
      <c r="E88" s="84" t="s">
        <v>379</v>
      </c>
      <c r="F88" s="84" t="s">
        <v>380</v>
      </c>
      <c r="G88" s="84" t="s">
        <v>381</v>
      </c>
      <c r="H88" s="84" t="s">
        <v>382</v>
      </c>
      <c r="I88" s="84" t="s">
        <v>383</v>
      </c>
      <c r="J88" s="84" t="s">
        <v>595</v>
      </c>
      <c r="K88" s="84" t="s">
        <v>1043</v>
      </c>
      <c r="L88" s="84" t="s">
        <v>1059</v>
      </c>
      <c r="M88" s="84" t="s">
        <v>1062</v>
      </c>
      <c r="N88" s="84" t="s">
        <v>1080</v>
      </c>
    </row>
    <row r="89" spans="1:15" x14ac:dyDescent="0.25">
      <c r="A89" s="213"/>
      <c r="C89" s="232"/>
      <c r="D89" s="213"/>
      <c r="E89" s="213"/>
      <c r="F89" s="213"/>
      <c r="G89" s="213"/>
      <c r="H89" s="213"/>
      <c r="I89" s="213"/>
      <c r="J89" s="213"/>
      <c r="K89" s="213"/>
      <c r="L89" s="213"/>
      <c r="N89" s="232" t="s">
        <v>1363</v>
      </c>
    </row>
    <row r="90" spans="1:15" x14ac:dyDescent="0.25">
      <c r="A90" s="213"/>
      <c r="C90" s="103"/>
      <c r="D90" s="84"/>
      <c r="E90" s="84"/>
      <c r="F90" s="213"/>
      <c r="G90" s="213"/>
      <c r="H90" s="213"/>
      <c r="I90" s="213"/>
      <c r="J90" s="213"/>
      <c r="K90" s="213"/>
      <c r="L90" s="213"/>
      <c r="M90" s="213"/>
    </row>
    <row r="91" spans="1:15" x14ac:dyDescent="0.25">
      <c r="A91" s="49"/>
      <c r="C91" s="113" t="s">
        <v>2024</v>
      </c>
      <c r="D91" s="84">
        <v>350.1</v>
      </c>
      <c r="E91" s="84">
        <v>350.2</v>
      </c>
      <c r="F91" s="84">
        <v>352</v>
      </c>
      <c r="G91" s="84">
        <v>353</v>
      </c>
      <c r="H91" s="84">
        <v>354</v>
      </c>
      <c r="I91" s="84">
        <v>355</v>
      </c>
      <c r="J91" s="84">
        <v>356</v>
      </c>
      <c r="K91" s="84">
        <v>357</v>
      </c>
      <c r="L91" s="84">
        <v>358</v>
      </c>
      <c r="M91" s="84">
        <v>359</v>
      </c>
      <c r="N91" s="3" t="s">
        <v>215</v>
      </c>
    </row>
    <row r="92" spans="1:15" x14ac:dyDescent="0.25">
      <c r="A92" s="496">
        <f>A84+1</f>
        <v>40</v>
      </c>
      <c r="C92" s="979" t="s">
        <v>1562</v>
      </c>
      <c r="D92" s="968">
        <v>0</v>
      </c>
      <c r="E92" s="968">
        <v>0</v>
      </c>
      <c r="F92" s="968">
        <v>0</v>
      </c>
      <c r="G92" s="968">
        <v>0</v>
      </c>
      <c r="H92" s="968">
        <v>0</v>
      </c>
      <c r="I92" s="968">
        <v>0</v>
      </c>
      <c r="J92" s="968">
        <v>0</v>
      </c>
      <c r="K92" s="968">
        <v>0</v>
      </c>
      <c r="L92" s="968">
        <v>0</v>
      </c>
      <c r="M92" s="968">
        <v>0</v>
      </c>
      <c r="N92" s="968">
        <v>0</v>
      </c>
    </row>
    <row r="93" spans="1:15" x14ac:dyDescent="0.25">
      <c r="A93" s="496">
        <f t="shared" ref="A93:A104" si="2">A92+1</f>
        <v>41</v>
      </c>
      <c r="C93" s="979" t="s">
        <v>1562</v>
      </c>
      <c r="D93" s="968">
        <v>0</v>
      </c>
      <c r="E93" s="968">
        <v>0</v>
      </c>
      <c r="F93" s="968">
        <v>0</v>
      </c>
      <c r="G93" s="968">
        <v>0</v>
      </c>
      <c r="H93" s="968">
        <v>0</v>
      </c>
      <c r="I93" s="968">
        <v>0</v>
      </c>
      <c r="J93" s="968">
        <v>0</v>
      </c>
      <c r="K93" s="968">
        <v>0</v>
      </c>
      <c r="L93" s="968">
        <v>0</v>
      </c>
      <c r="M93" s="968">
        <v>0</v>
      </c>
      <c r="N93" s="968">
        <v>0</v>
      </c>
    </row>
    <row r="94" spans="1:15" x14ac:dyDescent="0.25">
      <c r="A94" s="496">
        <f t="shared" si="2"/>
        <v>42</v>
      </c>
      <c r="C94" s="979" t="s">
        <v>1562</v>
      </c>
      <c r="D94" s="968">
        <v>0</v>
      </c>
      <c r="E94" s="968">
        <v>0</v>
      </c>
      <c r="F94" s="968">
        <v>0</v>
      </c>
      <c r="G94" s="968">
        <v>0</v>
      </c>
      <c r="H94" s="968">
        <v>0</v>
      </c>
      <c r="I94" s="968">
        <v>0</v>
      </c>
      <c r="J94" s="968">
        <v>0</v>
      </c>
      <c r="K94" s="968">
        <v>0</v>
      </c>
      <c r="L94" s="968">
        <v>0</v>
      </c>
      <c r="M94" s="968">
        <v>0</v>
      </c>
      <c r="N94" s="968">
        <v>0</v>
      </c>
    </row>
    <row r="95" spans="1:15" x14ac:dyDescent="0.25">
      <c r="A95" s="496">
        <f t="shared" si="2"/>
        <v>43</v>
      </c>
      <c r="C95" s="979" t="s">
        <v>1562</v>
      </c>
      <c r="D95" s="968">
        <v>0</v>
      </c>
      <c r="E95" s="968">
        <v>0</v>
      </c>
      <c r="F95" s="968">
        <v>0</v>
      </c>
      <c r="G95" s="968">
        <v>0</v>
      </c>
      <c r="H95" s="968">
        <v>0</v>
      </c>
      <c r="I95" s="968">
        <v>0</v>
      </c>
      <c r="J95" s="968">
        <v>0</v>
      </c>
      <c r="K95" s="968">
        <v>0</v>
      </c>
      <c r="L95" s="968">
        <v>0</v>
      </c>
      <c r="M95" s="968">
        <v>0</v>
      </c>
      <c r="N95" s="968">
        <v>0</v>
      </c>
    </row>
    <row r="96" spans="1:15" x14ac:dyDescent="0.25">
      <c r="A96" s="496">
        <f t="shared" si="2"/>
        <v>44</v>
      </c>
      <c r="C96" s="979" t="s">
        <v>1562</v>
      </c>
      <c r="D96" s="968">
        <v>0</v>
      </c>
      <c r="E96" s="968">
        <v>0</v>
      </c>
      <c r="F96" s="968">
        <v>0</v>
      </c>
      <c r="G96" s="968">
        <v>0</v>
      </c>
      <c r="H96" s="968">
        <v>0</v>
      </c>
      <c r="I96" s="968">
        <v>0</v>
      </c>
      <c r="J96" s="968">
        <v>0</v>
      </c>
      <c r="K96" s="968">
        <v>0</v>
      </c>
      <c r="L96" s="968">
        <v>0</v>
      </c>
      <c r="M96" s="968">
        <v>0</v>
      </c>
      <c r="N96" s="968">
        <v>0</v>
      </c>
    </row>
    <row r="97" spans="1:14" x14ac:dyDescent="0.25">
      <c r="A97" s="496">
        <f t="shared" si="2"/>
        <v>45</v>
      </c>
      <c r="C97" s="979" t="s">
        <v>1562</v>
      </c>
      <c r="D97" s="968">
        <v>0</v>
      </c>
      <c r="E97" s="968">
        <v>0</v>
      </c>
      <c r="F97" s="968">
        <v>0</v>
      </c>
      <c r="G97" s="968">
        <v>0</v>
      </c>
      <c r="H97" s="968">
        <v>0</v>
      </c>
      <c r="I97" s="968">
        <v>0</v>
      </c>
      <c r="J97" s="968">
        <v>0</v>
      </c>
      <c r="K97" s="968">
        <v>0</v>
      </c>
      <c r="L97" s="968">
        <v>0</v>
      </c>
      <c r="M97" s="968">
        <v>0</v>
      </c>
      <c r="N97" s="968">
        <v>0</v>
      </c>
    </row>
    <row r="98" spans="1:14" x14ac:dyDescent="0.25">
      <c r="A98" s="496">
        <f t="shared" si="2"/>
        <v>46</v>
      </c>
      <c r="C98" s="979" t="s">
        <v>1562</v>
      </c>
      <c r="D98" s="968">
        <v>0</v>
      </c>
      <c r="E98" s="968">
        <v>0</v>
      </c>
      <c r="F98" s="968">
        <v>0</v>
      </c>
      <c r="G98" s="968">
        <v>0</v>
      </c>
      <c r="H98" s="968">
        <v>0</v>
      </c>
      <c r="I98" s="968">
        <v>0</v>
      </c>
      <c r="J98" s="968">
        <v>0</v>
      </c>
      <c r="K98" s="968">
        <v>0</v>
      </c>
      <c r="L98" s="968">
        <v>0</v>
      </c>
      <c r="M98" s="968">
        <v>0</v>
      </c>
      <c r="N98" s="968">
        <v>0</v>
      </c>
    </row>
    <row r="99" spans="1:14" x14ac:dyDescent="0.25">
      <c r="A99" s="496">
        <f t="shared" si="2"/>
        <v>47</v>
      </c>
      <c r="C99" s="979" t="s">
        <v>1562</v>
      </c>
      <c r="D99" s="968">
        <v>0</v>
      </c>
      <c r="E99" s="968">
        <v>0</v>
      </c>
      <c r="F99" s="968">
        <v>0</v>
      </c>
      <c r="G99" s="968">
        <v>0</v>
      </c>
      <c r="H99" s="968">
        <v>0</v>
      </c>
      <c r="I99" s="968">
        <v>0</v>
      </c>
      <c r="J99" s="968">
        <v>0</v>
      </c>
      <c r="K99" s="968">
        <v>0</v>
      </c>
      <c r="L99" s="968">
        <v>0</v>
      </c>
      <c r="M99" s="968">
        <v>0</v>
      </c>
      <c r="N99" s="968">
        <v>0</v>
      </c>
    </row>
    <row r="100" spans="1:14" x14ac:dyDescent="0.25">
      <c r="A100" s="496">
        <f t="shared" si="2"/>
        <v>48</v>
      </c>
      <c r="C100" s="979" t="s">
        <v>1562</v>
      </c>
      <c r="D100" s="968">
        <v>0</v>
      </c>
      <c r="E100" s="968">
        <v>0</v>
      </c>
      <c r="F100" s="968">
        <v>0</v>
      </c>
      <c r="G100" s="968">
        <v>0</v>
      </c>
      <c r="H100" s="968">
        <v>0</v>
      </c>
      <c r="I100" s="968">
        <v>0</v>
      </c>
      <c r="J100" s="968">
        <v>0</v>
      </c>
      <c r="K100" s="968">
        <v>0</v>
      </c>
      <c r="L100" s="968">
        <v>0</v>
      </c>
      <c r="M100" s="968">
        <v>0</v>
      </c>
      <c r="N100" s="968">
        <v>0</v>
      </c>
    </row>
    <row r="101" spans="1:14" x14ac:dyDescent="0.25">
      <c r="A101" s="496">
        <f t="shared" si="2"/>
        <v>49</v>
      </c>
      <c r="C101" s="979" t="s">
        <v>1562</v>
      </c>
      <c r="D101" s="968">
        <v>0</v>
      </c>
      <c r="E101" s="968">
        <v>0</v>
      </c>
      <c r="F101" s="968">
        <v>0</v>
      </c>
      <c r="G101" s="968">
        <v>0</v>
      </c>
      <c r="H101" s="968">
        <v>0</v>
      </c>
      <c r="I101" s="968">
        <v>0</v>
      </c>
      <c r="J101" s="968">
        <v>0</v>
      </c>
      <c r="K101" s="968">
        <v>0</v>
      </c>
      <c r="L101" s="968">
        <v>0</v>
      </c>
      <c r="M101" s="968">
        <v>0</v>
      </c>
      <c r="N101" s="968">
        <v>0</v>
      </c>
    </row>
    <row r="102" spans="1:14" x14ac:dyDescent="0.25">
      <c r="A102" s="496">
        <f t="shared" si="2"/>
        <v>50</v>
      </c>
      <c r="C102" s="979" t="s">
        <v>1562</v>
      </c>
      <c r="D102" s="968">
        <v>0</v>
      </c>
      <c r="E102" s="968">
        <v>0</v>
      </c>
      <c r="F102" s="968">
        <v>0</v>
      </c>
      <c r="G102" s="968">
        <v>0</v>
      </c>
      <c r="H102" s="968">
        <v>0</v>
      </c>
      <c r="I102" s="968">
        <v>0</v>
      </c>
      <c r="J102" s="968">
        <v>0</v>
      </c>
      <c r="K102" s="968">
        <v>0</v>
      </c>
      <c r="L102" s="968">
        <v>0</v>
      </c>
      <c r="M102" s="968">
        <v>0</v>
      </c>
      <c r="N102" s="968">
        <v>0</v>
      </c>
    </row>
    <row r="103" spans="1:14" ht="15" x14ac:dyDescent="0.4">
      <c r="A103" s="496">
        <f t="shared" si="2"/>
        <v>51</v>
      </c>
      <c r="C103" s="979" t="s">
        <v>1562</v>
      </c>
      <c r="D103" s="969">
        <v>0</v>
      </c>
      <c r="E103" s="969">
        <v>0</v>
      </c>
      <c r="F103" s="969">
        <v>0</v>
      </c>
      <c r="G103" s="969">
        <v>0</v>
      </c>
      <c r="H103" s="969">
        <v>0</v>
      </c>
      <c r="I103" s="969">
        <v>0</v>
      </c>
      <c r="J103" s="969">
        <v>0</v>
      </c>
      <c r="K103" s="969">
        <v>0</v>
      </c>
      <c r="L103" s="969">
        <v>0</v>
      </c>
      <c r="M103" s="969">
        <v>0</v>
      </c>
      <c r="N103" s="969">
        <v>0</v>
      </c>
    </row>
    <row r="104" spans="1:14" x14ac:dyDescent="0.25">
      <c r="A104" s="496">
        <f t="shared" si="2"/>
        <v>52</v>
      </c>
      <c r="C104" s="500" t="s">
        <v>4</v>
      </c>
      <c r="D104" s="968">
        <v>0</v>
      </c>
      <c r="E104" s="968">
        <v>0</v>
      </c>
      <c r="F104" s="968">
        <v>0</v>
      </c>
      <c r="G104" s="968">
        <v>0</v>
      </c>
      <c r="H104" s="968">
        <v>0</v>
      </c>
      <c r="I104" s="968">
        <v>0</v>
      </c>
      <c r="J104" s="968">
        <v>0</v>
      </c>
      <c r="K104" s="968">
        <v>0</v>
      </c>
      <c r="L104" s="968">
        <v>0</v>
      </c>
      <c r="M104" s="968">
        <v>0</v>
      </c>
      <c r="N104" s="968">
        <v>0</v>
      </c>
    </row>
    <row r="106" spans="1:14" x14ac:dyDescent="0.25">
      <c r="C106" s="1" t="s">
        <v>1747</v>
      </c>
      <c r="D106" s="466"/>
      <c r="E106" s="466"/>
      <c r="F106" s="466"/>
      <c r="G106" s="466"/>
      <c r="H106" s="466"/>
      <c r="I106" s="466"/>
      <c r="J106" s="466"/>
      <c r="K106" s="466"/>
      <c r="L106" s="466"/>
    </row>
    <row r="107" spans="1:14" x14ac:dyDescent="0.25">
      <c r="C107" s="466"/>
      <c r="D107" s="466"/>
      <c r="E107" s="466"/>
      <c r="F107" s="466"/>
      <c r="G107" s="466"/>
      <c r="H107" s="466"/>
      <c r="I107" s="466"/>
      <c r="J107" s="466"/>
      <c r="K107" s="466"/>
      <c r="L107" s="466"/>
    </row>
    <row r="108" spans="1:14" x14ac:dyDescent="0.25">
      <c r="C108" s="84" t="s">
        <v>394</v>
      </c>
      <c r="D108" s="84" t="s">
        <v>378</v>
      </c>
      <c r="E108" s="84" t="s">
        <v>379</v>
      </c>
      <c r="F108" s="84" t="s">
        <v>380</v>
      </c>
      <c r="G108" s="84" t="s">
        <v>381</v>
      </c>
      <c r="H108" s="84" t="s">
        <v>382</v>
      </c>
      <c r="I108" s="84" t="s">
        <v>383</v>
      </c>
      <c r="J108" s="84" t="s">
        <v>595</v>
      </c>
      <c r="K108" s="84" t="s">
        <v>1043</v>
      </c>
      <c r="L108" s="84" t="s">
        <v>1059</v>
      </c>
      <c r="M108" s="84" t="s">
        <v>1062</v>
      </c>
      <c r="N108" s="84" t="s">
        <v>1080</v>
      </c>
    </row>
    <row r="109" spans="1:14" x14ac:dyDescent="0.25">
      <c r="C109" s="232"/>
      <c r="D109" s="213"/>
      <c r="E109" s="213"/>
      <c r="F109" s="213"/>
      <c r="G109" s="213"/>
      <c r="H109" s="213"/>
      <c r="I109" s="213"/>
      <c r="J109" s="213"/>
      <c r="K109" s="213"/>
      <c r="L109" s="213"/>
      <c r="N109" s="232" t="s">
        <v>1363</v>
      </c>
    </row>
    <row r="110" spans="1:14" x14ac:dyDescent="0.25">
      <c r="C110" s="103"/>
      <c r="D110" s="84"/>
      <c r="E110" s="84"/>
      <c r="F110" s="213"/>
      <c r="G110" s="213"/>
      <c r="H110" s="213"/>
      <c r="I110" s="213"/>
      <c r="J110" s="213"/>
      <c r="K110" s="213"/>
      <c r="L110" s="213"/>
      <c r="M110" s="213"/>
    </row>
    <row r="111" spans="1:14" x14ac:dyDescent="0.25">
      <c r="C111" s="113" t="s">
        <v>2024</v>
      </c>
      <c r="D111" s="84">
        <v>350.1</v>
      </c>
      <c r="E111" s="84">
        <v>350.2</v>
      </c>
      <c r="F111" s="84">
        <v>352</v>
      </c>
      <c r="G111" s="84">
        <v>353</v>
      </c>
      <c r="H111" s="84">
        <v>354</v>
      </c>
      <c r="I111" s="84">
        <v>355</v>
      </c>
      <c r="J111" s="84">
        <v>356</v>
      </c>
      <c r="K111" s="84">
        <v>357</v>
      </c>
      <c r="L111" s="84">
        <v>358</v>
      </c>
      <c r="M111" s="84">
        <v>359</v>
      </c>
      <c r="N111" s="3" t="s">
        <v>215</v>
      </c>
    </row>
    <row r="112" spans="1:14" x14ac:dyDescent="0.25">
      <c r="A112" s="496">
        <f>A104+1</f>
        <v>53</v>
      </c>
      <c r="C112" s="979" t="s">
        <v>1562</v>
      </c>
      <c r="D112" s="968">
        <v>0</v>
      </c>
      <c r="E112" s="968">
        <v>0</v>
      </c>
      <c r="F112" s="968">
        <v>0</v>
      </c>
      <c r="G112" s="968">
        <v>0</v>
      </c>
      <c r="H112" s="968">
        <v>0</v>
      </c>
      <c r="I112" s="968">
        <v>0</v>
      </c>
      <c r="J112" s="968">
        <v>0</v>
      </c>
      <c r="K112" s="968">
        <v>0</v>
      </c>
      <c r="L112" s="968">
        <v>0</v>
      </c>
      <c r="M112" s="968">
        <v>0</v>
      </c>
      <c r="N112" s="968">
        <v>0</v>
      </c>
    </row>
    <row r="113" spans="1:14" x14ac:dyDescent="0.25">
      <c r="A113" s="496">
        <f t="shared" ref="A113:A124" si="3">A112+1</f>
        <v>54</v>
      </c>
      <c r="C113" s="979" t="s">
        <v>1562</v>
      </c>
      <c r="D113" s="968">
        <v>0</v>
      </c>
      <c r="E113" s="968">
        <v>0</v>
      </c>
      <c r="F113" s="968">
        <v>0</v>
      </c>
      <c r="G113" s="968">
        <v>0</v>
      </c>
      <c r="H113" s="968">
        <v>0</v>
      </c>
      <c r="I113" s="968">
        <v>0</v>
      </c>
      <c r="J113" s="968">
        <v>0</v>
      </c>
      <c r="K113" s="968">
        <v>0</v>
      </c>
      <c r="L113" s="968">
        <v>0</v>
      </c>
      <c r="M113" s="968">
        <v>0</v>
      </c>
      <c r="N113" s="968">
        <v>0</v>
      </c>
    </row>
    <row r="114" spans="1:14" x14ac:dyDescent="0.25">
      <c r="A114" s="496">
        <f t="shared" si="3"/>
        <v>55</v>
      </c>
      <c r="C114" s="979" t="s">
        <v>1562</v>
      </c>
      <c r="D114" s="968">
        <v>0</v>
      </c>
      <c r="E114" s="968">
        <v>0</v>
      </c>
      <c r="F114" s="968">
        <v>0</v>
      </c>
      <c r="G114" s="968">
        <v>0</v>
      </c>
      <c r="H114" s="968">
        <v>0</v>
      </c>
      <c r="I114" s="968">
        <v>0</v>
      </c>
      <c r="J114" s="968">
        <v>0</v>
      </c>
      <c r="K114" s="968">
        <v>0</v>
      </c>
      <c r="L114" s="968">
        <v>0</v>
      </c>
      <c r="M114" s="968">
        <v>0</v>
      </c>
      <c r="N114" s="968">
        <v>0</v>
      </c>
    </row>
    <row r="115" spans="1:14" x14ac:dyDescent="0.25">
      <c r="A115" s="496">
        <f t="shared" si="3"/>
        <v>56</v>
      </c>
      <c r="C115" s="979" t="s">
        <v>1562</v>
      </c>
      <c r="D115" s="968">
        <v>0</v>
      </c>
      <c r="E115" s="968">
        <v>0</v>
      </c>
      <c r="F115" s="968">
        <v>0</v>
      </c>
      <c r="G115" s="968">
        <v>0</v>
      </c>
      <c r="H115" s="968">
        <v>0</v>
      </c>
      <c r="I115" s="968">
        <v>0</v>
      </c>
      <c r="J115" s="968">
        <v>0</v>
      </c>
      <c r="K115" s="968">
        <v>0</v>
      </c>
      <c r="L115" s="968">
        <v>0</v>
      </c>
      <c r="M115" s="968">
        <v>0</v>
      </c>
      <c r="N115" s="968">
        <v>0</v>
      </c>
    </row>
    <row r="116" spans="1:14" x14ac:dyDescent="0.25">
      <c r="A116" s="496">
        <f t="shared" si="3"/>
        <v>57</v>
      </c>
      <c r="C116" s="979" t="s">
        <v>1562</v>
      </c>
      <c r="D116" s="968">
        <v>0</v>
      </c>
      <c r="E116" s="968">
        <v>0</v>
      </c>
      <c r="F116" s="968">
        <v>0</v>
      </c>
      <c r="G116" s="968">
        <v>0</v>
      </c>
      <c r="H116" s="968">
        <v>0</v>
      </c>
      <c r="I116" s="968">
        <v>0</v>
      </c>
      <c r="J116" s="968">
        <v>0</v>
      </c>
      <c r="K116" s="968">
        <v>0</v>
      </c>
      <c r="L116" s="968">
        <v>0</v>
      </c>
      <c r="M116" s="968">
        <v>0</v>
      </c>
      <c r="N116" s="968">
        <v>0</v>
      </c>
    </row>
    <row r="117" spans="1:14" x14ac:dyDescent="0.25">
      <c r="A117" s="496">
        <f t="shared" si="3"/>
        <v>58</v>
      </c>
      <c r="C117" s="979" t="s">
        <v>1562</v>
      </c>
      <c r="D117" s="968">
        <v>0</v>
      </c>
      <c r="E117" s="968">
        <v>0</v>
      </c>
      <c r="F117" s="968">
        <v>0</v>
      </c>
      <c r="G117" s="968">
        <v>0</v>
      </c>
      <c r="H117" s="968">
        <v>0</v>
      </c>
      <c r="I117" s="968">
        <v>0</v>
      </c>
      <c r="J117" s="968">
        <v>0</v>
      </c>
      <c r="K117" s="968">
        <v>0</v>
      </c>
      <c r="L117" s="968">
        <v>0</v>
      </c>
      <c r="M117" s="968">
        <v>0</v>
      </c>
      <c r="N117" s="968">
        <v>0</v>
      </c>
    </row>
    <row r="118" spans="1:14" x14ac:dyDescent="0.25">
      <c r="A118" s="496">
        <f t="shared" si="3"/>
        <v>59</v>
      </c>
      <c r="C118" s="979" t="s">
        <v>1562</v>
      </c>
      <c r="D118" s="968">
        <v>0</v>
      </c>
      <c r="E118" s="968">
        <v>0</v>
      </c>
      <c r="F118" s="968">
        <v>0</v>
      </c>
      <c r="G118" s="968">
        <v>0</v>
      </c>
      <c r="H118" s="968">
        <v>0</v>
      </c>
      <c r="I118" s="968">
        <v>0</v>
      </c>
      <c r="J118" s="968">
        <v>0</v>
      </c>
      <c r="K118" s="968">
        <v>0</v>
      </c>
      <c r="L118" s="968">
        <v>0</v>
      </c>
      <c r="M118" s="968">
        <v>0</v>
      </c>
      <c r="N118" s="968">
        <v>0</v>
      </c>
    </row>
    <row r="119" spans="1:14" x14ac:dyDescent="0.25">
      <c r="A119" s="496">
        <f t="shared" si="3"/>
        <v>60</v>
      </c>
      <c r="C119" s="979" t="s">
        <v>1562</v>
      </c>
      <c r="D119" s="968">
        <v>0</v>
      </c>
      <c r="E119" s="968">
        <v>0</v>
      </c>
      <c r="F119" s="968">
        <v>0</v>
      </c>
      <c r="G119" s="968">
        <v>0</v>
      </c>
      <c r="H119" s="968">
        <v>0</v>
      </c>
      <c r="I119" s="968">
        <v>0</v>
      </c>
      <c r="J119" s="968">
        <v>0</v>
      </c>
      <c r="K119" s="968">
        <v>0</v>
      </c>
      <c r="L119" s="968">
        <v>0</v>
      </c>
      <c r="M119" s="968">
        <v>0</v>
      </c>
      <c r="N119" s="968">
        <v>0</v>
      </c>
    </row>
    <row r="120" spans="1:14" x14ac:dyDescent="0.25">
      <c r="A120" s="496">
        <f t="shared" si="3"/>
        <v>61</v>
      </c>
      <c r="C120" s="979" t="s">
        <v>1562</v>
      </c>
      <c r="D120" s="968">
        <v>0</v>
      </c>
      <c r="E120" s="968">
        <v>0</v>
      </c>
      <c r="F120" s="968">
        <v>0</v>
      </c>
      <c r="G120" s="968">
        <v>0</v>
      </c>
      <c r="H120" s="968">
        <v>0</v>
      </c>
      <c r="I120" s="968">
        <v>0</v>
      </c>
      <c r="J120" s="968">
        <v>0</v>
      </c>
      <c r="K120" s="968">
        <v>0</v>
      </c>
      <c r="L120" s="968">
        <v>0</v>
      </c>
      <c r="M120" s="968">
        <v>0</v>
      </c>
      <c r="N120" s="968">
        <v>0</v>
      </c>
    </row>
    <row r="121" spans="1:14" x14ac:dyDescent="0.25">
      <c r="A121" s="496">
        <f t="shared" si="3"/>
        <v>62</v>
      </c>
      <c r="C121" s="979" t="s">
        <v>1562</v>
      </c>
      <c r="D121" s="968">
        <v>0</v>
      </c>
      <c r="E121" s="968">
        <v>0</v>
      </c>
      <c r="F121" s="968">
        <v>0</v>
      </c>
      <c r="G121" s="968">
        <v>0</v>
      </c>
      <c r="H121" s="968">
        <v>0</v>
      </c>
      <c r="I121" s="968">
        <v>0</v>
      </c>
      <c r="J121" s="968">
        <v>0</v>
      </c>
      <c r="K121" s="968">
        <v>0</v>
      </c>
      <c r="L121" s="968">
        <v>0</v>
      </c>
      <c r="M121" s="968">
        <v>0</v>
      </c>
      <c r="N121" s="968">
        <v>0</v>
      </c>
    </row>
    <row r="122" spans="1:14" x14ac:dyDescent="0.25">
      <c r="A122" s="496">
        <f t="shared" si="3"/>
        <v>63</v>
      </c>
      <c r="C122" s="979" t="s">
        <v>1562</v>
      </c>
      <c r="D122" s="968">
        <v>0</v>
      </c>
      <c r="E122" s="968">
        <v>0</v>
      </c>
      <c r="F122" s="968">
        <v>0</v>
      </c>
      <c r="G122" s="968">
        <v>0</v>
      </c>
      <c r="H122" s="968">
        <v>0</v>
      </c>
      <c r="I122" s="968">
        <v>0</v>
      </c>
      <c r="J122" s="968">
        <v>0</v>
      </c>
      <c r="K122" s="968">
        <v>0</v>
      </c>
      <c r="L122" s="968">
        <v>0</v>
      </c>
      <c r="M122" s="968">
        <v>0</v>
      </c>
      <c r="N122" s="968">
        <v>0</v>
      </c>
    </row>
    <row r="123" spans="1:14" ht="15" x14ac:dyDescent="0.4">
      <c r="A123" s="496">
        <f t="shared" si="3"/>
        <v>64</v>
      </c>
      <c r="C123" s="979" t="s">
        <v>1562</v>
      </c>
      <c r="D123" s="969">
        <v>0</v>
      </c>
      <c r="E123" s="969">
        <v>0</v>
      </c>
      <c r="F123" s="969">
        <v>0</v>
      </c>
      <c r="G123" s="969">
        <v>0</v>
      </c>
      <c r="H123" s="969">
        <v>0</v>
      </c>
      <c r="I123" s="969">
        <v>0</v>
      </c>
      <c r="J123" s="969">
        <v>0</v>
      </c>
      <c r="K123" s="969">
        <v>0</v>
      </c>
      <c r="L123" s="969">
        <v>0</v>
      </c>
      <c r="M123" s="969">
        <v>0</v>
      </c>
      <c r="N123" s="969">
        <v>0</v>
      </c>
    </row>
    <row r="124" spans="1:14" x14ac:dyDescent="0.25">
      <c r="A124" s="496">
        <f t="shared" si="3"/>
        <v>65</v>
      </c>
      <c r="C124" s="500" t="s">
        <v>4</v>
      </c>
      <c r="D124" s="968">
        <v>0</v>
      </c>
      <c r="E124" s="968">
        <v>0</v>
      </c>
      <c r="F124" s="968">
        <v>0</v>
      </c>
      <c r="G124" s="968">
        <v>0</v>
      </c>
      <c r="H124" s="968">
        <v>0</v>
      </c>
      <c r="I124" s="968">
        <v>0</v>
      </c>
      <c r="J124" s="968">
        <v>0</v>
      </c>
      <c r="K124" s="968">
        <v>0</v>
      </c>
      <c r="L124" s="968">
        <v>0</v>
      </c>
      <c r="M124" s="968">
        <v>0</v>
      </c>
      <c r="N124" s="968">
        <v>0</v>
      </c>
    </row>
    <row r="126" spans="1:14" x14ac:dyDescent="0.25">
      <c r="C126" s="1" t="s">
        <v>1742</v>
      </c>
    </row>
    <row r="128" spans="1:14" x14ac:dyDescent="0.25">
      <c r="C128" s="470" t="s">
        <v>1748</v>
      </c>
    </row>
    <row r="129" spans="1:14" x14ac:dyDescent="0.25">
      <c r="C129" s="15"/>
      <c r="D129" s="84">
        <v>350.1</v>
      </c>
      <c r="E129" s="84">
        <v>350.2</v>
      </c>
      <c r="F129" s="84">
        <v>352</v>
      </c>
      <c r="G129" s="84">
        <v>353</v>
      </c>
      <c r="H129" s="84">
        <v>354</v>
      </c>
      <c r="I129" s="84">
        <v>355</v>
      </c>
      <c r="J129" s="84">
        <v>356</v>
      </c>
      <c r="K129" s="84">
        <v>357</v>
      </c>
      <c r="L129" s="84">
        <v>358</v>
      </c>
      <c r="M129" s="84">
        <v>359</v>
      </c>
      <c r="N129" s="3" t="s">
        <v>215</v>
      </c>
    </row>
    <row r="130" spans="1:14" x14ac:dyDescent="0.25">
      <c r="A130" s="496">
        <f>A124+1</f>
        <v>66</v>
      </c>
      <c r="C130" s="15"/>
      <c r="D130" s="968">
        <v>0</v>
      </c>
      <c r="E130" s="968">
        <v>0</v>
      </c>
      <c r="F130" s="968">
        <v>0</v>
      </c>
      <c r="G130" s="968">
        <v>0</v>
      </c>
      <c r="H130" s="968">
        <v>0</v>
      </c>
      <c r="I130" s="968">
        <v>0</v>
      </c>
      <c r="J130" s="968">
        <v>0</v>
      </c>
      <c r="K130" s="968">
        <v>0</v>
      </c>
      <c r="L130" s="968">
        <v>0</v>
      </c>
      <c r="M130" s="968">
        <v>0</v>
      </c>
      <c r="N130" s="968">
        <v>0</v>
      </c>
    </row>
    <row r="131" spans="1:14" x14ac:dyDescent="0.25">
      <c r="C131" s="15"/>
    </row>
    <row r="132" spans="1:14" x14ac:dyDescent="0.25">
      <c r="C132" s="470" t="s">
        <v>1749</v>
      </c>
    </row>
    <row r="133" spans="1:14" x14ac:dyDescent="0.25">
      <c r="C133" s="15"/>
      <c r="D133" s="84">
        <v>350.1</v>
      </c>
      <c r="E133" s="84">
        <v>350.2</v>
      </c>
      <c r="F133" s="84">
        <v>352</v>
      </c>
      <c r="G133" s="84">
        <v>353</v>
      </c>
      <c r="H133" s="84">
        <v>354</v>
      </c>
      <c r="I133" s="84">
        <v>355</v>
      </c>
      <c r="J133" s="84">
        <v>356</v>
      </c>
      <c r="K133" s="84">
        <v>357</v>
      </c>
      <c r="L133" s="84">
        <v>358</v>
      </c>
      <c r="M133" s="84">
        <v>359</v>
      </c>
      <c r="N133" s="3" t="s">
        <v>215</v>
      </c>
    </row>
    <row r="134" spans="1:14" x14ac:dyDescent="0.25">
      <c r="A134" s="496">
        <f>A130+1</f>
        <v>67</v>
      </c>
      <c r="C134" s="15"/>
      <c r="D134" s="968">
        <v>0</v>
      </c>
      <c r="E134" s="968">
        <v>0</v>
      </c>
      <c r="F134" s="968">
        <v>0</v>
      </c>
      <c r="G134" s="968">
        <v>0</v>
      </c>
      <c r="H134" s="968">
        <v>0</v>
      </c>
      <c r="I134" s="968">
        <v>0</v>
      </c>
      <c r="J134" s="968">
        <v>0</v>
      </c>
      <c r="K134" s="968">
        <v>0</v>
      </c>
      <c r="L134" s="968">
        <v>0</v>
      </c>
      <c r="M134" s="968">
        <v>0</v>
      </c>
      <c r="N134" s="968">
        <v>0</v>
      </c>
    </row>
    <row r="135" spans="1:14" x14ac:dyDescent="0.25">
      <c r="C135" s="470" t="s">
        <v>1750</v>
      </c>
    </row>
    <row r="136" spans="1:14" x14ac:dyDescent="0.25">
      <c r="D136" s="84">
        <v>350.1</v>
      </c>
      <c r="E136" s="84">
        <v>350.2</v>
      </c>
      <c r="F136" s="84">
        <v>352</v>
      </c>
      <c r="G136" s="84">
        <v>353</v>
      </c>
      <c r="H136" s="84">
        <v>354</v>
      </c>
      <c r="I136" s="84">
        <v>355</v>
      </c>
      <c r="J136" s="84">
        <v>356</v>
      </c>
      <c r="K136" s="84">
        <v>357</v>
      </c>
      <c r="L136" s="84">
        <v>358</v>
      </c>
      <c r="M136" s="84">
        <v>359</v>
      </c>
      <c r="N136" s="3" t="s">
        <v>215</v>
      </c>
    </row>
    <row r="137" spans="1:14" x14ac:dyDescent="0.25">
      <c r="A137" s="496">
        <f>A134+1</f>
        <v>68</v>
      </c>
      <c r="D137" s="968">
        <v>0</v>
      </c>
      <c r="E137" s="968">
        <v>0</v>
      </c>
      <c r="F137" s="968">
        <v>0</v>
      </c>
      <c r="G137" s="968">
        <v>0</v>
      </c>
      <c r="H137" s="968">
        <v>0</v>
      </c>
      <c r="I137" s="968">
        <v>0</v>
      </c>
      <c r="J137" s="968">
        <v>0</v>
      </c>
      <c r="K137" s="968">
        <v>0</v>
      </c>
      <c r="L137" s="968">
        <v>0</v>
      </c>
      <c r="M137" s="968">
        <v>0</v>
      </c>
      <c r="N137" s="968">
        <v>0</v>
      </c>
    </row>
    <row r="139" spans="1:14" x14ac:dyDescent="0.25">
      <c r="C139" s="1" t="s">
        <v>1751</v>
      </c>
      <c r="D139" s="466"/>
      <c r="E139" s="466"/>
      <c r="F139" s="466"/>
      <c r="G139" s="466"/>
      <c r="H139" s="466"/>
      <c r="I139" s="466"/>
      <c r="J139" s="466"/>
      <c r="K139" s="466"/>
      <c r="L139" s="466"/>
    </row>
    <row r="140" spans="1:14" x14ac:dyDescent="0.25">
      <c r="C140" s="466"/>
      <c r="D140" s="466"/>
      <c r="E140" s="466"/>
      <c r="F140" s="466"/>
      <c r="G140" s="466"/>
      <c r="H140" s="466"/>
      <c r="I140" s="466"/>
      <c r="J140" s="466"/>
      <c r="K140" s="466"/>
      <c r="L140" s="466"/>
    </row>
    <row r="141" spans="1:14" x14ac:dyDescent="0.25">
      <c r="C141" s="84" t="s">
        <v>394</v>
      </c>
      <c r="D141" s="84" t="s">
        <v>378</v>
      </c>
      <c r="E141" s="84" t="s">
        <v>379</v>
      </c>
      <c r="F141" s="84" t="s">
        <v>380</v>
      </c>
      <c r="G141" s="84" t="s">
        <v>381</v>
      </c>
      <c r="H141" s="84" t="s">
        <v>382</v>
      </c>
      <c r="I141" s="84" t="s">
        <v>383</v>
      </c>
      <c r="J141" s="84" t="s">
        <v>595</v>
      </c>
      <c r="K141" s="84" t="s">
        <v>1043</v>
      </c>
      <c r="L141" s="84" t="s">
        <v>1059</v>
      </c>
      <c r="M141" s="84" t="s">
        <v>1062</v>
      </c>
      <c r="N141" s="84" t="s">
        <v>1080</v>
      </c>
    </row>
    <row r="142" spans="1:14" x14ac:dyDescent="0.25">
      <c r="C142" s="232"/>
      <c r="D142" s="213"/>
      <c r="E142" s="213"/>
      <c r="F142" s="213"/>
      <c r="G142" s="213"/>
      <c r="H142" s="213"/>
      <c r="I142" s="213"/>
      <c r="J142" s="213"/>
      <c r="K142" s="213"/>
      <c r="L142" s="213"/>
      <c r="N142" s="232" t="s">
        <v>1363</v>
      </c>
    </row>
    <row r="143" spans="1:14" x14ac:dyDescent="0.25">
      <c r="C143" s="440"/>
      <c r="D143" s="213"/>
      <c r="E143" s="213"/>
      <c r="F143" s="213"/>
      <c r="G143" s="213"/>
      <c r="H143" s="213"/>
      <c r="I143" s="213"/>
      <c r="J143" s="213"/>
      <c r="K143" s="213"/>
      <c r="L143" s="213"/>
      <c r="M143" s="213"/>
    </row>
    <row r="144" spans="1:14" x14ac:dyDescent="0.25">
      <c r="C144" s="103"/>
      <c r="D144" s="84"/>
      <c r="E144" s="84"/>
      <c r="F144" s="213"/>
      <c r="G144" s="213"/>
      <c r="H144" s="213"/>
      <c r="I144" s="213"/>
      <c r="J144" s="213"/>
      <c r="K144" s="213"/>
      <c r="L144" s="213"/>
      <c r="M144" s="213"/>
    </row>
    <row r="145" spans="1:14" x14ac:dyDescent="0.25">
      <c r="C145" s="113" t="s">
        <v>2024</v>
      </c>
      <c r="D145" s="84">
        <v>350.1</v>
      </c>
      <c r="E145" s="84">
        <v>350.2</v>
      </c>
      <c r="F145" s="84">
        <v>352</v>
      </c>
      <c r="G145" s="84">
        <v>353</v>
      </c>
      <c r="H145" s="84">
        <v>354</v>
      </c>
      <c r="I145" s="84">
        <v>355</v>
      </c>
      <c r="J145" s="84">
        <v>356</v>
      </c>
      <c r="K145" s="84">
        <v>357</v>
      </c>
      <c r="L145" s="84">
        <v>358</v>
      </c>
      <c r="M145" s="84">
        <v>359</v>
      </c>
      <c r="N145" s="3" t="s">
        <v>215</v>
      </c>
    </row>
    <row r="146" spans="1:14" x14ac:dyDescent="0.25">
      <c r="A146" s="496">
        <f>A137+1</f>
        <v>69</v>
      </c>
      <c r="C146" s="979" t="s">
        <v>1562</v>
      </c>
      <c r="D146" s="968">
        <v>0</v>
      </c>
      <c r="E146" s="968">
        <v>0</v>
      </c>
      <c r="F146" s="968">
        <v>0</v>
      </c>
      <c r="G146" s="968">
        <v>0</v>
      </c>
      <c r="H146" s="968">
        <v>0</v>
      </c>
      <c r="I146" s="968">
        <v>0</v>
      </c>
      <c r="J146" s="968">
        <v>0</v>
      </c>
      <c r="K146" s="968">
        <v>0</v>
      </c>
      <c r="L146" s="968">
        <v>0</v>
      </c>
      <c r="M146" s="968">
        <v>0</v>
      </c>
      <c r="N146" s="968">
        <v>0</v>
      </c>
    </row>
    <row r="147" spans="1:14" x14ac:dyDescent="0.25">
      <c r="A147" s="496">
        <f t="shared" ref="A147:A158" si="4">A146+1</f>
        <v>70</v>
      </c>
      <c r="C147" s="979" t="s">
        <v>1562</v>
      </c>
      <c r="D147" s="968">
        <v>0</v>
      </c>
      <c r="E147" s="968">
        <v>0</v>
      </c>
      <c r="F147" s="968">
        <v>0</v>
      </c>
      <c r="G147" s="968">
        <v>0</v>
      </c>
      <c r="H147" s="968">
        <v>0</v>
      </c>
      <c r="I147" s="968">
        <v>0</v>
      </c>
      <c r="J147" s="968">
        <v>0</v>
      </c>
      <c r="K147" s="968">
        <v>0</v>
      </c>
      <c r="L147" s="968">
        <v>0</v>
      </c>
      <c r="M147" s="968">
        <v>0</v>
      </c>
      <c r="N147" s="968">
        <v>0</v>
      </c>
    </row>
    <row r="148" spans="1:14" x14ac:dyDescent="0.25">
      <c r="A148" s="496">
        <f t="shared" si="4"/>
        <v>71</v>
      </c>
      <c r="C148" s="979" t="s">
        <v>1562</v>
      </c>
      <c r="D148" s="968">
        <v>0</v>
      </c>
      <c r="E148" s="968">
        <v>0</v>
      </c>
      <c r="F148" s="968">
        <v>0</v>
      </c>
      <c r="G148" s="968">
        <v>0</v>
      </c>
      <c r="H148" s="968">
        <v>0</v>
      </c>
      <c r="I148" s="968">
        <v>0</v>
      </c>
      <c r="J148" s="968">
        <v>0</v>
      </c>
      <c r="K148" s="968">
        <v>0</v>
      </c>
      <c r="L148" s="968">
        <v>0</v>
      </c>
      <c r="M148" s="968">
        <v>0</v>
      </c>
      <c r="N148" s="968">
        <v>0</v>
      </c>
    </row>
    <row r="149" spans="1:14" x14ac:dyDescent="0.25">
      <c r="A149" s="496">
        <f t="shared" si="4"/>
        <v>72</v>
      </c>
      <c r="C149" s="979" t="s">
        <v>1562</v>
      </c>
      <c r="D149" s="968">
        <v>0</v>
      </c>
      <c r="E149" s="968">
        <v>0</v>
      </c>
      <c r="F149" s="968">
        <v>0</v>
      </c>
      <c r="G149" s="968">
        <v>0</v>
      </c>
      <c r="H149" s="968">
        <v>0</v>
      </c>
      <c r="I149" s="968">
        <v>0</v>
      </c>
      <c r="J149" s="968">
        <v>0</v>
      </c>
      <c r="K149" s="968">
        <v>0</v>
      </c>
      <c r="L149" s="968">
        <v>0</v>
      </c>
      <c r="M149" s="968">
        <v>0</v>
      </c>
      <c r="N149" s="968">
        <v>0</v>
      </c>
    </row>
    <row r="150" spans="1:14" x14ac:dyDescent="0.25">
      <c r="A150" s="496">
        <f t="shared" si="4"/>
        <v>73</v>
      </c>
      <c r="C150" s="979" t="s">
        <v>1562</v>
      </c>
      <c r="D150" s="968">
        <v>0</v>
      </c>
      <c r="E150" s="968">
        <v>0</v>
      </c>
      <c r="F150" s="968">
        <v>0</v>
      </c>
      <c r="G150" s="968">
        <v>0</v>
      </c>
      <c r="H150" s="968">
        <v>0</v>
      </c>
      <c r="I150" s="968">
        <v>0</v>
      </c>
      <c r="J150" s="968">
        <v>0</v>
      </c>
      <c r="K150" s="968">
        <v>0</v>
      </c>
      <c r="L150" s="968">
        <v>0</v>
      </c>
      <c r="M150" s="968">
        <v>0</v>
      </c>
      <c r="N150" s="968">
        <v>0</v>
      </c>
    </row>
    <row r="151" spans="1:14" x14ac:dyDescent="0.25">
      <c r="A151" s="496">
        <f t="shared" si="4"/>
        <v>74</v>
      </c>
      <c r="C151" s="979" t="s">
        <v>1562</v>
      </c>
      <c r="D151" s="968">
        <v>0</v>
      </c>
      <c r="E151" s="968">
        <v>0</v>
      </c>
      <c r="F151" s="968">
        <v>0</v>
      </c>
      <c r="G151" s="968">
        <v>0</v>
      </c>
      <c r="H151" s="968">
        <v>0</v>
      </c>
      <c r="I151" s="968">
        <v>0</v>
      </c>
      <c r="J151" s="968">
        <v>0</v>
      </c>
      <c r="K151" s="968">
        <v>0</v>
      </c>
      <c r="L151" s="968">
        <v>0</v>
      </c>
      <c r="M151" s="968">
        <v>0</v>
      </c>
      <c r="N151" s="968">
        <v>0</v>
      </c>
    </row>
    <row r="152" spans="1:14" x14ac:dyDescent="0.25">
      <c r="A152" s="496">
        <f t="shared" si="4"/>
        <v>75</v>
      </c>
      <c r="C152" s="979" t="s">
        <v>1562</v>
      </c>
      <c r="D152" s="968">
        <v>0</v>
      </c>
      <c r="E152" s="968">
        <v>0</v>
      </c>
      <c r="F152" s="968">
        <v>0</v>
      </c>
      <c r="G152" s="968">
        <v>0</v>
      </c>
      <c r="H152" s="968">
        <v>0</v>
      </c>
      <c r="I152" s="968">
        <v>0</v>
      </c>
      <c r="J152" s="968">
        <v>0</v>
      </c>
      <c r="K152" s="968">
        <v>0</v>
      </c>
      <c r="L152" s="968">
        <v>0</v>
      </c>
      <c r="M152" s="968">
        <v>0</v>
      </c>
      <c r="N152" s="968">
        <v>0</v>
      </c>
    </row>
    <row r="153" spans="1:14" x14ac:dyDescent="0.25">
      <c r="A153" s="496">
        <f t="shared" si="4"/>
        <v>76</v>
      </c>
      <c r="C153" s="979" t="s">
        <v>1562</v>
      </c>
      <c r="D153" s="968">
        <v>0</v>
      </c>
      <c r="E153" s="968">
        <v>0</v>
      </c>
      <c r="F153" s="968">
        <v>0</v>
      </c>
      <c r="G153" s="968">
        <v>0</v>
      </c>
      <c r="H153" s="968">
        <v>0</v>
      </c>
      <c r="I153" s="968">
        <v>0</v>
      </c>
      <c r="J153" s="968">
        <v>0</v>
      </c>
      <c r="K153" s="968">
        <v>0</v>
      </c>
      <c r="L153" s="968">
        <v>0</v>
      </c>
      <c r="M153" s="968">
        <v>0</v>
      </c>
      <c r="N153" s="968">
        <v>0</v>
      </c>
    </row>
    <row r="154" spans="1:14" x14ac:dyDescent="0.25">
      <c r="A154" s="496">
        <f t="shared" si="4"/>
        <v>77</v>
      </c>
      <c r="C154" s="979" t="s">
        <v>1562</v>
      </c>
      <c r="D154" s="968">
        <v>0</v>
      </c>
      <c r="E154" s="968">
        <v>0</v>
      </c>
      <c r="F154" s="968">
        <v>0</v>
      </c>
      <c r="G154" s="968">
        <v>0</v>
      </c>
      <c r="H154" s="968">
        <v>0</v>
      </c>
      <c r="I154" s="968">
        <v>0</v>
      </c>
      <c r="J154" s="968">
        <v>0</v>
      </c>
      <c r="K154" s="968">
        <v>0</v>
      </c>
      <c r="L154" s="968">
        <v>0</v>
      </c>
      <c r="M154" s="968">
        <v>0</v>
      </c>
      <c r="N154" s="968">
        <v>0</v>
      </c>
    </row>
    <row r="155" spans="1:14" x14ac:dyDescent="0.25">
      <c r="A155" s="496">
        <f t="shared" si="4"/>
        <v>78</v>
      </c>
      <c r="C155" s="979" t="s">
        <v>1562</v>
      </c>
      <c r="D155" s="968">
        <v>0</v>
      </c>
      <c r="E155" s="968">
        <v>0</v>
      </c>
      <c r="F155" s="968">
        <v>0</v>
      </c>
      <c r="G155" s="968">
        <v>0</v>
      </c>
      <c r="H155" s="968">
        <v>0</v>
      </c>
      <c r="I155" s="968">
        <v>0</v>
      </c>
      <c r="J155" s="968">
        <v>0</v>
      </c>
      <c r="K155" s="968">
        <v>0</v>
      </c>
      <c r="L155" s="968">
        <v>0</v>
      </c>
      <c r="M155" s="968">
        <v>0</v>
      </c>
      <c r="N155" s="968">
        <v>0</v>
      </c>
    </row>
    <row r="156" spans="1:14" x14ac:dyDescent="0.25">
      <c r="A156" s="496">
        <f t="shared" si="4"/>
        <v>79</v>
      </c>
      <c r="C156" s="979" t="s">
        <v>1562</v>
      </c>
      <c r="D156" s="968">
        <v>0</v>
      </c>
      <c r="E156" s="968">
        <v>0</v>
      </c>
      <c r="F156" s="968">
        <v>0</v>
      </c>
      <c r="G156" s="968">
        <v>0</v>
      </c>
      <c r="H156" s="968">
        <v>0</v>
      </c>
      <c r="I156" s="968">
        <v>0</v>
      </c>
      <c r="J156" s="968">
        <v>0</v>
      </c>
      <c r="K156" s="968">
        <v>0</v>
      </c>
      <c r="L156" s="968">
        <v>0</v>
      </c>
      <c r="M156" s="968">
        <v>0</v>
      </c>
      <c r="N156" s="968">
        <v>0</v>
      </c>
    </row>
    <row r="157" spans="1:14" ht="15" x14ac:dyDescent="0.4">
      <c r="A157" s="496">
        <f t="shared" si="4"/>
        <v>80</v>
      </c>
      <c r="C157" s="979" t="s">
        <v>1562</v>
      </c>
      <c r="D157" s="969">
        <v>0</v>
      </c>
      <c r="E157" s="969">
        <v>0</v>
      </c>
      <c r="F157" s="969">
        <v>0</v>
      </c>
      <c r="G157" s="969">
        <v>0</v>
      </c>
      <c r="H157" s="969">
        <v>0</v>
      </c>
      <c r="I157" s="969">
        <v>0</v>
      </c>
      <c r="J157" s="969">
        <v>0</v>
      </c>
      <c r="K157" s="969">
        <v>0</v>
      </c>
      <c r="L157" s="969">
        <v>0</v>
      </c>
      <c r="M157" s="969">
        <v>0</v>
      </c>
      <c r="N157" s="969">
        <v>0</v>
      </c>
    </row>
    <row r="158" spans="1:14" x14ac:dyDescent="0.25">
      <c r="A158" s="496">
        <f t="shared" si="4"/>
        <v>81</v>
      </c>
      <c r="C158" s="500" t="s">
        <v>4</v>
      </c>
      <c r="D158" s="968">
        <v>0</v>
      </c>
      <c r="E158" s="968">
        <v>0</v>
      </c>
      <c r="F158" s="968">
        <v>0</v>
      </c>
      <c r="G158" s="968">
        <v>0</v>
      </c>
      <c r="H158" s="968">
        <v>0</v>
      </c>
      <c r="I158" s="968">
        <v>0</v>
      </c>
      <c r="J158" s="968">
        <v>0</v>
      </c>
      <c r="K158" s="968">
        <v>0</v>
      </c>
      <c r="L158" s="968">
        <v>0</v>
      </c>
      <c r="M158" s="968">
        <v>0</v>
      </c>
      <c r="N158" s="968">
        <v>0</v>
      </c>
    </row>
    <row r="160" spans="1:14" x14ac:dyDescent="0.25">
      <c r="B160" s="387" t="s">
        <v>256</v>
      </c>
    </row>
    <row r="161" spans="2:14" x14ac:dyDescent="0.25">
      <c r="B161" s="934" t="s">
        <v>2275</v>
      </c>
      <c r="C161" s="13"/>
      <c r="D161" s="13"/>
      <c r="E161" s="13"/>
      <c r="F161" s="13"/>
      <c r="G161" s="13"/>
      <c r="H161" s="13"/>
      <c r="I161" s="13"/>
      <c r="J161" s="13"/>
    </row>
    <row r="162" spans="2:14" x14ac:dyDescent="0.25">
      <c r="B162" s="934" t="s">
        <v>2276</v>
      </c>
      <c r="C162" s="13"/>
      <c r="D162" s="13"/>
      <c r="E162" s="13"/>
      <c r="F162" s="13"/>
      <c r="G162" s="13"/>
      <c r="H162" s="13"/>
      <c r="I162" s="13"/>
      <c r="J162" s="13"/>
    </row>
    <row r="163" spans="2:14" x14ac:dyDescent="0.25">
      <c r="B163" s="618" t="s">
        <v>2238</v>
      </c>
      <c r="C163" s="601"/>
      <c r="D163" s="601"/>
      <c r="E163" s="601"/>
      <c r="F163" s="601"/>
      <c r="G163" s="601"/>
      <c r="H163" s="601"/>
      <c r="I163" s="601"/>
      <c r="J163" s="13"/>
      <c r="K163" s="13"/>
      <c r="L163" s="601"/>
      <c r="M163" s="601"/>
      <c r="N163" s="13"/>
    </row>
    <row r="164" spans="2:14" x14ac:dyDescent="0.25">
      <c r="B164" s="939" t="s">
        <v>2528</v>
      </c>
      <c r="C164" s="601"/>
      <c r="D164" s="601"/>
      <c r="E164" s="601"/>
      <c r="F164" s="601"/>
      <c r="G164" s="601"/>
      <c r="H164" s="601"/>
      <c r="I164" s="601"/>
      <c r="J164" s="601"/>
      <c r="K164" s="601"/>
      <c r="L164" s="601"/>
      <c r="M164" s="601"/>
      <c r="N164" s="13"/>
    </row>
    <row r="165" spans="2:14" x14ac:dyDescent="0.25">
      <c r="B165" s="939" t="s">
        <v>2239</v>
      </c>
      <c r="C165" s="601"/>
      <c r="D165" s="601"/>
      <c r="E165" s="601"/>
      <c r="F165" s="601"/>
      <c r="G165" s="601"/>
      <c r="H165" s="601"/>
      <c r="I165" s="601"/>
      <c r="J165" s="601"/>
      <c r="K165" s="601"/>
      <c r="L165" s="601"/>
      <c r="M165" s="601"/>
      <c r="N165" s="13"/>
    </row>
    <row r="166" spans="2:14" x14ac:dyDescent="0.25">
      <c r="B166" s="939" t="s">
        <v>2240</v>
      </c>
      <c r="C166" s="601"/>
      <c r="D166" s="601"/>
      <c r="E166" s="601"/>
      <c r="F166" s="601"/>
      <c r="G166" s="601"/>
      <c r="H166" s="601"/>
      <c r="I166" s="601"/>
      <c r="J166" s="601"/>
      <c r="K166" s="601"/>
      <c r="L166" s="601"/>
      <c r="M166" s="601"/>
      <c r="N166" s="13"/>
    </row>
    <row r="167" spans="2:14" x14ac:dyDescent="0.25">
      <c r="B167" s="618" t="s">
        <v>2241</v>
      </c>
      <c r="C167" s="601"/>
      <c r="D167" s="601"/>
      <c r="E167" s="601"/>
      <c r="F167" s="601"/>
      <c r="G167" s="601"/>
      <c r="H167" s="601"/>
      <c r="I167" s="601"/>
      <c r="J167" s="601"/>
      <c r="K167" s="601"/>
      <c r="L167" s="601"/>
      <c r="M167" s="601"/>
      <c r="N167" s="13"/>
    </row>
    <row r="168" spans="2:14" x14ac:dyDescent="0.25">
      <c r="B168" s="939" t="s">
        <v>2242</v>
      </c>
      <c r="C168" s="601"/>
      <c r="D168" s="601"/>
      <c r="E168" s="601"/>
      <c r="F168" s="601"/>
      <c r="G168" s="601"/>
      <c r="H168" s="601"/>
      <c r="I168" s="601"/>
      <c r="J168" s="601"/>
      <c r="K168" s="601"/>
      <c r="L168" s="601"/>
      <c r="M168" s="601"/>
      <c r="N168" s="13"/>
    </row>
    <row r="169" spans="2:14" x14ac:dyDescent="0.25">
      <c r="B169" s="939" t="s">
        <v>2243</v>
      </c>
      <c r="C169" s="601"/>
      <c r="D169" s="601"/>
      <c r="E169" s="601"/>
      <c r="F169" s="601"/>
      <c r="G169" s="601"/>
      <c r="H169" s="601"/>
      <c r="I169" s="601"/>
      <c r="J169" s="601"/>
      <c r="K169" s="601"/>
      <c r="L169" s="601"/>
      <c r="M169" s="601"/>
      <c r="N169" s="13"/>
    </row>
    <row r="170" spans="2:14" x14ac:dyDescent="0.25">
      <c r="B170" s="939" t="s">
        <v>2244</v>
      </c>
      <c r="C170" s="601"/>
      <c r="D170" s="601"/>
      <c r="E170" s="601"/>
      <c r="F170" s="601"/>
      <c r="G170" s="601"/>
      <c r="H170" s="601"/>
      <c r="I170" s="601"/>
      <c r="J170" s="601"/>
      <c r="K170" s="601"/>
      <c r="L170" s="601"/>
      <c r="M170" s="601"/>
      <c r="N170" s="13"/>
    </row>
    <row r="171" spans="2:14" x14ac:dyDescent="0.25">
      <c r="B171" s="468" t="str">
        <f>"2) Amounts on Line "&amp;A34&amp;" derived from Plant Study for previous year Prior Year."</f>
        <v>2) Amounts on Line 15 derived from Plant Study for previous year Prior Year.</v>
      </c>
      <c r="C171" s="13"/>
      <c r="D171" s="13"/>
      <c r="E171" s="13"/>
      <c r="F171" s="13"/>
      <c r="G171" s="13"/>
      <c r="H171" s="13"/>
      <c r="I171" s="13"/>
      <c r="J171" s="13"/>
    </row>
    <row r="172" spans="2:14" x14ac:dyDescent="0.25">
      <c r="B172" s="465" t="str">
        <f>"Amounts on Line "&amp;A35&amp;" derived from Plant Study for Prior Year."</f>
        <v>Amounts on Line 16 derived from Plant Study for Prior Year.</v>
      </c>
      <c r="C172" s="13"/>
      <c r="D172" s="13"/>
      <c r="E172" s="13"/>
      <c r="F172" s="13"/>
      <c r="G172" s="13"/>
      <c r="H172" s="13"/>
      <c r="I172" s="13"/>
      <c r="J172" s="13"/>
    </row>
    <row r="173" spans="2:14" x14ac:dyDescent="0.25">
      <c r="B173" s="468" t="s">
        <v>1745</v>
      </c>
      <c r="C173" s="13"/>
      <c r="D173" s="13"/>
      <c r="E173" s="13"/>
      <c r="F173" s="13"/>
      <c r="G173" s="13"/>
      <c r="H173" s="13"/>
      <c r="I173" s="13"/>
      <c r="J173" s="13"/>
    </row>
    <row r="174" spans="2:14" x14ac:dyDescent="0.25">
      <c r="B174" s="13" t="str">
        <f>"4) From 17-Depreciation, Lines "&amp;'17-Depreciation'!A49&amp;" to "&amp;'17-Depreciation'!A60&amp;"."</f>
        <v>4) From 17-Depreciation, Lines 24 to 35.</v>
      </c>
      <c r="C174" s="13"/>
      <c r="D174" s="13"/>
      <c r="E174" s="13"/>
      <c r="F174" s="13"/>
      <c r="G174" s="13"/>
      <c r="H174" s="13"/>
      <c r="I174" s="13"/>
      <c r="J174" s="13"/>
    </row>
    <row r="175" spans="2:14" x14ac:dyDescent="0.25">
      <c r="B175" s="468" t="str">
        <f>"5) Amount in matrix on lines "&amp;A72&amp;" to "&amp;A83&amp;" minus amount in matrix on lines "&amp;A92&amp;" to "&amp;A103&amp;"."</f>
        <v>5) Amount in matrix on lines 27 to 38 minus amount in matrix on lines 40 to 51.</v>
      </c>
      <c r="C175" s="13"/>
      <c r="D175" s="13"/>
      <c r="E175" s="13"/>
      <c r="F175" s="13"/>
      <c r="G175" s="13"/>
      <c r="H175" s="13"/>
      <c r="I175" s="13"/>
      <c r="J175" s="13"/>
    </row>
    <row r="176" spans="2:14" x14ac:dyDescent="0.25">
      <c r="B176" s="468" t="str">
        <f>"6) Line "&amp;A24&amp;" - Line "&amp;A12&amp;"."</f>
        <v>6) Line 13 - Line 1.</v>
      </c>
      <c r="C176" s="13"/>
      <c r="D176" s="13"/>
      <c r="E176" s="13"/>
      <c r="F176" s="13"/>
      <c r="G176" s="13"/>
      <c r="H176" s="13"/>
      <c r="I176" s="13"/>
      <c r="J176" s="13"/>
    </row>
    <row r="177" spans="2:10" x14ac:dyDescent="0.25">
      <c r="B177" s="13" t="str">
        <f>"7) Line "&amp;A104&amp;"."</f>
        <v>7) Line 52.</v>
      </c>
      <c r="C177" s="13"/>
      <c r="D177" s="13"/>
      <c r="E177" s="13"/>
      <c r="F177" s="13"/>
      <c r="G177" s="13"/>
      <c r="H177" s="13"/>
      <c r="I177" s="13"/>
      <c r="J177" s="13"/>
    </row>
    <row r="178" spans="2:10" x14ac:dyDescent="0.25">
      <c r="B178" s="468" t="str">
        <f>"8) Line "&amp;A130&amp;" - Line "&amp;A134&amp;"."</f>
        <v>8) Line 66 - Line 67.</v>
      </c>
      <c r="C178" s="13"/>
      <c r="D178" s="13"/>
      <c r="E178" s="13"/>
      <c r="F178" s="13"/>
      <c r="G178" s="13"/>
      <c r="H178" s="13"/>
      <c r="I178" s="13"/>
      <c r="J178" s="13"/>
    </row>
    <row r="179" spans="2:10" x14ac:dyDescent="0.25">
      <c r="B179" s="468" t="str">
        <f>"9) For each column (FERC Account) divide Line "&amp;A137&amp;" by Line "&amp;A124&amp;" to arrive at a ratio for each column."</f>
        <v>9) For each column (FERC Account) divide Line 68 by Line 65 to arrive at a ratio for each column.</v>
      </c>
      <c r="C179" s="13"/>
      <c r="D179" s="13"/>
      <c r="E179" s="13"/>
      <c r="F179" s="13"/>
      <c r="G179" s="13"/>
      <c r="H179" s="13"/>
      <c r="I179" s="13"/>
      <c r="J179" s="13"/>
    </row>
    <row r="180" spans="2:10" x14ac:dyDescent="0.25">
      <c r="B180" s="468" t="str">
        <f>"Apply the ratio of each column to each monthly value from Lines "&amp;A112&amp;"-"&amp;A123&amp;" to calculate the values for"</f>
        <v>Apply the ratio of each column to each monthly value from Lines 53-64 to calculate the values for</v>
      </c>
      <c r="C180" s="13"/>
      <c r="D180" s="13"/>
      <c r="E180" s="13"/>
      <c r="F180" s="13"/>
      <c r="G180" s="13"/>
      <c r="H180" s="13"/>
      <c r="I180" s="13"/>
      <c r="J180" s="13"/>
    </row>
    <row r="181" spans="2:10" x14ac:dyDescent="0.25">
      <c r="B181" s="468" t="str">
        <f>"the corresponsing months listed in Lines "&amp;A146&amp;"-"&amp;A157&amp;"."</f>
        <v>the corresponsing months listed in Lines 69-80.</v>
      </c>
      <c r="C181" s="13"/>
      <c r="D181" s="13"/>
      <c r="E181" s="13"/>
      <c r="F181" s="13"/>
      <c r="G181" s="13"/>
      <c r="H181" s="13"/>
      <c r="I181" s="13"/>
      <c r="J181" s="13"/>
    </row>
  </sheetData>
  <phoneticPr fontId="9" type="noConversion"/>
  <pageMargins left="0.75" right="0.75" top="1" bottom="1" header="0.5" footer="0.5"/>
  <pageSetup scale="65" orientation="landscape" cellComments="asDisplayed" r:id="rId1"/>
  <headerFooter alignWithMargins="0">
    <oddHeader xml:space="preserve">&amp;C&amp;"Arial,Bold"Schedule 8
Accumulated Depreciation&amp;"Arial,Regular"
</oddHeader>
    <oddFooter>&amp;R&amp;A</oddFooter>
  </headerFooter>
  <rowBreaks count="3" manualBreakCount="3">
    <brk id="37" max="16383" man="1"/>
    <brk id="85" max="16383" man="1"/>
    <brk id="12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7"/>
  <sheetViews>
    <sheetView zoomScale="75" zoomScaleNormal="75" workbookViewId="0"/>
  </sheetViews>
  <sheetFormatPr defaultRowHeight="13.8" x14ac:dyDescent="0.3"/>
  <cols>
    <col min="1" max="1" width="4.6640625" customWidth="1"/>
    <col min="2" max="2" width="9.6640625" style="530" customWidth="1"/>
    <col min="3" max="3" width="44.6640625" style="530" customWidth="1"/>
    <col min="4" max="8" width="15.6640625" style="530" customWidth="1"/>
    <col min="9" max="9" width="16.109375" style="530" bestFit="1" customWidth="1"/>
    <col min="10" max="10" width="33.6640625" style="530" customWidth="1"/>
  </cols>
  <sheetData>
    <row r="1" spans="1:12" ht="13.2" x14ac:dyDescent="0.25">
      <c r="A1" s="920" t="s">
        <v>1353</v>
      </c>
      <c r="B1" s="222"/>
      <c r="C1" s="222"/>
      <c r="D1" s="222"/>
      <c r="E1" s="222"/>
      <c r="F1" s="383" t="s">
        <v>332</v>
      </c>
      <c r="G1" s="383"/>
      <c r="H1" s="222"/>
      <c r="I1" s="213"/>
      <c r="J1" s="213"/>
      <c r="K1" s="529"/>
      <c r="L1" s="529"/>
    </row>
    <row r="2" spans="1:12" ht="13.2" x14ac:dyDescent="0.25">
      <c r="A2" s="222"/>
      <c r="B2" s="666"/>
      <c r="C2" s="618"/>
      <c r="D2" s="618"/>
      <c r="E2" s="222"/>
      <c r="F2" s="213"/>
      <c r="G2" s="213"/>
      <c r="H2" s="213"/>
      <c r="I2" s="213"/>
      <c r="J2" s="213"/>
      <c r="K2" s="529"/>
      <c r="L2" s="529"/>
    </row>
    <row r="3" spans="1:12" ht="13.2" x14ac:dyDescent="0.25">
      <c r="A3" s="213"/>
      <c r="B3" s="607" t="s">
        <v>1773</v>
      </c>
      <c r="C3" s="608"/>
      <c r="D3" s="608"/>
      <c r="E3" s="213"/>
      <c r="F3" s="213"/>
      <c r="G3" s="213"/>
      <c r="H3" s="213"/>
      <c r="I3" s="213"/>
      <c r="J3" s="213"/>
      <c r="K3" s="529"/>
      <c r="L3" s="529"/>
    </row>
    <row r="4" spans="1:12" ht="13.2" x14ac:dyDescent="0.25">
      <c r="A4" s="213"/>
      <c r="B4" s="607"/>
      <c r="C4" s="608"/>
      <c r="D4" s="608"/>
      <c r="E4" s="213"/>
      <c r="F4" s="213"/>
      <c r="G4" s="213"/>
      <c r="H4" s="213"/>
      <c r="I4" s="213"/>
      <c r="J4" s="213"/>
      <c r="K4" s="529"/>
      <c r="L4" s="529"/>
    </row>
    <row r="5" spans="1:12" ht="13.2" x14ac:dyDescent="0.25">
      <c r="A5" s="213"/>
      <c r="B5" s="609" t="s">
        <v>1774</v>
      </c>
      <c r="C5" s="608"/>
      <c r="D5" s="608"/>
      <c r="E5" s="213"/>
      <c r="F5" s="213"/>
      <c r="G5" s="213"/>
      <c r="H5" s="213"/>
      <c r="I5" s="213"/>
      <c r="J5" s="213"/>
      <c r="K5" s="529"/>
      <c r="L5" s="529"/>
    </row>
    <row r="6" spans="1:12" x14ac:dyDescent="0.3">
      <c r="A6" s="213"/>
      <c r="B6" s="607"/>
      <c r="C6" s="84" t="s">
        <v>394</v>
      </c>
      <c r="D6" s="84" t="s">
        <v>378</v>
      </c>
      <c r="E6" s="213"/>
      <c r="I6" s="213"/>
      <c r="J6" s="213"/>
      <c r="K6" s="529"/>
      <c r="L6" s="529"/>
    </row>
    <row r="7" spans="1:12" x14ac:dyDescent="0.3">
      <c r="A7" s="213"/>
      <c r="C7" s="608"/>
      <c r="D7" s="213"/>
      <c r="E7" s="213"/>
      <c r="I7" s="213"/>
      <c r="J7" s="213"/>
      <c r="K7" s="529"/>
      <c r="L7" s="529"/>
    </row>
    <row r="8" spans="1:12" x14ac:dyDescent="0.3">
      <c r="A8" s="213"/>
      <c r="B8" s="607"/>
      <c r="C8" s="222"/>
      <c r="D8" s="103" t="s">
        <v>215</v>
      </c>
      <c r="J8" s="213"/>
      <c r="K8" s="529"/>
      <c r="L8" s="529"/>
    </row>
    <row r="9" spans="1:12" x14ac:dyDescent="0.3">
      <c r="A9" s="51" t="s">
        <v>360</v>
      </c>
      <c r="B9" s="607"/>
      <c r="C9" s="518" t="s">
        <v>110</v>
      </c>
      <c r="D9" s="113" t="s">
        <v>220</v>
      </c>
      <c r="E9" s="343" t="s">
        <v>198</v>
      </c>
      <c r="J9" s="213"/>
      <c r="K9" s="529"/>
      <c r="L9" s="529"/>
    </row>
    <row r="10" spans="1:12" x14ac:dyDescent="0.3">
      <c r="A10" s="577">
        <v>1</v>
      </c>
      <c r="B10" s="607"/>
      <c r="C10" s="468" t="s">
        <v>1358</v>
      </c>
      <c r="D10" s="968">
        <v>0</v>
      </c>
      <c r="E10" s="465" t="str">
        <f>"Line "&amp;A138&amp;", Col. 2"</f>
        <v>Line 353, Col. 2</v>
      </c>
      <c r="J10" s="213"/>
      <c r="K10" s="529"/>
      <c r="L10" s="529"/>
    </row>
    <row r="11" spans="1:12" x14ac:dyDescent="0.3">
      <c r="A11" s="577">
        <f>A10+1</f>
        <v>2</v>
      </c>
      <c r="B11" s="607"/>
      <c r="C11" s="468" t="s">
        <v>1356</v>
      </c>
      <c r="D11" s="968">
        <v>0</v>
      </c>
      <c r="E11" s="465" t="str">
        <f>"Line "&amp;A172&amp;", Col. 2"</f>
        <v>Line 452, Col. 2</v>
      </c>
      <c r="J11" s="213"/>
      <c r="K11" s="529"/>
      <c r="L11" s="529"/>
    </row>
    <row r="12" spans="1:12" x14ac:dyDescent="0.3">
      <c r="A12" s="577">
        <f t="shared" ref="A12:A23" si="0">A11+1</f>
        <v>3</v>
      </c>
      <c r="B12" s="607"/>
      <c r="C12" s="468" t="s">
        <v>1357</v>
      </c>
      <c r="D12" s="968">
        <v>0</v>
      </c>
      <c r="E12" s="465" t="str">
        <f>"Line "&amp;A284&amp;", Col. 2"</f>
        <v>Line 803, Col. 2</v>
      </c>
      <c r="I12" s="531"/>
      <c r="J12" s="213"/>
      <c r="K12" s="529"/>
      <c r="L12" s="529"/>
    </row>
    <row r="13" spans="1:12" x14ac:dyDescent="0.3">
      <c r="A13" s="577">
        <f t="shared" si="0"/>
        <v>4</v>
      </c>
      <c r="B13" s="607"/>
      <c r="C13" s="468" t="s">
        <v>1777</v>
      </c>
      <c r="D13" s="968">
        <v>0</v>
      </c>
      <c r="E13" s="1112" t="s">
        <v>2867</v>
      </c>
      <c r="J13" s="213"/>
      <c r="K13" s="529"/>
      <c r="L13" s="529"/>
    </row>
    <row r="14" spans="1:12" x14ac:dyDescent="0.3">
      <c r="A14" s="577">
        <f t="shared" si="0"/>
        <v>5</v>
      </c>
      <c r="B14" s="607"/>
      <c r="D14" s="222"/>
      <c r="E14" s="222"/>
      <c r="G14" s="532"/>
      <c r="H14" s="230"/>
      <c r="I14" s="222"/>
      <c r="J14" s="213"/>
      <c r="K14" s="529"/>
      <c r="L14" s="529"/>
    </row>
    <row r="15" spans="1:12" x14ac:dyDescent="0.3">
      <c r="A15" s="577">
        <f t="shared" si="0"/>
        <v>6</v>
      </c>
      <c r="B15" s="609" t="s">
        <v>1776</v>
      </c>
      <c r="E15" s="222"/>
      <c r="G15" s="531"/>
      <c r="H15" s="533"/>
      <c r="I15" s="531"/>
      <c r="J15" s="213"/>
      <c r="K15" s="529"/>
      <c r="L15" s="529"/>
    </row>
    <row r="16" spans="1:12" x14ac:dyDescent="0.3">
      <c r="A16" s="577">
        <f t="shared" si="0"/>
        <v>7</v>
      </c>
      <c r="B16" s="609"/>
      <c r="D16" s="103" t="s">
        <v>423</v>
      </c>
      <c r="E16" s="222"/>
      <c r="G16" s="531"/>
      <c r="H16" s="533"/>
      <c r="I16" s="531"/>
      <c r="J16" s="213"/>
      <c r="K16" s="529"/>
      <c r="L16" s="529"/>
    </row>
    <row r="17" spans="1:12" x14ac:dyDescent="0.3">
      <c r="A17" s="577">
        <f t="shared" si="0"/>
        <v>8</v>
      </c>
      <c r="B17" s="607"/>
      <c r="D17" s="113" t="s">
        <v>220</v>
      </c>
      <c r="E17" s="343" t="s">
        <v>198</v>
      </c>
      <c r="G17" s="534"/>
      <c r="H17" s="531"/>
      <c r="I17" s="531"/>
      <c r="J17" s="213"/>
      <c r="K17" s="529"/>
      <c r="L17" s="529"/>
    </row>
    <row r="18" spans="1:12" x14ac:dyDescent="0.3">
      <c r="A18" s="577">
        <f t="shared" si="0"/>
        <v>9</v>
      </c>
      <c r="B18" s="607"/>
      <c r="C18" s="468" t="s">
        <v>1777</v>
      </c>
      <c r="D18" s="977">
        <v>0</v>
      </c>
      <c r="E18" s="450" t="str">
        <f>"Previous Year Informational Filing, Line "&amp;A13&amp;", Col. 2"</f>
        <v>Previous Year Informational Filing, Line 4, Col. 2</v>
      </c>
      <c r="G18" s="531"/>
      <c r="H18" s="531"/>
      <c r="I18" s="531"/>
      <c r="K18" s="529"/>
      <c r="L18" s="529"/>
    </row>
    <row r="19" spans="1:12" x14ac:dyDescent="0.3">
      <c r="A19" s="577">
        <f t="shared" si="0"/>
        <v>10</v>
      </c>
      <c r="B19" s="607"/>
      <c r="D19" s="222"/>
      <c r="E19" s="222"/>
      <c r="F19" s="531"/>
      <c r="G19" s="531"/>
      <c r="H19" s="531"/>
      <c r="I19" s="531"/>
      <c r="J19" s="213"/>
      <c r="K19" s="529"/>
      <c r="L19" s="529"/>
    </row>
    <row r="20" spans="1:12" x14ac:dyDescent="0.3">
      <c r="A20" s="577">
        <f t="shared" si="0"/>
        <v>11</v>
      </c>
      <c r="B20" s="609" t="s">
        <v>1778</v>
      </c>
      <c r="D20" s="222"/>
      <c r="E20" s="222"/>
      <c r="F20" s="531"/>
      <c r="G20" s="531"/>
      <c r="H20" s="531"/>
      <c r="I20" s="531"/>
      <c r="J20" s="213"/>
      <c r="K20" s="529"/>
      <c r="L20" s="529"/>
    </row>
    <row r="21" spans="1:12" ht="13.2" x14ac:dyDescent="0.25">
      <c r="A21" s="577">
        <f t="shared" si="0"/>
        <v>12</v>
      </c>
      <c r="B21" s="608"/>
      <c r="C21" s="610"/>
      <c r="D21" s="611" t="s">
        <v>255</v>
      </c>
      <c r="E21" s="213"/>
      <c r="F21" s="213"/>
      <c r="G21" s="213"/>
      <c r="H21" s="213"/>
      <c r="I21" s="213"/>
      <c r="J21" s="213"/>
      <c r="K21" s="529"/>
      <c r="L21" s="529"/>
    </row>
    <row r="22" spans="1:12" x14ac:dyDescent="0.3">
      <c r="A22" s="577">
        <f t="shared" si="0"/>
        <v>13</v>
      </c>
      <c r="B22" s="608"/>
      <c r="D22" s="113" t="s">
        <v>220</v>
      </c>
      <c r="E22" s="343" t="s">
        <v>198</v>
      </c>
      <c r="F22" s="213"/>
      <c r="G22" s="534"/>
      <c r="H22" s="213"/>
      <c r="I22" s="213"/>
      <c r="J22" s="213"/>
      <c r="K22" s="529"/>
      <c r="L22" s="529"/>
    </row>
    <row r="23" spans="1:12" ht="13.2" x14ac:dyDescent="0.25">
      <c r="A23" s="577">
        <f t="shared" si="0"/>
        <v>14</v>
      </c>
      <c r="B23" s="608"/>
      <c r="C23" s="612" t="s">
        <v>1779</v>
      </c>
      <c r="D23" s="968">
        <v>0</v>
      </c>
      <c r="E23" s="230" t="str">
        <f>"Average of Line "&amp;A13&amp;" and Line "&amp;A18&amp;""</f>
        <v>Average of Line 4 and Line 9</v>
      </c>
      <c r="F23" s="213"/>
      <c r="G23" s="531"/>
      <c r="H23" s="213"/>
      <c r="I23" s="213"/>
      <c r="J23" s="213"/>
      <c r="K23" s="529"/>
      <c r="L23" s="529"/>
    </row>
    <row r="24" spans="1:12" ht="13.2" x14ac:dyDescent="0.25">
      <c r="A24" s="577"/>
      <c r="B24" s="608"/>
      <c r="C24" s="610"/>
      <c r="D24" s="613"/>
      <c r="E24" s="213"/>
      <c r="F24" s="213"/>
      <c r="G24" s="213"/>
      <c r="H24" s="213"/>
      <c r="I24" s="213"/>
      <c r="J24" s="213"/>
      <c r="K24" s="529"/>
      <c r="L24" s="529"/>
    </row>
    <row r="25" spans="1:12" ht="13.2" x14ac:dyDescent="0.25">
      <c r="A25" s="577"/>
      <c r="B25" s="607" t="s">
        <v>1780</v>
      </c>
      <c r="C25" s="610"/>
      <c r="D25" s="613"/>
      <c r="E25" s="213"/>
      <c r="F25" s="213"/>
      <c r="G25" s="213"/>
      <c r="H25" s="213"/>
      <c r="I25" s="213"/>
      <c r="J25" s="213"/>
    </row>
    <row r="26" spans="1:12" ht="13.2" x14ac:dyDescent="0.25">
      <c r="A26" s="577"/>
      <c r="B26" s="607"/>
      <c r="C26" s="84" t="s">
        <v>394</v>
      </c>
      <c r="D26" s="84" t="s">
        <v>378</v>
      </c>
      <c r="E26" s="84" t="s">
        <v>379</v>
      </c>
      <c r="F26" s="84" t="s">
        <v>380</v>
      </c>
      <c r="G26" s="84" t="s">
        <v>381</v>
      </c>
      <c r="H26" s="84" t="s">
        <v>382</v>
      </c>
      <c r="I26" s="84" t="s">
        <v>383</v>
      </c>
      <c r="J26" s="213"/>
    </row>
    <row r="27" spans="1:12" ht="13.2" x14ac:dyDescent="0.25">
      <c r="A27" s="466"/>
      <c r="B27" s="611"/>
      <c r="C27" s="611"/>
      <c r="D27" s="611" t="s">
        <v>1781</v>
      </c>
      <c r="E27" s="611" t="s">
        <v>1782</v>
      </c>
      <c r="F27" s="611"/>
      <c r="G27" s="611"/>
      <c r="H27" s="611" t="s">
        <v>1421</v>
      </c>
      <c r="I27" s="940" t="s">
        <v>2279</v>
      </c>
      <c r="J27" s="213"/>
    </row>
    <row r="28" spans="1:12" ht="13.2" x14ac:dyDescent="0.25">
      <c r="A28" s="466"/>
      <c r="B28" s="614" t="s">
        <v>1783</v>
      </c>
      <c r="C28" s="614" t="s">
        <v>1784</v>
      </c>
      <c r="D28" s="614" t="s">
        <v>1785</v>
      </c>
      <c r="E28" s="614" t="s">
        <v>1786</v>
      </c>
      <c r="F28" s="614" t="s">
        <v>1787</v>
      </c>
      <c r="G28" s="614" t="s">
        <v>1788</v>
      </c>
      <c r="H28" s="614" t="s">
        <v>1775</v>
      </c>
      <c r="I28" s="614" t="s">
        <v>111</v>
      </c>
      <c r="J28" s="213"/>
    </row>
    <row r="29" spans="1:12" ht="13.2" x14ac:dyDescent="0.25">
      <c r="A29" s="577"/>
      <c r="B29" s="608" t="s">
        <v>1790</v>
      </c>
      <c r="C29" s="608"/>
      <c r="D29" s="608"/>
      <c r="E29" s="213"/>
      <c r="F29" s="213"/>
      <c r="G29" s="213"/>
      <c r="H29" s="213"/>
      <c r="I29" s="213"/>
      <c r="J29" s="213"/>
    </row>
    <row r="30" spans="1:12" ht="13.2" x14ac:dyDescent="0.25">
      <c r="A30" s="170">
        <f>100</f>
        <v>100</v>
      </c>
      <c r="B30" s="620" t="s">
        <v>1562</v>
      </c>
      <c r="C30" s="981" t="s">
        <v>1562</v>
      </c>
      <c r="D30" s="982">
        <v>0</v>
      </c>
      <c r="E30" s="982">
        <v>0</v>
      </c>
      <c r="F30" s="982">
        <v>0</v>
      </c>
      <c r="G30" s="982">
        <v>0</v>
      </c>
      <c r="H30" s="982">
        <v>0</v>
      </c>
      <c r="I30" s="983" t="s">
        <v>1562</v>
      </c>
      <c r="J30" s="383"/>
    </row>
    <row r="31" spans="1:12" ht="13.2" x14ac:dyDescent="0.25">
      <c r="A31" s="170">
        <f t="shared" ref="A31:A94" si="1">A30+1</f>
        <v>101</v>
      </c>
      <c r="B31" s="620" t="s">
        <v>1562</v>
      </c>
      <c r="C31" s="981" t="s">
        <v>1562</v>
      </c>
      <c r="D31" s="982">
        <v>0</v>
      </c>
      <c r="E31" s="982">
        <v>0</v>
      </c>
      <c r="F31" s="982">
        <v>0</v>
      </c>
      <c r="G31" s="982">
        <v>0</v>
      </c>
      <c r="H31" s="982">
        <v>0</v>
      </c>
      <c r="I31" s="983" t="s">
        <v>1562</v>
      </c>
      <c r="J31" s="383"/>
    </row>
    <row r="32" spans="1:12" ht="13.2" x14ac:dyDescent="0.25">
      <c r="A32" s="170">
        <f t="shared" si="1"/>
        <v>102</v>
      </c>
      <c r="B32" s="620" t="s">
        <v>1562</v>
      </c>
      <c r="C32" s="981" t="s">
        <v>1562</v>
      </c>
      <c r="D32" s="982">
        <v>0</v>
      </c>
      <c r="E32" s="982">
        <v>0</v>
      </c>
      <c r="F32" s="982">
        <v>0</v>
      </c>
      <c r="G32" s="982">
        <v>0</v>
      </c>
      <c r="H32" s="982">
        <v>0</v>
      </c>
      <c r="I32" s="983" t="s">
        <v>1562</v>
      </c>
      <c r="J32" s="383"/>
    </row>
    <row r="33" spans="1:10" ht="13.2" x14ac:dyDescent="0.25">
      <c r="A33" s="170">
        <f t="shared" si="1"/>
        <v>103</v>
      </c>
      <c r="B33" s="620" t="s">
        <v>1562</v>
      </c>
      <c r="C33" s="981" t="s">
        <v>1562</v>
      </c>
      <c r="D33" s="982">
        <v>0</v>
      </c>
      <c r="E33" s="982">
        <v>0</v>
      </c>
      <c r="F33" s="982">
        <v>0</v>
      </c>
      <c r="G33" s="982">
        <v>0</v>
      </c>
      <c r="H33" s="982">
        <v>0</v>
      </c>
      <c r="I33" s="983" t="s">
        <v>1562</v>
      </c>
      <c r="J33" s="383"/>
    </row>
    <row r="34" spans="1:10" ht="13.2" x14ac:dyDescent="0.25">
      <c r="A34" s="170">
        <f t="shared" si="1"/>
        <v>104</v>
      </c>
      <c r="B34" s="620" t="s">
        <v>1562</v>
      </c>
      <c r="C34" s="981" t="s">
        <v>1562</v>
      </c>
      <c r="D34" s="982">
        <v>0</v>
      </c>
      <c r="E34" s="982">
        <v>0</v>
      </c>
      <c r="F34" s="982">
        <v>0</v>
      </c>
      <c r="G34" s="982">
        <v>0</v>
      </c>
      <c r="H34" s="982">
        <v>0</v>
      </c>
      <c r="I34" s="983" t="s">
        <v>1562</v>
      </c>
      <c r="J34" s="383"/>
    </row>
    <row r="35" spans="1:10" ht="12.75" customHeight="1" x14ac:dyDescent="0.25">
      <c r="A35" s="170">
        <f t="shared" si="1"/>
        <v>105</v>
      </c>
      <c r="B35" s="620" t="s">
        <v>1562</v>
      </c>
      <c r="C35" s="981" t="s">
        <v>1562</v>
      </c>
      <c r="D35" s="982">
        <v>0</v>
      </c>
      <c r="E35" s="982">
        <v>0</v>
      </c>
      <c r="F35" s="982">
        <v>0</v>
      </c>
      <c r="G35" s="982">
        <v>0</v>
      </c>
      <c r="H35" s="982">
        <v>0</v>
      </c>
      <c r="I35" s="983" t="s">
        <v>1562</v>
      </c>
      <c r="J35" s="383"/>
    </row>
    <row r="36" spans="1:10" ht="13.2" x14ac:dyDescent="0.25">
      <c r="A36" s="170">
        <f t="shared" si="1"/>
        <v>106</v>
      </c>
      <c r="B36" s="620" t="s">
        <v>1562</v>
      </c>
      <c r="C36" s="981" t="s">
        <v>1562</v>
      </c>
      <c r="D36" s="982">
        <v>0</v>
      </c>
      <c r="E36" s="982">
        <v>0</v>
      </c>
      <c r="F36" s="982">
        <v>0</v>
      </c>
      <c r="G36" s="982">
        <v>0</v>
      </c>
      <c r="H36" s="982">
        <v>0</v>
      </c>
      <c r="I36" s="983" t="s">
        <v>1562</v>
      </c>
      <c r="J36" s="383"/>
    </row>
    <row r="37" spans="1:10" ht="13.2" x14ac:dyDescent="0.25">
      <c r="A37" s="170">
        <f t="shared" si="1"/>
        <v>107</v>
      </c>
      <c r="B37" s="620" t="s">
        <v>1562</v>
      </c>
      <c r="C37" s="981" t="s">
        <v>1562</v>
      </c>
      <c r="D37" s="982">
        <v>0</v>
      </c>
      <c r="E37" s="982">
        <v>0</v>
      </c>
      <c r="F37" s="982">
        <v>0</v>
      </c>
      <c r="G37" s="982">
        <v>0</v>
      </c>
      <c r="H37" s="982">
        <v>0</v>
      </c>
      <c r="I37" s="983" t="s">
        <v>1562</v>
      </c>
      <c r="J37" s="383"/>
    </row>
    <row r="38" spans="1:10" ht="13.2" x14ac:dyDescent="0.25">
      <c r="A38" s="170">
        <f t="shared" si="1"/>
        <v>108</v>
      </c>
      <c r="B38" s="620" t="s">
        <v>1562</v>
      </c>
      <c r="C38" s="981" t="s">
        <v>1562</v>
      </c>
      <c r="D38" s="982">
        <v>0</v>
      </c>
      <c r="E38" s="982">
        <v>0</v>
      </c>
      <c r="F38" s="982">
        <v>0</v>
      </c>
      <c r="G38" s="982">
        <v>0</v>
      </c>
      <c r="H38" s="982">
        <v>0</v>
      </c>
      <c r="I38" s="983" t="s">
        <v>1562</v>
      </c>
      <c r="J38" s="383"/>
    </row>
    <row r="39" spans="1:10" ht="13.2" x14ac:dyDescent="0.25">
      <c r="A39" s="170">
        <f>+A38+1</f>
        <v>109</v>
      </c>
      <c r="B39" s="620" t="s">
        <v>1562</v>
      </c>
      <c r="C39" s="981" t="s">
        <v>1562</v>
      </c>
      <c r="D39" s="982">
        <v>0</v>
      </c>
      <c r="E39" s="982">
        <v>0</v>
      </c>
      <c r="F39" s="982">
        <v>0</v>
      </c>
      <c r="G39" s="982">
        <v>0</v>
      </c>
      <c r="H39" s="982">
        <v>0</v>
      </c>
      <c r="I39" s="983" t="s">
        <v>1562</v>
      </c>
      <c r="J39" s="383"/>
    </row>
    <row r="40" spans="1:10" ht="13.2" x14ac:dyDescent="0.25">
      <c r="A40" s="170">
        <f t="shared" si="1"/>
        <v>110</v>
      </c>
      <c r="B40" s="620" t="s">
        <v>1562</v>
      </c>
      <c r="C40" s="981" t="s">
        <v>1562</v>
      </c>
      <c r="D40" s="982">
        <v>0</v>
      </c>
      <c r="E40" s="982">
        <v>0</v>
      </c>
      <c r="F40" s="982">
        <v>0</v>
      </c>
      <c r="G40" s="982">
        <v>0</v>
      </c>
      <c r="H40" s="982">
        <v>0</v>
      </c>
      <c r="I40" s="983" t="s">
        <v>1562</v>
      </c>
      <c r="J40" s="733"/>
    </row>
    <row r="41" spans="1:10" ht="13.2" x14ac:dyDescent="0.25">
      <c r="A41" s="170">
        <f t="shared" si="1"/>
        <v>111</v>
      </c>
      <c r="B41" s="620" t="s">
        <v>1562</v>
      </c>
      <c r="C41" s="981" t="s">
        <v>1562</v>
      </c>
      <c r="D41" s="982">
        <v>0</v>
      </c>
      <c r="E41" s="982">
        <v>0</v>
      </c>
      <c r="F41" s="982">
        <v>0</v>
      </c>
      <c r="G41" s="982">
        <v>0</v>
      </c>
      <c r="H41" s="982">
        <v>0</v>
      </c>
      <c r="I41" s="983" t="s">
        <v>1562</v>
      </c>
      <c r="J41" s="383"/>
    </row>
    <row r="42" spans="1:10" ht="13.2" x14ac:dyDescent="0.25">
      <c r="A42" s="170">
        <f t="shared" si="1"/>
        <v>112</v>
      </c>
      <c r="B42" s="620" t="s">
        <v>1562</v>
      </c>
      <c r="C42" s="981" t="s">
        <v>1562</v>
      </c>
      <c r="D42" s="982">
        <v>0</v>
      </c>
      <c r="E42" s="982">
        <v>0</v>
      </c>
      <c r="F42" s="982">
        <v>0</v>
      </c>
      <c r="G42" s="982">
        <v>0</v>
      </c>
      <c r="H42" s="982">
        <v>0</v>
      </c>
      <c r="I42" s="983" t="s">
        <v>1562</v>
      </c>
      <c r="J42" s="383"/>
    </row>
    <row r="43" spans="1:10" ht="13.2" x14ac:dyDescent="0.25">
      <c r="A43" s="170">
        <f t="shared" si="1"/>
        <v>113</v>
      </c>
      <c r="B43" s="620" t="s">
        <v>1562</v>
      </c>
      <c r="C43" s="981" t="s">
        <v>1562</v>
      </c>
      <c r="D43" s="982">
        <v>0</v>
      </c>
      <c r="E43" s="982">
        <v>0</v>
      </c>
      <c r="F43" s="982">
        <v>0</v>
      </c>
      <c r="G43" s="982">
        <v>0</v>
      </c>
      <c r="H43" s="982">
        <v>0</v>
      </c>
      <c r="I43" s="983" t="s">
        <v>1562</v>
      </c>
      <c r="J43" s="383"/>
    </row>
    <row r="44" spans="1:10" ht="13.2" x14ac:dyDescent="0.25">
      <c r="A44" s="170">
        <f t="shared" si="1"/>
        <v>114</v>
      </c>
      <c r="B44" s="620" t="s">
        <v>1562</v>
      </c>
      <c r="C44" s="981" t="s">
        <v>1562</v>
      </c>
      <c r="D44" s="982">
        <v>0</v>
      </c>
      <c r="E44" s="982">
        <v>0</v>
      </c>
      <c r="F44" s="982">
        <v>0</v>
      </c>
      <c r="G44" s="982">
        <v>0</v>
      </c>
      <c r="H44" s="982">
        <v>0</v>
      </c>
      <c r="I44" s="983" t="s">
        <v>1562</v>
      </c>
      <c r="J44" s="383"/>
    </row>
    <row r="45" spans="1:10" ht="13.2" x14ac:dyDescent="0.25">
      <c r="A45" s="170">
        <f t="shared" si="1"/>
        <v>115</v>
      </c>
      <c r="B45" s="620" t="s">
        <v>1562</v>
      </c>
      <c r="C45" s="981" t="s">
        <v>1562</v>
      </c>
      <c r="D45" s="982">
        <v>0</v>
      </c>
      <c r="E45" s="982">
        <v>0</v>
      </c>
      <c r="F45" s="982">
        <v>0</v>
      </c>
      <c r="G45" s="982">
        <v>0</v>
      </c>
      <c r="H45" s="982">
        <v>0</v>
      </c>
      <c r="I45" s="983" t="s">
        <v>1562</v>
      </c>
      <c r="J45" s="383"/>
    </row>
    <row r="46" spans="1:10" ht="13.2" x14ac:dyDescent="0.25">
      <c r="A46" s="170">
        <f t="shared" si="1"/>
        <v>116</v>
      </c>
      <c r="B46" s="620" t="s">
        <v>1562</v>
      </c>
      <c r="C46" s="981" t="s">
        <v>1562</v>
      </c>
      <c r="D46" s="982">
        <v>0</v>
      </c>
      <c r="E46" s="982">
        <v>0</v>
      </c>
      <c r="F46" s="982">
        <v>0</v>
      </c>
      <c r="G46" s="982">
        <v>0</v>
      </c>
      <c r="H46" s="982">
        <v>0</v>
      </c>
      <c r="I46" s="983" t="s">
        <v>1562</v>
      </c>
      <c r="J46" s="383"/>
    </row>
    <row r="47" spans="1:10" ht="13.2" x14ac:dyDescent="0.25">
      <c r="A47" s="170">
        <f t="shared" si="1"/>
        <v>117</v>
      </c>
      <c r="B47" s="620" t="s">
        <v>1562</v>
      </c>
      <c r="C47" s="981" t="s">
        <v>1562</v>
      </c>
      <c r="D47" s="982">
        <v>0</v>
      </c>
      <c r="E47" s="982">
        <v>0</v>
      </c>
      <c r="F47" s="982">
        <v>0</v>
      </c>
      <c r="G47" s="982">
        <v>0</v>
      </c>
      <c r="H47" s="982">
        <v>0</v>
      </c>
      <c r="I47" s="983" t="s">
        <v>1562</v>
      </c>
      <c r="J47" s="383"/>
    </row>
    <row r="48" spans="1:10" ht="13.2" x14ac:dyDescent="0.25">
      <c r="A48" s="170">
        <f t="shared" si="1"/>
        <v>118</v>
      </c>
      <c r="B48" s="620" t="s">
        <v>1562</v>
      </c>
      <c r="C48" s="981" t="s">
        <v>1562</v>
      </c>
      <c r="D48" s="982">
        <v>0</v>
      </c>
      <c r="E48" s="982">
        <v>0</v>
      </c>
      <c r="F48" s="982">
        <v>0</v>
      </c>
      <c r="G48" s="982">
        <v>0</v>
      </c>
      <c r="H48" s="982">
        <v>0</v>
      </c>
      <c r="I48" s="983" t="s">
        <v>1562</v>
      </c>
      <c r="J48" s="383"/>
    </row>
    <row r="49" spans="1:12" ht="13.2" x14ac:dyDescent="0.25">
      <c r="A49" s="170">
        <f t="shared" si="1"/>
        <v>119</v>
      </c>
      <c r="B49" s="620" t="s">
        <v>1562</v>
      </c>
      <c r="C49" s="981" t="s">
        <v>1562</v>
      </c>
      <c r="D49" s="982">
        <v>0</v>
      </c>
      <c r="E49" s="982">
        <v>0</v>
      </c>
      <c r="F49" s="982">
        <v>0</v>
      </c>
      <c r="G49" s="982">
        <v>0</v>
      </c>
      <c r="H49" s="982">
        <v>0</v>
      </c>
      <c r="I49" s="983" t="s">
        <v>1562</v>
      </c>
      <c r="J49" s="383"/>
    </row>
    <row r="50" spans="1:12" ht="13.2" x14ac:dyDescent="0.25">
      <c r="A50" s="170">
        <f t="shared" si="1"/>
        <v>120</v>
      </c>
      <c r="B50" s="620" t="s">
        <v>1562</v>
      </c>
      <c r="C50" s="981" t="s">
        <v>1562</v>
      </c>
      <c r="D50" s="982">
        <v>0</v>
      </c>
      <c r="E50" s="982">
        <v>0</v>
      </c>
      <c r="F50" s="982">
        <v>0</v>
      </c>
      <c r="G50" s="982">
        <v>0</v>
      </c>
      <c r="H50" s="982">
        <v>0</v>
      </c>
      <c r="I50" s="983" t="s">
        <v>1562</v>
      </c>
      <c r="J50" s="383"/>
    </row>
    <row r="51" spans="1:12" ht="13.2" x14ac:dyDescent="0.25">
      <c r="A51" s="170">
        <f t="shared" si="1"/>
        <v>121</v>
      </c>
      <c r="B51" s="620" t="s">
        <v>1562</v>
      </c>
      <c r="C51" s="981" t="s">
        <v>1562</v>
      </c>
      <c r="D51" s="982">
        <v>0</v>
      </c>
      <c r="E51" s="982">
        <v>0</v>
      </c>
      <c r="F51" s="982">
        <v>0</v>
      </c>
      <c r="G51" s="982">
        <v>0</v>
      </c>
      <c r="H51" s="982">
        <v>0</v>
      </c>
      <c r="I51" s="983" t="s">
        <v>1562</v>
      </c>
      <c r="J51" s="383"/>
    </row>
    <row r="52" spans="1:12" ht="13.2" x14ac:dyDescent="0.25">
      <c r="A52" s="170">
        <f t="shared" si="1"/>
        <v>122</v>
      </c>
      <c r="B52" s="620" t="s">
        <v>1562</v>
      </c>
      <c r="C52" s="981" t="s">
        <v>1562</v>
      </c>
      <c r="D52" s="982">
        <v>0</v>
      </c>
      <c r="E52" s="982">
        <v>0</v>
      </c>
      <c r="F52" s="982">
        <v>0</v>
      </c>
      <c r="G52" s="982">
        <v>0</v>
      </c>
      <c r="H52" s="982">
        <v>0</v>
      </c>
      <c r="I52" s="983" t="s">
        <v>1562</v>
      </c>
      <c r="J52" s="383"/>
    </row>
    <row r="53" spans="1:12" ht="13.2" x14ac:dyDescent="0.25">
      <c r="A53" s="170">
        <f t="shared" si="1"/>
        <v>123</v>
      </c>
      <c r="B53" s="620" t="s">
        <v>1562</v>
      </c>
      <c r="C53" s="981" t="s">
        <v>1562</v>
      </c>
      <c r="D53" s="982">
        <v>0</v>
      </c>
      <c r="E53" s="982">
        <v>0</v>
      </c>
      <c r="F53" s="982">
        <v>0</v>
      </c>
      <c r="G53" s="982">
        <v>0</v>
      </c>
      <c r="H53" s="982">
        <v>0</v>
      </c>
      <c r="I53" s="983" t="s">
        <v>1562</v>
      </c>
      <c r="J53" s="383"/>
      <c r="K53" s="529"/>
      <c r="L53" s="529"/>
    </row>
    <row r="54" spans="1:12" ht="13.2" x14ac:dyDescent="0.25">
      <c r="A54" s="170">
        <f t="shared" si="1"/>
        <v>124</v>
      </c>
      <c r="B54" s="620" t="s">
        <v>1562</v>
      </c>
      <c r="C54" s="981" t="s">
        <v>1562</v>
      </c>
      <c r="D54" s="982">
        <v>0</v>
      </c>
      <c r="E54" s="982">
        <v>0</v>
      </c>
      <c r="F54" s="982">
        <v>0</v>
      </c>
      <c r="G54" s="982">
        <v>0</v>
      </c>
      <c r="H54" s="982">
        <v>0</v>
      </c>
      <c r="I54" s="983" t="s">
        <v>1562</v>
      </c>
      <c r="J54" s="383"/>
      <c r="K54" s="529"/>
      <c r="L54" s="529"/>
    </row>
    <row r="55" spans="1:12" ht="13.2" x14ac:dyDescent="0.25">
      <c r="A55" s="170">
        <f t="shared" si="1"/>
        <v>125</v>
      </c>
      <c r="B55" s="620" t="s">
        <v>1562</v>
      </c>
      <c r="C55" s="981" t="s">
        <v>1562</v>
      </c>
      <c r="D55" s="982">
        <v>0</v>
      </c>
      <c r="E55" s="982">
        <v>0</v>
      </c>
      <c r="F55" s="982">
        <v>0</v>
      </c>
      <c r="G55" s="982">
        <v>0</v>
      </c>
      <c r="H55" s="982">
        <v>0</v>
      </c>
      <c r="I55" s="983" t="s">
        <v>1562</v>
      </c>
      <c r="J55" s="383"/>
      <c r="K55" s="529"/>
      <c r="L55" s="529"/>
    </row>
    <row r="56" spans="1:12" ht="13.2" x14ac:dyDescent="0.25">
      <c r="A56" s="170">
        <f t="shared" si="1"/>
        <v>126</v>
      </c>
      <c r="B56" s="620" t="s">
        <v>1562</v>
      </c>
      <c r="C56" s="981" t="s">
        <v>1562</v>
      </c>
      <c r="D56" s="982">
        <v>0</v>
      </c>
      <c r="E56" s="982">
        <v>0</v>
      </c>
      <c r="F56" s="982">
        <v>0</v>
      </c>
      <c r="G56" s="982">
        <v>0</v>
      </c>
      <c r="H56" s="982">
        <v>0</v>
      </c>
      <c r="I56" s="983" t="s">
        <v>1562</v>
      </c>
      <c r="J56" s="383"/>
      <c r="K56" s="529"/>
      <c r="L56" s="529"/>
    </row>
    <row r="57" spans="1:12" ht="13.2" x14ac:dyDescent="0.25">
      <c r="A57" s="170">
        <f t="shared" si="1"/>
        <v>127</v>
      </c>
      <c r="B57" s="620" t="s">
        <v>1562</v>
      </c>
      <c r="C57" s="981" t="s">
        <v>1562</v>
      </c>
      <c r="D57" s="982">
        <v>0</v>
      </c>
      <c r="E57" s="982">
        <v>0</v>
      </c>
      <c r="F57" s="982">
        <v>0</v>
      </c>
      <c r="G57" s="982">
        <v>0</v>
      </c>
      <c r="H57" s="982">
        <v>0</v>
      </c>
      <c r="I57" s="983" t="s">
        <v>1562</v>
      </c>
      <c r="J57" s="383"/>
      <c r="K57" s="529"/>
      <c r="L57" s="529"/>
    </row>
    <row r="58" spans="1:12" ht="13.2" x14ac:dyDescent="0.25">
      <c r="A58" s="170">
        <f t="shared" si="1"/>
        <v>128</v>
      </c>
      <c r="B58" s="620" t="s">
        <v>1562</v>
      </c>
      <c r="C58" s="981" t="s">
        <v>1562</v>
      </c>
      <c r="D58" s="982">
        <v>0</v>
      </c>
      <c r="E58" s="982">
        <v>0</v>
      </c>
      <c r="F58" s="982">
        <v>0</v>
      </c>
      <c r="G58" s="982">
        <v>0</v>
      </c>
      <c r="H58" s="982">
        <v>0</v>
      </c>
      <c r="I58" s="983" t="s">
        <v>1562</v>
      </c>
      <c r="J58" s="383"/>
      <c r="K58" s="529"/>
      <c r="L58" s="529"/>
    </row>
    <row r="59" spans="1:12" ht="13.2" x14ac:dyDescent="0.25">
      <c r="A59" s="170">
        <f t="shared" si="1"/>
        <v>129</v>
      </c>
      <c r="B59" s="620" t="s">
        <v>1562</v>
      </c>
      <c r="C59" s="981" t="s">
        <v>1562</v>
      </c>
      <c r="D59" s="982">
        <v>0</v>
      </c>
      <c r="E59" s="982">
        <v>0</v>
      </c>
      <c r="F59" s="982">
        <v>0</v>
      </c>
      <c r="G59" s="982">
        <v>0</v>
      </c>
      <c r="H59" s="982">
        <v>0</v>
      </c>
      <c r="I59" s="983" t="s">
        <v>1562</v>
      </c>
      <c r="J59" s="383"/>
      <c r="K59" s="529"/>
      <c r="L59" s="529"/>
    </row>
    <row r="60" spans="1:12" ht="13.2" x14ac:dyDescent="0.25">
      <c r="A60" s="170">
        <f t="shared" si="1"/>
        <v>130</v>
      </c>
      <c r="B60" s="620" t="s">
        <v>1562</v>
      </c>
      <c r="C60" s="981" t="s">
        <v>1562</v>
      </c>
      <c r="D60" s="982">
        <v>0</v>
      </c>
      <c r="E60" s="982">
        <v>0</v>
      </c>
      <c r="F60" s="982">
        <v>0</v>
      </c>
      <c r="G60" s="982">
        <v>0</v>
      </c>
      <c r="H60" s="982">
        <v>0</v>
      </c>
      <c r="I60" s="983" t="s">
        <v>1562</v>
      </c>
      <c r="J60" s="383"/>
      <c r="K60" s="529"/>
      <c r="L60" s="529"/>
    </row>
    <row r="61" spans="1:12" ht="13.2" x14ac:dyDescent="0.25">
      <c r="A61" s="170">
        <f t="shared" si="1"/>
        <v>131</v>
      </c>
      <c r="B61" s="620" t="s">
        <v>1562</v>
      </c>
      <c r="C61" s="981" t="s">
        <v>1562</v>
      </c>
      <c r="D61" s="982">
        <v>0</v>
      </c>
      <c r="E61" s="982">
        <v>0</v>
      </c>
      <c r="F61" s="982">
        <v>0</v>
      </c>
      <c r="G61" s="982">
        <v>0</v>
      </c>
      <c r="H61" s="982">
        <v>0</v>
      </c>
      <c r="I61" s="983" t="s">
        <v>1562</v>
      </c>
      <c r="J61" s="383"/>
      <c r="K61" s="529"/>
      <c r="L61" s="529"/>
    </row>
    <row r="62" spans="1:12" ht="13.2" x14ac:dyDescent="0.25">
      <c r="A62" s="170">
        <f t="shared" si="1"/>
        <v>132</v>
      </c>
      <c r="B62" s="620" t="s">
        <v>1562</v>
      </c>
      <c r="C62" s="981" t="s">
        <v>1562</v>
      </c>
      <c r="D62" s="982">
        <v>0</v>
      </c>
      <c r="E62" s="982">
        <v>0</v>
      </c>
      <c r="F62" s="982">
        <v>0</v>
      </c>
      <c r="G62" s="982">
        <v>0</v>
      </c>
      <c r="H62" s="982">
        <v>0</v>
      </c>
      <c r="I62" s="983" t="s">
        <v>1562</v>
      </c>
      <c r="J62" s="383"/>
      <c r="K62" s="529"/>
      <c r="L62" s="529"/>
    </row>
    <row r="63" spans="1:12" ht="13.2" x14ac:dyDescent="0.25">
      <c r="A63" s="170">
        <f t="shared" si="1"/>
        <v>133</v>
      </c>
      <c r="B63" s="620" t="s">
        <v>1562</v>
      </c>
      <c r="C63" s="981" t="s">
        <v>1562</v>
      </c>
      <c r="D63" s="982">
        <v>0</v>
      </c>
      <c r="E63" s="982">
        <v>0</v>
      </c>
      <c r="F63" s="982">
        <v>0</v>
      </c>
      <c r="G63" s="982">
        <v>0</v>
      </c>
      <c r="H63" s="982">
        <v>0</v>
      </c>
      <c r="I63" s="983" t="s">
        <v>1562</v>
      </c>
      <c r="J63" s="383"/>
      <c r="K63" s="529"/>
      <c r="L63" s="529"/>
    </row>
    <row r="64" spans="1:12" ht="13.2" x14ac:dyDescent="0.25">
      <c r="A64" s="170">
        <f t="shared" si="1"/>
        <v>134</v>
      </c>
      <c r="B64" s="620" t="s">
        <v>1562</v>
      </c>
      <c r="C64" s="981" t="s">
        <v>1562</v>
      </c>
      <c r="D64" s="982">
        <v>0</v>
      </c>
      <c r="E64" s="982">
        <v>0</v>
      </c>
      <c r="F64" s="982">
        <v>0</v>
      </c>
      <c r="G64" s="982">
        <v>0</v>
      </c>
      <c r="H64" s="982">
        <v>0</v>
      </c>
      <c r="I64" s="983" t="s">
        <v>1562</v>
      </c>
      <c r="J64" s="383"/>
      <c r="K64" s="529"/>
      <c r="L64" s="529"/>
    </row>
    <row r="65" spans="1:12" ht="13.2" x14ac:dyDescent="0.25">
      <c r="A65" s="170">
        <f t="shared" si="1"/>
        <v>135</v>
      </c>
      <c r="B65" s="620" t="s">
        <v>1562</v>
      </c>
      <c r="C65" s="981" t="s">
        <v>1562</v>
      </c>
      <c r="D65" s="982">
        <v>0</v>
      </c>
      <c r="E65" s="982">
        <v>0</v>
      </c>
      <c r="F65" s="982">
        <v>0</v>
      </c>
      <c r="G65" s="982">
        <v>0</v>
      </c>
      <c r="H65" s="982">
        <v>0</v>
      </c>
      <c r="I65" s="983" t="s">
        <v>1562</v>
      </c>
      <c r="J65" s="383"/>
      <c r="K65" s="529"/>
      <c r="L65" s="529"/>
    </row>
    <row r="66" spans="1:12" ht="13.2" x14ac:dyDescent="0.25">
      <c r="A66" s="170">
        <f t="shared" si="1"/>
        <v>136</v>
      </c>
      <c r="B66" s="620" t="s">
        <v>1562</v>
      </c>
      <c r="C66" s="981" t="s">
        <v>1562</v>
      </c>
      <c r="D66" s="982">
        <v>0</v>
      </c>
      <c r="E66" s="982">
        <v>0</v>
      </c>
      <c r="F66" s="982">
        <v>0</v>
      </c>
      <c r="G66" s="982">
        <v>0</v>
      </c>
      <c r="H66" s="982">
        <v>0</v>
      </c>
      <c r="I66" s="983" t="s">
        <v>1562</v>
      </c>
      <c r="J66" s="383"/>
      <c r="K66" s="529"/>
      <c r="L66" s="529"/>
    </row>
    <row r="67" spans="1:12" ht="13.2" x14ac:dyDescent="0.25">
      <c r="A67" s="170">
        <f t="shared" si="1"/>
        <v>137</v>
      </c>
      <c r="B67" s="620" t="s">
        <v>1562</v>
      </c>
      <c r="C67" s="981" t="s">
        <v>1562</v>
      </c>
      <c r="D67" s="982">
        <v>0</v>
      </c>
      <c r="E67" s="982">
        <v>0</v>
      </c>
      <c r="F67" s="982">
        <v>0</v>
      </c>
      <c r="G67" s="982">
        <v>0</v>
      </c>
      <c r="H67" s="982">
        <v>0</v>
      </c>
      <c r="I67" s="983" t="s">
        <v>1562</v>
      </c>
      <c r="J67" s="383"/>
      <c r="K67" s="529"/>
      <c r="L67" s="529"/>
    </row>
    <row r="68" spans="1:12" ht="13.2" x14ac:dyDescent="0.25">
      <c r="A68" s="170">
        <f t="shared" si="1"/>
        <v>138</v>
      </c>
      <c r="B68" s="620" t="s">
        <v>1562</v>
      </c>
      <c r="C68" s="981" t="s">
        <v>1562</v>
      </c>
      <c r="D68" s="982">
        <v>0</v>
      </c>
      <c r="E68" s="982">
        <v>0</v>
      </c>
      <c r="F68" s="982">
        <v>0</v>
      </c>
      <c r="G68" s="982">
        <v>0</v>
      </c>
      <c r="H68" s="982">
        <v>0</v>
      </c>
      <c r="I68" s="983" t="s">
        <v>1562</v>
      </c>
      <c r="J68" s="383"/>
      <c r="K68" s="529"/>
      <c r="L68" s="529"/>
    </row>
    <row r="69" spans="1:12" ht="13.2" x14ac:dyDescent="0.25">
      <c r="A69" s="170">
        <f t="shared" si="1"/>
        <v>139</v>
      </c>
      <c r="B69" s="620" t="s">
        <v>1562</v>
      </c>
      <c r="C69" s="981" t="s">
        <v>1562</v>
      </c>
      <c r="D69" s="982">
        <v>0</v>
      </c>
      <c r="E69" s="982">
        <v>0</v>
      </c>
      <c r="F69" s="982">
        <v>0</v>
      </c>
      <c r="G69" s="982">
        <v>0</v>
      </c>
      <c r="H69" s="982">
        <v>0</v>
      </c>
      <c r="I69" s="983" t="s">
        <v>1562</v>
      </c>
      <c r="J69" s="733"/>
      <c r="K69" s="529"/>
      <c r="L69" s="529"/>
    </row>
    <row r="70" spans="1:12" ht="13.2" x14ac:dyDescent="0.25">
      <c r="A70" s="170">
        <f t="shared" si="1"/>
        <v>140</v>
      </c>
      <c r="B70" s="620" t="s">
        <v>1562</v>
      </c>
      <c r="C70" s="981" t="s">
        <v>1562</v>
      </c>
      <c r="D70" s="982">
        <v>0</v>
      </c>
      <c r="E70" s="982">
        <v>0</v>
      </c>
      <c r="F70" s="982">
        <v>0</v>
      </c>
      <c r="G70" s="982">
        <v>0</v>
      </c>
      <c r="H70" s="982">
        <v>0</v>
      </c>
      <c r="I70" s="983" t="s">
        <v>1562</v>
      </c>
      <c r="J70" s="383"/>
      <c r="K70" s="529"/>
      <c r="L70" s="529"/>
    </row>
    <row r="71" spans="1:12" ht="13.2" x14ac:dyDescent="0.25">
      <c r="A71" s="170">
        <f t="shared" si="1"/>
        <v>141</v>
      </c>
      <c r="B71" s="620" t="s">
        <v>1562</v>
      </c>
      <c r="C71" s="981" t="s">
        <v>1562</v>
      </c>
      <c r="D71" s="982">
        <v>0</v>
      </c>
      <c r="E71" s="982">
        <v>0</v>
      </c>
      <c r="F71" s="982">
        <v>0</v>
      </c>
      <c r="G71" s="982">
        <v>0</v>
      </c>
      <c r="H71" s="982">
        <v>0</v>
      </c>
      <c r="I71" s="983" t="s">
        <v>1562</v>
      </c>
      <c r="J71" s="383"/>
      <c r="K71" s="529"/>
      <c r="L71" s="529"/>
    </row>
    <row r="72" spans="1:12" ht="13.2" x14ac:dyDescent="0.25">
      <c r="A72" s="103"/>
      <c r="B72" s="617"/>
      <c r="C72" s="618"/>
      <c r="D72" s="619"/>
      <c r="E72" s="217"/>
      <c r="F72" s="217"/>
      <c r="G72" s="217"/>
      <c r="H72" s="217"/>
      <c r="I72" s="222"/>
      <c r="J72" s="222"/>
      <c r="K72" s="529"/>
      <c r="L72" s="529"/>
    </row>
    <row r="73" spans="1:12" ht="13.2" x14ac:dyDescent="0.25">
      <c r="A73" s="103"/>
      <c r="B73" s="607" t="s">
        <v>1791</v>
      </c>
      <c r="C73" s="610"/>
      <c r="D73" s="613"/>
      <c r="E73" s="213"/>
      <c r="F73" s="213"/>
      <c r="G73" s="213"/>
      <c r="H73" s="213"/>
      <c r="I73" s="213"/>
      <c r="J73" s="222"/>
      <c r="K73" s="529"/>
      <c r="L73" s="529"/>
    </row>
    <row r="74" spans="1:12" ht="13.2" x14ac:dyDescent="0.25">
      <c r="A74" s="103"/>
      <c r="B74" s="607"/>
      <c r="C74" s="84" t="s">
        <v>394</v>
      </c>
      <c r="D74" s="84" t="s">
        <v>378</v>
      </c>
      <c r="E74" s="84" t="s">
        <v>379</v>
      </c>
      <c r="F74" s="84" t="s">
        <v>380</v>
      </c>
      <c r="G74" s="84" t="s">
        <v>381</v>
      </c>
      <c r="H74" s="84" t="s">
        <v>382</v>
      </c>
      <c r="I74" s="84" t="s">
        <v>383</v>
      </c>
      <c r="J74" s="222"/>
      <c r="K74" s="529"/>
      <c r="L74" s="529"/>
    </row>
    <row r="75" spans="1:12" ht="13.2" x14ac:dyDescent="0.25">
      <c r="A75" s="103"/>
      <c r="B75" s="611"/>
      <c r="C75" s="611"/>
      <c r="D75" s="611" t="s">
        <v>1781</v>
      </c>
      <c r="E75" s="611" t="s">
        <v>1782</v>
      </c>
      <c r="F75" s="611"/>
      <c r="G75" s="611"/>
      <c r="H75" s="611"/>
      <c r="I75" s="940" t="s">
        <v>2279</v>
      </c>
      <c r="J75" s="222"/>
      <c r="K75" s="529"/>
      <c r="L75" s="529"/>
    </row>
    <row r="76" spans="1:12" ht="13.2" x14ac:dyDescent="0.25">
      <c r="A76" s="103"/>
      <c r="B76" s="614" t="s">
        <v>1783</v>
      </c>
      <c r="C76" s="614" t="s">
        <v>1784</v>
      </c>
      <c r="D76" s="614" t="s">
        <v>1785</v>
      </c>
      <c r="E76" s="614" t="s">
        <v>1786</v>
      </c>
      <c r="F76" s="614" t="s">
        <v>1787</v>
      </c>
      <c r="G76" s="614" t="s">
        <v>1788</v>
      </c>
      <c r="H76" s="614" t="s">
        <v>1789</v>
      </c>
      <c r="I76" s="614" t="s">
        <v>111</v>
      </c>
      <c r="J76" s="222"/>
      <c r="K76" s="529"/>
      <c r="L76" s="529"/>
    </row>
    <row r="77" spans="1:12" ht="13.2" x14ac:dyDescent="0.25">
      <c r="A77" s="103"/>
      <c r="B77" s="608" t="s">
        <v>1790</v>
      </c>
      <c r="C77" s="608"/>
      <c r="D77" s="608"/>
      <c r="E77" s="213"/>
      <c r="F77" s="213"/>
      <c r="G77" s="213"/>
      <c r="H77" s="213"/>
      <c r="I77" s="213"/>
      <c r="J77" s="222"/>
      <c r="K77" s="529"/>
      <c r="L77" s="529"/>
    </row>
    <row r="78" spans="1:12" ht="13.2" x14ac:dyDescent="0.25">
      <c r="A78" s="170">
        <f>A71+1</f>
        <v>142</v>
      </c>
      <c r="B78" s="620" t="s">
        <v>1562</v>
      </c>
      <c r="C78" s="981" t="s">
        <v>1562</v>
      </c>
      <c r="D78" s="982">
        <v>0</v>
      </c>
      <c r="E78" s="982">
        <v>0</v>
      </c>
      <c r="F78" s="982">
        <v>0</v>
      </c>
      <c r="G78" s="982">
        <v>0</v>
      </c>
      <c r="H78" s="982">
        <v>0</v>
      </c>
      <c r="I78" s="983" t="s">
        <v>1562</v>
      </c>
      <c r="J78" s="383"/>
      <c r="K78" s="529"/>
      <c r="L78" s="529"/>
    </row>
    <row r="79" spans="1:12" ht="13.2" x14ac:dyDescent="0.25">
      <c r="A79" s="170">
        <f t="shared" si="1"/>
        <v>143</v>
      </c>
      <c r="B79" s="620" t="s">
        <v>1562</v>
      </c>
      <c r="C79" s="981" t="s">
        <v>1562</v>
      </c>
      <c r="D79" s="982">
        <v>0</v>
      </c>
      <c r="E79" s="982">
        <v>0</v>
      </c>
      <c r="F79" s="982">
        <v>0</v>
      </c>
      <c r="G79" s="982">
        <v>0</v>
      </c>
      <c r="H79" s="982">
        <v>0</v>
      </c>
      <c r="I79" s="983" t="s">
        <v>1562</v>
      </c>
      <c r="J79" s="383"/>
      <c r="K79" s="529"/>
      <c r="L79" s="529"/>
    </row>
    <row r="80" spans="1:12" ht="13.2" x14ac:dyDescent="0.25">
      <c r="A80" s="170">
        <f t="shared" si="1"/>
        <v>144</v>
      </c>
      <c r="B80" s="620" t="s">
        <v>1562</v>
      </c>
      <c r="C80" s="981" t="s">
        <v>1562</v>
      </c>
      <c r="D80" s="982">
        <v>0</v>
      </c>
      <c r="E80" s="982">
        <v>0</v>
      </c>
      <c r="F80" s="982">
        <v>0</v>
      </c>
      <c r="G80" s="982">
        <v>0</v>
      </c>
      <c r="H80" s="982">
        <v>0</v>
      </c>
      <c r="I80" s="983" t="s">
        <v>1562</v>
      </c>
      <c r="J80" s="383"/>
      <c r="K80" s="529"/>
      <c r="L80" s="529"/>
    </row>
    <row r="81" spans="1:12" ht="13.2" x14ac:dyDescent="0.25">
      <c r="A81" s="170">
        <f t="shared" si="1"/>
        <v>145</v>
      </c>
      <c r="B81" s="620" t="s">
        <v>1562</v>
      </c>
      <c r="C81" s="981" t="s">
        <v>1562</v>
      </c>
      <c r="D81" s="982">
        <v>0</v>
      </c>
      <c r="E81" s="982">
        <v>0</v>
      </c>
      <c r="F81" s="982">
        <v>0</v>
      </c>
      <c r="G81" s="982">
        <v>0</v>
      </c>
      <c r="H81" s="982">
        <v>0</v>
      </c>
      <c r="I81" s="983" t="s">
        <v>1562</v>
      </c>
      <c r="J81" s="383"/>
      <c r="K81" s="529"/>
      <c r="L81" s="529"/>
    </row>
    <row r="82" spans="1:12" ht="13.2" x14ac:dyDescent="0.25">
      <c r="A82" s="170">
        <f t="shared" si="1"/>
        <v>146</v>
      </c>
      <c r="B82" s="620" t="s">
        <v>1562</v>
      </c>
      <c r="C82" s="981" t="s">
        <v>1562</v>
      </c>
      <c r="D82" s="982">
        <v>0</v>
      </c>
      <c r="E82" s="982">
        <v>0</v>
      </c>
      <c r="F82" s="982">
        <v>0</v>
      </c>
      <c r="G82" s="982">
        <v>0</v>
      </c>
      <c r="H82" s="982">
        <v>0</v>
      </c>
      <c r="I82" s="983" t="s">
        <v>1562</v>
      </c>
      <c r="J82" s="383"/>
      <c r="K82" s="529"/>
      <c r="L82" s="529"/>
    </row>
    <row r="83" spans="1:12" ht="13.2" x14ac:dyDescent="0.25">
      <c r="A83" s="170">
        <f t="shared" si="1"/>
        <v>147</v>
      </c>
      <c r="B83" s="620" t="s">
        <v>1562</v>
      </c>
      <c r="C83" s="981" t="s">
        <v>1562</v>
      </c>
      <c r="D83" s="982">
        <v>0</v>
      </c>
      <c r="E83" s="982">
        <v>0</v>
      </c>
      <c r="F83" s="982">
        <v>0</v>
      </c>
      <c r="G83" s="982">
        <v>0</v>
      </c>
      <c r="H83" s="982">
        <v>0</v>
      </c>
      <c r="I83" s="983" t="s">
        <v>1562</v>
      </c>
      <c r="J83" s="383"/>
      <c r="K83" s="529"/>
      <c r="L83" s="529"/>
    </row>
    <row r="84" spans="1:12" ht="13.2" x14ac:dyDescent="0.25">
      <c r="A84" s="170">
        <f t="shared" si="1"/>
        <v>148</v>
      </c>
      <c r="B84" s="620" t="s">
        <v>1562</v>
      </c>
      <c r="C84" s="981" t="s">
        <v>1562</v>
      </c>
      <c r="D84" s="982">
        <v>0</v>
      </c>
      <c r="E84" s="982">
        <v>0</v>
      </c>
      <c r="F84" s="982">
        <v>0</v>
      </c>
      <c r="G84" s="982">
        <v>0</v>
      </c>
      <c r="H84" s="982">
        <v>0</v>
      </c>
      <c r="I84" s="983" t="s">
        <v>1562</v>
      </c>
      <c r="J84" s="383"/>
      <c r="K84" s="529"/>
      <c r="L84" s="529"/>
    </row>
    <row r="85" spans="1:12" ht="13.2" x14ac:dyDescent="0.25">
      <c r="A85" s="170">
        <f t="shared" si="1"/>
        <v>149</v>
      </c>
      <c r="B85" s="620" t="s">
        <v>1562</v>
      </c>
      <c r="C85" s="981" t="s">
        <v>1562</v>
      </c>
      <c r="D85" s="982">
        <v>0</v>
      </c>
      <c r="E85" s="982">
        <v>0</v>
      </c>
      <c r="F85" s="982">
        <v>0</v>
      </c>
      <c r="G85" s="982">
        <v>0</v>
      </c>
      <c r="H85" s="982">
        <v>0</v>
      </c>
      <c r="I85" s="983" t="s">
        <v>1562</v>
      </c>
      <c r="J85" s="383"/>
      <c r="K85" s="529"/>
      <c r="L85" s="529"/>
    </row>
    <row r="86" spans="1:12" ht="13.2" x14ac:dyDescent="0.25">
      <c r="A86" s="170">
        <f t="shared" si="1"/>
        <v>150</v>
      </c>
      <c r="B86" s="620" t="s">
        <v>1562</v>
      </c>
      <c r="C86" s="981" t="s">
        <v>1562</v>
      </c>
      <c r="D86" s="982">
        <v>0</v>
      </c>
      <c r="E86" s="982">
        <v>0</v>
      </c>
      <c r="F86" s="982">
        <v>0</v>
      </c>
      <c r="G86" s="982">
        <v>0</v>
      </c>
      <c r="H86" s="982">
        <v>0</v>
      </c>
      <c r="I86" s="983" t="s">
        <v>1562</v>
      </c>
      <c r="J86" s="383"/>
      <c r="K86" s="529"/>
      <c r="L86" s="529"/>
    </row>
    <row r="87" spans="1:12" ht="13.2" x14ac:dyDescent="0.25">
      <c r="A87" s="170">
        <f t="shared" si="1"/>
        <v>151</v>
      </c>
      <c r="B87" s="620" t="s">
        <v>1562</v>
      </c>
      <c r="C87" s="981" t="s">
        <v>1562</v>
      </c>
      <c r="D87" s="982">
        <v>0</v>
      </c>
      <c r="E87" s="982">
        <v>0</v>
      </c>
      <c r="F87" s="982">
        <v>0</v>
      </c>
      <c r="G87" s="982">
        <v>0</v>
      </c>
      <c r="H87" s="982">
        <v>0</v>
      </c>
      <c r="I87" s="983" t="s">
        <v>1562</v>
      </c>
      <c r="J87" s="383"/>
      <c r="K87" s="529"/>
      <c r="L87" s="529"/>
    </row>
    <row r="88" spans="1:12" ht="13.2" x14ac:dyDescent="0.25">
      <c r="A88" s="170">
        <f t="shared" si="1"/>
        <v>152</v>
      </c>
      <c r="B88" s="620" t="s">
        <v>1562</v>
      </c>
      <c r="C88" s="981" t="s">
        <v>1562</v>
      </c>
      <c r="D88" s="982">
        <v>0</v>
      </c>
      <c r="E88" s="982">
        <v>0</v>
      </c>
      <c r="F88" s="982">
        <v>0</v>
      </c>
      <c r="G88" s="982">
        <v>0</v>
      </c>
      <c r="H88" s="982">
        <v>0</v>
      </c>
      <c r="I88" s="983" t="s">
        <v>1562</v>
      </c>
      <c r="J88" s="383"/>
      <c r="K88" s="529"/>
      <c r="L88" s="529"/>
    </row>
    <row r="89" spans="1:12" ht="13.2" x14ac:dyDescent="0.25">
      <c r="A89" s="170">
        <f t="shared" si="1"/>
        <v>153</v>
      </c>
      <c r="B89" s="620" t="s">
        <v>1562</v>
      </c>
      <c r="C89" s="981" t="s">
        <v>1562</v>
      </c>
      <c r="D89" s="982">
        <v>0</v>
      </c>
      <c r="E89" s="982">
        <v>0</v>
      </c>
      <c r="F89" s="982">
        <v>0</v>
      </c>
      <c r="G89" s="982">
        <v>0</v>
      </c>
      <c r="H89" s="982">
        <v>0</v>
      </c>
      <c r="I89" s="983" t="s">
        <v>1562</v>
      </c>
      <c r="J89" s="383"/>
      <c r="K89" s="529"/>
      <c r="L89" s="529"/>
    </row>
    <row r="90" spans="1:12" ht="13.2" x14ac:dyDescent="0.25">
      <c r="A90" s="170">
        <f t="shared" si="1"/>
        <v>154</v>
      </c>
      <c r="B90" s="620" t="s">
        <v>1562</v>
      </c>
      <c r="C90" s="981" t="s">
        <v>1562</v>
      </c>
      <c r="D90" s="982">
        <v>0</v>
      </c>
      <c r="E90" s="982">
        <v>0</v>
      </c>
      <c r="F90" s="982">
        <v>0</v>
      </c>
      <c r="G90" s="982">
        <v>0</v>
      </c>
      <c r="H90" s="982">
        <v>0</v>
      </c>
      <c r="I90" s="983" t="s">
        <v>1562</v>
      </c>
      <c r="J90" s="383"/>
      <c r="K90" s="529"/>
      <c r="L90" s="529"/>
    </row>
    <row r="91" spans="1:12" ht="13.2" x14ac:dyDescent="0.25">
      <c r="A91" s="170">
        <f t="shared" si="1"/>
        <v>155</v>
      </c>
      <c r="B91" s="620" t="s">
        <v>1562</v>
      </c>
      <c r="C91" s="981" t="s">
        <v>1562</v>
      </c>
      <c r="D91" s="982">
        <v>0</v>
      </c>
      <c r="E91" s="982">
        <v>0</v>
      </c>
      <c r="F91" s="982">
        <v>0</v>
      </c>
      <c r="G91" s="982">
        <v>0</v>
      </c>
      <c r="H91" s="982">
        <v>0</v>
      </c>
      <c r="I91" s="983" t="s">
        <v>1562</v>
      </c>
      <c r="J91" s="383"/>
      <c r="K91" s="529"/>
      <c r="L91" s="529"/>
    </row>
    <row r="92" spans="1:12" ht="13.2" x14ac:dyDescent="0.25">
      <c r="A92" s="170">
        <f t="shared" si="1"/>
        <v>156</v>
      </c>
      <c r="B92" s="620" t="s">
        <v>1562</v>
      </c>
      <c r="C92" s="981" t="s">
        <v>1562</v>
      </c>
      <c r="D92" s="982">
        <v>0</v>
      </c>
      <c r="E92" s="982">
        <v>0</v>
      </c>
      <c r="F92" s="982">
        <v>0</v>
      </c>
      <c r="G92" s="982">
        <v>0</v>
      </c>
      <c r="H92" s="982">
        <v>0</v>
      </c>
      <c r="I92" s="983" t="s">
        <v>1562</v>
      </c>
      <c r="J92" s="383"/>
      <c r="K92" s="529"/>
      <c r="L92" s="529"/>
    </row>
    <row r="93" spans="1:12" ht="13.2" x14ac:dyDescent="0.25">
      <c r="A93" s="170">
        <f t="shared" si="1"/>
        <v>157</v>
      </c>
      <c r="B93" s="620" t="s">
        <v>1562</v>
      </c>
      <c r="C93" s="981" t="s">
        <v>1562</v>
      </c>
      <c r="D93" s="982">
        <v>0</v>
      </c>
      <c r="E93" s="982">
        <v>0</v>
      </c>
      <c r="F93" s="982">
        <v>0</v>
      </c>
      <c r="G93" s="982">
        <v>0</v>
      </c>
      <c r="H93" s="982">
        <v>0</v>
      </c>
      <c r="I93" s="983" t="s">
        <v>1562</v>
      </c>
      <c r="J93" s="733"/>
      <c r="K93" s="529"/>
      <c r="L93" s="529"/>
    </row>
    <row r="94" spans="1:12" ht="13.2" x14ac:dyDescent="0.25">
      <c r="A94" s="170">
        <f t="shared" si="1"/>
        <v>158</v>
      </c>
      <c r="B94" s="620" t="s">
        <v>1562</v>
      </c>
      <c r="C94" s="981" t="s">
        <v>1562</v>
      </c>
      <c r="D94" s="982">
        <v>0</v>
      </c>
      <c r="E94" s="982">
        <v>0</v>
      </c>
      <c r="F94" s="982">
        <v>0</v>
      </c>
      <c r="G94" s="982">
        <v>0</v>
      </c>
      <c r="H94" s="982">
        <v>0</v>
      </c>
      <c r="I94" s="983" t="s">
        <v>1562</v>
      </c>
      <c r="J94" s="383"/>
      <c r="K94" s="529"/>
      <c r="L94" s="529"/>
    </row>
    <row r="95" spans="1:12" ht="13.2" x14ac:dyDescent="0.25">
      <c r="A95" s="170">
        <f t="shared" ref="A95:A131" si="2">A94+1</f>
        <v>159</v>
      </c>
      <c r="B95" s="620" t="s">
        <v>1562</v>
      </c>
      <c r="C95" s="981" t="s">
        <v>1562</v>
      </c>
      <c r="D95" s="982">
        <v>0</v>
      </c>
      <c r="E95" s="982">
        <v>0</v>
      </c>
      <c r="F95" s="982">
        <v>0</v>
      </c>
      <c r="G95" s="982">
        <v>0</v>
      </c>
      <c r="H95" s="982">
        <v>0</v>
      </c>
      <c r="I95" s="983" t="s">
        <v>1562</v>
      </c>
      <c r="J95" s="383"/>
      <c r="K95" s="529"/>
      <c r="L95" s="529"/>
    </row>
    <row r="96" spans="1:12" ht="13.2" x14ac:dyDescent="0.25">
      <c r="A96" s="170">
        <f t="shared" si="2"/>
        <v>160</v>
      </c>
      <c r="B96" s="620" t="s">
        <v>1562</v>
      </c>
      <c r="C96" s="981" t="s">
        <v>1562</v>
      </c>
      <c r="D96" s="982">
        <v>0</v>
      </c>
      <c r="E96" s="982">
        <v>0</v>
      </c>
      <c r="F96" s="982">
        <v>0</v>
      </c>
      <c r="G96" s="982">
        <v>0</v>
      </c>
      <c r="H96" s="982">
        <v>0</v>
      </c>
      <c r="I96" s="983" t="s">
        <v>1562</v>
      </c>
      <c r="J96" s="383"/>
      <c r="K96" s="529"/>
      <c r="L96" s="529"/>
    </row>
    <row r="97" spans="1:12" ht="13.2" x14ac:dyDescent="0.25">
      <c r="A97" s="170">
        <f t="shared" si="2"/>
        <v>161</v>
      </c>
      <c r="B97" s="620" t="s">
        <v>1562</v>
      </c>
      <c r="C97" s="981" t="s">
        <v>1562</v>
      </c>
      <c r="D97" s="982">
        <v>0</v>
      </c>
      <c r="E97" s="982">
        <v>0</v>
      </c>
      <c r="F97" s="982">
        <v>0</v>
      </c>
      <c r="G97" s="982">
        <v>0</v>
      </c>
      <c r="H97" s="982">
        <v>0</v>
      </c>
      <c r="I97" s="983" t="s">
        <v>1562</v>
      </c>
      <c r="J97" s="383"/>
      <c r="K97" s="529"/>
      <c r="L97" s="529"/>
    </row>
    <row r="98" spans="1:12" ht="13.2" x14ac:dyDescent="0.25">
      <c r="A98" s="170">
        <f t="shared" si="2"/>
        <v>162</v>
      </c>
      <c r="B98" s="620" t="s">
        <v>1562</v>
      </c>
      <c r="C98" s="981" t="s">
        <v>1562</v>
      </c>
      <c r="D98" s="982">
        <v>0</v>
      </c>
      <c r="E98" s="982">
        <v>0</v>
      </c>
      <c r="F98" s="982">
        <v>0</v>
      </c>
      <c r="G98" s="982">
        <v>0</v>
      </c>
      <c r="H98" s="982">
        <v>0</v>
      </c>
      <c r="I98" s="983" t="s">
        <v>1562</v>
      </c>
      <c r="J98" s="383"/>
      <c r="K98" s="529"/>
      <c r="L98" s="529"/>
    </row>
    <row r="99" spans="1:12" ht="13.2" x14ac:dyDescent="0.25">
      <c r="A99" s="170">
        <f t="shared" si="2"/>
        <v>163</v>
      </c>
      <c r="B99" s="620" t="s">
        <v>1562</v>
      </c>
      <c r="C99" s="981" t="s">
        <v>1562</v>
      </c>
      <c r="D99" s="982">
        <v>0</v>
      </c>
      <c r="E99" s="982">
        <v>0</v>
      </c>
      <c r="F99" s="982">
        <v>0</v>
      </c>
      <c r="G99" s="982">
        <v>0</v>
      </c>
      <c r="H99" s="982">
        <v>0</v>
      </c>
      <c r="I99" s="983" t="s">
        <v>1562</v>
      </c>
      <c r="J99" s="383"/>
      <c r="K99" s="529"/>
      <c r="L99" s="529"/>
    </row>
    <row r="100" spans="1:12" ht="13.2" x14ac:dyDescent="0.25">
      <c r="A100" s="170">
        <f t="shared" si="2"/>
        <v>164</v>
      </c>
      <c r="B100" s="620" t="s">
        <v>1562</v>
      </c>
      <c r="C100" s="981" t="s">
        <v>1562</v>
      </c>
      <c r="D100" s="982">
        <v>0</v>
      </c>
      <c r="E100" s="982">
        <v>0</v>
      </c>
      <c r="F100" s="982">
        <v>0</v>
      </c>
      <c r="G100" s="982">
        <v>0</v>
      </c>
      <c r="H100" s="982">
        <v>0</v>
      </c>
      <c r="I100" s="983" t="s">
        <v>1562</v>
      </c>
      <c r="J100" s="383"/>
      <c r="K100" s="529"/>
      <c r="L100" s="529"/>
    </row>
    <row r="101" spans="1:12" ht="13.2" x14ac:dyDescent="0.25">
      <c r="A101" s="170">
        <f t="shared" si="2"/>
        <v>165</v>
      </c>
      <c r="B101" s="620" t="s">
        <v>1562</v>
      </c>
      <c r="C101" s="981" t="s">
        <v>1562</v>
      </c>
      <c r="D101" s="982">
        <v>0</v>
      </c>
      <c r="E101" s="982">
        <v>0</v>
      </c>
      <c r="F101" s="982">
        <v>0</v>
      </c>
      <c r="G101" s="982">
        <v>0</v>
      </c>
      <c r="H101" s="982">
        <v>0</v>
      </c>
      <c r="I101" s="983" t="s">
        <v>1562</v>
      </c>
      <c r="J101" s="383"/>
      <c r="K101" s="529"/>
      <c r="L101" s="529"/>
    </row>
    <row r="102" spans="1:12" ht="13.2" x14ac:dyDescent="0.25">
      <c r="A102" s="170">
        <f t="shared" si="2"/>
        <v>166</v>
      </c>
      <c r="B102" s="620" t="s">
        <v>1562</v>
      </c>
      <c r="C102" s="981" t="s">
        <v>1562</v>
      </c>
      <c r="D102" s="982">
        <v>0</v>
      </c>
      <c r="E102" s="982">
        <v>0</v>
      </c>
      <c r="F102" s="982">
        <v>0</v>
      </c>
      <c r="G102" s="982">
        <v>0</v>
      </c>
      <c r="H102" s="982">
        <v>0</v>
      </c>
      <c r="I102" s="983" t="s">
        <v>1562</v>
      </c>
      <c r="J102" s="383"/>
      <c r="K102" s="529"/>
      <c r="L102" s="529"/>
    </row>
    <row r="103" spans="1:12" ht="13.2" x14ac:dyDescent="0.25">
      <c r="A103" s="170">
        <f t="shared" si="2"/>
        <v>167</v>
      </c>
      <c r="B103" s="620" t="s">
        <v>1562</v>
      </c>
      <c r="C103" s="981" t="s">
        <v>1562</v>
      </c>
      <c r="D103" s="982">
        <v>0</v>
      </c>
      <c r="E103" s="982">
        <v>0</v>
      </c>
      <c r="F103" s="982">
        <v>0</v>
      </c>
      <c r="G103" s="982">
        <v>0</v>
      </c>
      <c r="H103" s="982">
        <v>0</v>
      </c>
      <c r="I103" s="983" t="s">
        <v>1562</v>
      </c>
      <c r="J103" s="383"/>
      <c r="K103" s="529"/>
      <c r="L103" s="529"/>
    </row>
    <row r="104" spans="1:12" ht="13.2" x14ac:dyDescent="0.25">
      <c r="A104" s="170">
        <f t="shared" si="2"/>
        <v>168</v>
      </c>
      <c r="B104" s="620" t="s">
        <v>1562</v>
      </c>
      <c r="C104" s="981" t="s">
        <v>1562</v>
      </c>
      <c r="D104" s="982">
        <v>0</v>
      </c>
      <c r="E104" s="982">
        <v>0</v>
      </c>
      <c r="F104" s="982">
        <v>0</v>
      </c>
      <c r="G104" s="982">
        <v>0</v>
      </c>
      <c r="H104" s="982">
        <v>0</v>
      </c>
      <c r="I104" s="983" t="s">
        <v>1562</v>
      </c>
      <c r="J104" s="383"/>
      <c r="K104" s="529"/>
      <c r="L104" s="529"/>
    </row>
    <row r="105" spans="1:12" ht="13.2" x14ac:dyDescent="0.25">
      <c r="A105" s="170">
        <f t="shared" si="2"/>
        <v>169</v>
      </c>
      <c r="B105" s="620" t="s">
        <v>1562</v>
      </c>
      <c r="C105" s="981" t="s">
        <v>1562</v>
      </c>
      <c r="D105" s="982">
        <v>0</v>
      </c>
      <c r="E105" s="982">
        <v>0</v>
      </c>
      <c r="F105" s="982">
        <v>0</v>
      </c>
      <c r="G105" s="982">
        <v>0</v>
      </c>
      <c r="H105" s="982">
        <v>0</v>
      </c>
      <c r="I105" s="983" t="s">
        <v>1562</v>
      </c>
      <c r="J105" s="383"/>
      <c r="K105" s="529"/>
      <c r="L105" s="529"/>
    </row>
    <row r="106" spans="1:12" ht="13.2" x14ac:dyDescent="0.25">
      <c r="A106" s="170">
        <f t="shared" si="2"/>
        <v>170</v>
      </c>
      <c r="B106" s="620" t="s">
        <v>1562</v>
      </c>
      <c r="C106" s="981" t="s">
        <v>1562</v>
      </c>
      <c r="D106" s="982">
        <v>0</v>
      </c>
      <c r="E106" s="982">
        <v>0</v>
      </c>
      <c r="F106" s="982">
        <v>0</v>
      </c>
      <c r="G106" s="982">
        <v>0</v>
      </c>
      <c r="H106" s="982">
        <v>0</v>
      </c>
      <c r="I106" s="983" t="s">
        <v>1562</v>
      </c>
      <c r="J106" s="383"/>
      <c r="K106" s="529"/>
      <c r="L106" s="529"/>
    </row>
    <row r="107" spans="1:12" ht="13.2" x14ac:dyDescent="0.25">
      <c r="A107" s="170">
        <f t="shared" si="2"/>
        <v>171</v>
      </c>
      <c r="B107" s="620" t="s">
        <v>1562</v>
      </c>
      <c r="C107" s="981" t="s">
        <v>1562</v>
      </c>
      <c r="D107" s="982">
        <v>0</v>
      </c>
      <c r="E107" s="982">
        <v>0</v>
      </c>
      <c r="F107" s="982">
        <v>0</v>
      </c>
      <c r="G107" s="982">
        <v>0</v>
      </c>
      <c r="H107" s="982">
        <v>0</v>
      </c>
      <c r="I107" s="983" t="s">
        <v>1562</v>
      </c>
      <c r="J107" s="383"/>
      <c r="K107" s="529"/>
      <c r="L107" s="529"/>
    </row>
    <row r="108" spans="1:12" ht="13.2" x14ac:dyDescent="0.25">
      <c r="A108" s="170">
        <f t="shared" si="2"/>
        <v>172</v>
      </c>
      <c r="B108" s="620" t="s">
        <v>1562</v>
      </c>
      <c r="C108" s="981" t="s">
        <v>1562</v>
      </c>
      <c r="D108" s="982">
        <v>0</v>
      </c>
      <c r="E108" s="982">
        <v>0</v>
      </c>
      <c r="F108" s="982">
        <v>0</v>
      </c>
      <c r="G108" s="982">
        <v>0</v>
      </c>
      <c r="H108" s="982">
        <v>0</v>
      </c>
      <c r="I108" s="983" t="s">
        <v>1562</v>
      </c>
      <c r="J108" s="383"/>
      <c r="K108" s="529"/>
      <c r="L108" s="529"/>
    </row>
    <row r="109" spans="1:12" ht="13.2" x14ac:dyDescent="0.25">
      <c r="A109" s="170">
        <f t="shared" si="2"/>
        <v>173</v>
      </c>
      <c r="B109" s="620" t="s">
        <v>1562</v>
      </c>
      <c r="C109" s="981" t="s">
        <v>1562</v>
      </c>
      <c r="D109" s="982">
        <v>0</v>
      </c>
      <c r="E109" s="982">
        <v>0</v>
      </c>
      <c r="F109" s="982">
        <v>0</v>
      </c>
      <c r="G109" s="982">
        <v>0</v>
      </c>
      <c r="H109" s="982">
        <v>0</v>
      </c>
      <c r="I109" s="983" t="s">
        <v>1562</v>
      </c>
      <c r="J109" s="383"/>
      <c r="K109" s="529"/>
      <c r="L109" s="529"/>
    </row>
    <row r="110" spans="1:12" ht="13.2" x14ac:dyDescent="0.25">
      <c r="A110" s="170">
        <f t="shared" si="2"/>
        <v>174</v>
      </c>
      <c r="B110" s="620" t="s">
        <v>1562</v>
      </c>
      <c r="C110" s="981" t="s">
        <v>1562</v>
      </c>
      <c r="D110" s="982">
        <v>0</v>
      </c>
      <c r="E110" s="982">
        <v>0</v>
      </c>
      <c r="F110" s="982">
        <v>0</v>
      </c>
      <c r="G110" s="982">
        <v>0</v>
      </c>
      <c r="H110" s="982">
        <v>0</v>
      </c>
      <c r="I110" s="983" t="s">
        <v>1562</v>
      </c>
      <c r="J110" s="383"/>
      <c r="K110" s="529"/>
      <c r="L110" s="529"/>
    </row>
    <row r="111" spans="1:12" ht="13.2" x14ac:dyDescent="0.25">
      <c r="A111" s="170">
        <f t="shared" si="2"/>
        <v>175</v>
      </c>
      <c r="B111" s="620" t="s">
        <v>563</v>
      </c>
      <c r="C111" s="981"/>
      <c r="D111" s="982"/>
      <c r="E111" s="982"/>
      <c r="F111" s="982"/>
      <c r="G111" s="982"/>
      <c r="H111" s="982"/>
      <c r="I111" s="983"/>
      <c r="J111" s="383"/>
      <c r="K111" s="529"/>
      <c r="L111" s="529"/>
    </row>
    <row r="112" spans="1:12" ht="13.2" x14ac:dyDescent="0.25">
      <c r="A112" s="577"/>
      <c r="B112" s="621"/>
      <c r="C112" s="608"/>
      <c r="D112" s="622"/>
      <c r="E112" s="215"/>
      <c r="F112" s="215"/>
      <c r="G112" s="215"/>
      <c r="H112" s="215"/>
      <c r="I112" s="343" t="s">
        <v>198</v>
      </c>
      <c r="J112" s="213"/>
      <c r="K112" s="529"/>
      <c r="L112" s="529"/>
    </row>
    <row r="113" spans="1:12" ht="13.2" x14ac:dyDescent="0.25">
      <c r="A113" s="103">
        <v>250</v>
      </c>
      <c r="B113" s="608"/>
      <c r="C113" s="608" t="s">
        <v>1792</v>
      </c>
      <c r="D113" s="968">
        <v>0</v>
      </c>
      <c r="E113" s="968">
        <v>0</v>
      </c>
      <c r="F113" s="968">
        <v>0</v>
      </c>
      <c r="G113" s="968">
        <v>0</v>
      </c>
      <c r="H113" s="968">
        <v>0</v>
      </c>
      <c r="I113" s="230" t="str">
        <f>"Sum of Above Lines beginning on Line "&amp;A30&amp;""</f>
        <v>Sum of Above Lines beginning on Line 100</v>
      </c>
      <c r="J113" s="213"/>
      <c r="K113" s="529"/>
      <c r="L113" s="529"/>
    </row>
    <row r="114" spans="1:12" ht="13.2" x14ac:dyDescent="0.25">
      <c r="A114" s="577"/>
      <c r="B114" s="608"/>
      <c r="C114" s="608"/>
      <c r="D114" s="624"/>
      <c r="E114" s="215"/>
      <c r="F114" s="215"/>
      <c r="G114" s="215"/>
      <c r="H114" s="215"/>
      <c r="I114" s="213"/>
      <c r="J114" s="213"/>
    </row>
    <row r="115" spans="1:12" ht="13.2" x14ac:dyDescent="0.25">
      <c r="A115" s="577"/>
      <c r="B115" s="608" t="s">
        <v>1793</v>
      </c>
      <c r="C115" s="608"/>
      <c r="D115" s="624"/>
      <c r="E115" s="215"/>
      <c r="F115" s="215"/>
      <c r="G115" s="215"/>
      <c r="H115" s="215"/>
      <c r="I115" s="940" t="s">
        <v>2279</v>
      </c>
      <c r="J115" s="213"/>
    </row>
    <row r="116" spans="1:12" x14ac:dyDescent="0.3">
      <c r="A116" s="577"/>
      <c r="C116" s="84" t="s">
        <v>394</v>
      </c>
      <c r="D116" s="84" t="s">
        <v>378</v>
      </c>
      <c r="E116" s="84" t="s">
        <v>379</v>
      </c>
      <c r="F116" s="84" t="s">
        <v>380</v>
      </c>
      <c r="G116" s="84" t="s">
        <v>381</v>
      </c>
      <c r="H116" s="84" t="s">
        <v>382</v>
      </c>
      <c r="I116" s="84" t="s">
        <v>383</v>
      </c>
      <c r="J116" s="213"/>
    </row>
    <row r="117" spans="1:12" ht="13.2" x14ac:dyDescent="0.25">
      <c r="A117" s="170">
        <v>300</v>
      </c>
      <c r="B117" s="620" t="s">
        <v>1562</v>
      </c>
      <c r="C117" s="981" t="s">
        <v>1562</v>
      </c>
      <c r="D117" s="982">
        <v>0</v>
      </c>
      <c r="E117" s="982">
        <v>0</v>
      </c>
      <c r="F117" s="982">
        <v>0</v>
      </c>
      <c r="G117" s="982">
        <v>0</v>
      </c>
      <c r="H117" s="982">
        <v>0</v>
      </c>
      <c r="I117" s="983" t="s">
        <v>1562</v>
      </c>
      <c r="J117" s="732"/>
    </row>
    <row r="118" spans="1:12" ht="13.2" x14ac:dyDescent="0.25">
      <c r="A118" s="170">
        <f t="shared" si="2"/>
        <v>301</v>
      </c>
      <c r="B118" s="620" t="s">
        <v>1562</v>
      </c>
      <c r="C118" s="981" t="s">
        <v>1562</v>
      </c>
      <c r="D118" s="982">
        <v>0</v>
      </c>
      <c r="E118" s="982">
        <v>0</v>
      </c>
      <c r="F118" s="982">
        <v>0</v>
      </c>
      <c r="G118" s="982">
        <v>0</v>
      </c>
      <c r="H118" s="982">
        <v>0</v>
      </c>
      <c r="I118" s="983" t="s">
        <v>1562</v>
      </c>
      <c r="J118" s="732"/>
    </row>
    <row r="119" spans="1:12" ht="13.2" x14ac:dyDescent="0.25">
      <c r="A119" s="170">
        <f t="shared" si="2"/>
        <v>302</v>
      </c>
      <c r="B119" s="620" t="s">
        <v>1562</v>
      </c>
      <c r="C119" s="981" t="s">
        <v>1562</v>
      </c>
      <c r="D119" s="982">
        <v>0</v>
      </c>
      <c r="E119" s="982">
        <v>0</v>
      </c>
      <c r="F119" s="982">
        <v>0</v>
      </c>
      <c r="G119" s="982">
        <v>0</v>
      </c>
      <c r="H119" s="982">
        <v>0</v>
      </c>
      <c r="I119" s="983" t="s">
        <v>1562</v>
      </c>
      <c r="J119" s="732"/>
    </row>
    <row r="120" spans="1:12" ht="13.2" x14ac:dyDescent="0.25">
      <c r="A120" s="170">
        <f t="shared" si="2"/>
        <v>303</v>
      </c>
      <c r="B120" s="620" t="s">
        <v>1562</v>
      </c>
      <c r="C120" s="981" t="s">
        <v>1562</v>
      </c>
      <c r="D120" s="982">
        <v>0</v>
      </c>
      <c r="E120" s="982">
        <v>0</v>
      </c>
      <c r="F120" s="982">
        <v>0</v>
      </c>
      <c r="G120" s="982">
        <v>0</v>
      </c>
      <c r="H120" s="982">
        <v>0</v>
      </c>
      <c r="I120" s="983" t="s">
        <v>1562</v>
      </c>
      <c r="J120" s="732"/>
    </row>
    <row r="121" spans="1:12" ht="13.2" x14ac:dyDescent="0.25">
      <c r="A121" s="170">
        <f t="shared" si="2"/>
        <v>304</v>
      </c>
      <c r="B121" s="620" t="s">
        <v>1562</v>
      </c>
      <c r="C121" s="981" t="s">
        <v>1562</v>
      </c>
      <c r="D121" s="982">
        <v>0</v>
      </c>
      <c r="E121" s="982">
        <v>0</v>
      </c>
      <c r="F121" s="982">
        <v>0</v>
      </c>
      <c r="G121" s="982">
        <v>0</v>
      </c>
      <c r="H121" s="982">
        <v>0</v>
      </c>
      <c r="I121" s="983" t="s">
        <v>1562</v>
      </c>
      <c r="J121" s="732"/>
    </row>
    <row r="122" spans="1:12" ht="13.2" x14ac:dyDescent="0.25">
      <c r="A122" s="170">
        <f t="shared" si="2"/>
        <v>305</v>
      </c>
      <c r="B122" s="620" t="s">
        <v>1562</v>
      </c>
      <c r="C122" s="981" t="s">
        <v>1562</v>
      </c>
      <c r="D122" s="982">
        <v>0</v>
      </c>
      <c r="E122" s="982">
        <v>0</v>
      </c>
      <c r="F122" s="982">
        <v>0</v>
      </c>
      <c r="G122" s="982">
        <v>0</v>
      </c>
      <c r="H122" s="982">
        <v>0</v>
      </c>
      <c r="I122" s="983" t="s">
        <v>1562</v>
      </c>
      <c r="J122" s="383"/>
    </row>
    <row r="123" spans="1:12" ht="13.2" x14ac:dyDescent="0.25">
      <c r="A123" s="170">
        <f t="shared" si="2"/>
        <v>306</v>
      </c>
      <c r="B123" s="620" t="s">
        <v>1562</v>
      </c>
      <c r="C123" s="981" t="s">
        <v>1562</v>
      </c>
      <c r="D123" s="982">
        <v>0</v>
      </c>
      <c r="E123" s="982">
        <v>0</v>
      </c>
      <c r="F123" s="982">
        <v>0</v>
      </c>
      <c r="G123" s="982">
        <v>0</v>
      </c>
      <c r="H123" s="982">
        <v>0</v>
      </c>
      <c r="I123" s="983" t="s">
        <v>1562</v>
      </c>
      <c r="J123" s="383"/>
    </row>
    <row r="124" spans="1:12" ht="13.2" x14ac:dyDescent="0.25">
      <c r="A124" s="170">
        <f t="shared" si="2"/>
        <v>307</v>
      </c>
      <c r="B124" s="620" t="s">
        <v>1562</v>
      </c>
      <c r="C124" s="981" t="s">
        <v>1562</v>
      </c>
      <c r="D124" s="982">
        <v>0</v>
      </c>
      <c r="E124" s="982">
        <v>0</v>
      </c>
      <c r="F124" s="982">
        <v>0</v>
      </c>
      <c r="G124" s="982">
        <v>0</v>
      </c>
      <c r="H124" s="982">
        <v>0</v>
      </c>
      <c r="I124" s="983" t="s">
        <v>1562</v>
      </c>
      <c r="J124" s="383"/>
    </row>
    <row r="125" spans="1:12" ht="13.2" x14ac:dyDescent="0.25">
      <c r="A125" s="170">
        <f t="shared" si="2"/>
        <v>308</v>
      </c>
      <c r="B125" s="620" t="s">
        <v>1562</v>
      </c>
      <c r="C125" s="981" t="s">
        <v>1562</v>
      </c>
      <c r="D125" s="982">
        <v>0</v>
      </c>
      <c r="E125" s="982">
        <v>0</v>
      </c>
      <c r="F125" s="982">
        <v>0</v>
      </c>
      <c r="G125" s="982">
        <v>0</v>
      </c>
      <c r="H125" s="982">
        <v>0</v>
      </c>
      <c r="I125" s="983" t="s">
        <v>1562</v>
      </c>
      <c r="J125" s="383"/>
    </row>
    <row r="126" spans="1:12" ht="13.2" x14ac:dyDescent="0.25">
      <c r="A126" s="170">
        <f t="shared" si="2"/>
        <v>309</v>
      </c>
      <c r="B126" s="620" t="s">
        <v>1562</v>
      </c>
      <c r="C126" s="981" t="s">
        <v>1562</v>
      </c>
      <c r="D126" s="982">
        <v>0</v>
      </c>
      <c r="E126" s="982">
        <v>0</v>
      </c>
      <c r="F126" s="982">
        <v>0</v>
      </c>
      <c r="G126" s="982">
        <v>0</v>
      </c>
      <c r="H126" s="982">
        <v>0</v>
      </c>
      <c r="I126" s="983" t="s">
        <v>1562</v>
      </c>
      <c r="J126" s="383"/>
    </row>
    <row r="127" spans="1:12" ht="13.2" x14ac:dyDescent="0.25">
      <c r="A127" s="170">
        <f t="shared" si="2"/>
        <v>310</v>
      </c>
      <c r="B127" s="620" t="s">
        <v>1562</v>
      </c>
      <c r="C127" s="981" t="s">
        <v>1562</v>
      </c>
      <c r="D127" s="982">
        <v>0</v>
      </c>
      <c r="E127" s="982">
        <v>0</v>
      </c>
      <c r="F127" s="982">
        <v>0</v>
      </c>
      <c r="G127" s="982">
        <v>0</v>
      </c>
      <c r="H127" s="982">
        <v>0</v>
      </c>
      <c r="I127" s="983" t="s">
        <v>1562</v>
      </c>
      <c r="J127" s="383"/>
    </row>
    <row r="128" spans="1:12" ht="13.2" x14ac:dyDescent="0.25">
      <c r="A128" s="170">
        <f t="shared" si="2"/>
        <v>311</v>
      </c>
      <c r="B128" s="620" t="s">
        <v>1562</v>
      </c>
      <c r="C128" s="981" t="s">
        <v>1562</v>
      </c>
      <c r="D128" s="982">
        <v>0</v>
      </c>
      <c r="E128" s="982">
        <v>0</v>
      </c>
      <c r="F128" s="982">
        <v>0</v>
      </c>
      <c r="G128" s="982">
        <v>0</v>
      </c>
      <c r="H128" s="982">
        <v>0</v>
      </c>
      <c r="I128" s="983" t="s">
        <v>1562</v>
      </c>
      <c r="J128" s="383"/>
    </row>
    <row r="129" spans="1:10" ht="13.2" x14ac:dyDescent="0.25">
      <c r="A129" s="170">
        <f t="shared" si="2"/>
        <v>312</v>
      </c>
      <c r="B129" s="620" t="s">
        <v>1562</v>
      </c>
      <c r="C129" s="981" t="s">
        <v>1562</v>
      </c>
      <c r="D129" s="982">
        <v>0</v>
      </c>
      <c r="E129" s="982">
        <v>0</v>
      </c>
      <c r="F129" s="982">
        <v>0</v>
      </c>
      <c r="G129" s="982">
        <v>0</v>
      </c>
      <c r="H129" s="982">
        <v>0</v>
      </c>
      <c r="I129" s="983" t="s">
        <v>1562</v>
      </c>
      <c r="J129" s="383"/>
    </row>
    <row r="130" spans="1:10" ht="13.2" x14ac:dyDescent="0.25">
      <c r="A130" s="170">
        <f t="shared" si="2"/>
        <v>313</v>
      </c>
      <c r="B130" s="620" t="s">
        <v>1562</v>
      </c>
      <c r="C130" s="981" t="s">
        <v>1562</v>
      </c>
      <c r="D130" s="982">
        <v>0</v>
      </c>
      <c r="E130" s="982">
        <v>0</v>
      </c>
      <c r="F130" s="982">
        <v>0</v>
      </c>
      <c r="G130" s="982">
        <v>0</v>
      </c>
      <c r="H130" s="982">
        <v>0</v>
      </c>
      <c r="I130" s="983" t="s">
        <v>1562</v>
      </c>
      <c r="J130" s="383"/>
    </row>
    <row r="131" spans="1:10" ht="13.2" x14ac:dyDescent="0.25">
      <c r="A131" s="170">
        <f t="shared" si="2"/>
        <v>314</v>
      </c>
      <c r="B131" s="620" t="s">
        <v>563</v>
      </c>
      <c r="C131" s="615"/>
      <c r="D131" s="616"/>
      <c r="E131" s="218"/>
      <c r="F131" s="218"/>
      <c r="G131" s="218"/>
      <c r="H131" s="218"/>
      <c r="I131" s="383"/>
      <c r="J131" s="383"/>
    </row>
    <row r="132" spans="1:10" ht="13.2" x14ac:dyDescent="0.25">
      <c r="A132" s="577"/>
      <c r="B132" s="621"/>
      <c r="C132" s="618"/>
      <c r="D132" s="619"/>
      <c r="E132" s="217"/>
      <c r="F132" s="217"/>
      <c r="G132" s="217"/>
      <c r="H132" s="217"/>
      <c r="I132" s="222"/>
      <c r="J132" s="222"/>
    </row>
    <row r="133" spans="1:10" ht="13.2" x14ac:dyDescent="0.25">
      <c r="A133" s="577"/>
      <c r="B133" s="621"/>
      <c r="C133" s="84" t="s">
        <v>394</v>
      </c>
      <c r="D133" s="84" t="s">
        <v>378</v>
      </c>
      <c r="E133" s="84" t="s">
        <v>379</v>
      </c>
      <c r="F133" s="84" t="s">
        <v>380</v>
      </c>
      <c r="G133" s="84" t="s">
        <v>381</v>
      </c>
      <c r="H133" s="84" t="s">
        <v>382</v>
      </c>
      <c r="I133" s="343" t="s">
        <v>198</v>
      </c>
      <c r="J133" s="213"/>
    </row>
    <row r="134" spans="1:10" ht="13.2" x14ac:dyDescent="0.25">
      <c r="A134" s="552">
        <v>350</v>
      </c>
      <c r="B134" s="608"/>
      <c r="C134" s="608" t="s">
        <v>1794</v>
      </c>
      <c r="D134" s="968">
        <v>0</v>
      </c>
      <c r="E134" s="968">
        <v>0</v>
      </c>
      <c r="F134" s="968">
        <v>0</v>
      </c>
      <c r="G134" s="968">
        <v>0</v>
      </c>
      <c r="H134" s="968">
        <v>0</v>
      </c>
      <c r="I134" s="230" t="str">
        <f>"Sum of Above Lines beginning on Line "&amp;A117&amp;""</f>
        <v>Sum of Above Lines beginning on Line 300</v>
      </c>
      <c r="J134" s="213"/>
    </row>
    <row r="135" spans="1:10" ht="13.2" x14ac:dyDescent="0.25">
      <c r="A135" s="552"/>
      <c r="B135" s="608"/>
      <c r="C135" s="608"/>
      <c r="D135" s="623"/>
      <c r="E135" s="623"/>
      <c r="F135" s="623"/>
      <c r="G135" s="623"/>
      <c r="H135" s="623"/>
      <c r="I135" s="230"/>
      <c r="J135" s="213"/>
    </row>
    <row r="136" spans="1:10" ht="13.2" x14ac:dyDescent="0.25">
      <c r="A136" s="552">
        <f t="shared" ref="A136" si="3">A134+1</f>
        <v>351</v>
      </c>
      <c r="B136" s="608"/>
      <c r="C136" s="608" t="s">
        <v>1795</v>
      </c>
      <c r="D136" s="968">
        <v>0</v>
      </c>
      <c r="E136" s="968">
        <v>0</v>
      </c>
      <c r="F136" s="968">
        <v>0</v>
      </c>
      <c r="G136" s="968">
        <v>0</v>
      </c>
      <c r="H136" s="968">
        <v>0</v>
      </c>
      <c r="I136" s="535" t="str">
        <f>"Line "&amp;A113&amp;" + Line "&amp;A134&amp;""</f>
        <v>Line 250 + Line 350</v>
      </c>
      <c r="J136" s="213"/>
    </row>
    <row r="137" spans="1:10" ht="13.2" x14ac:dyDescent="0.25">
      <c r="A137" s="552">
        <f>+A136+1</f>
        <v>352</v>
      </c>
      <c r="B137" s="608"/>
      <c r="C137" s="608" t="s">
        <v>1845</v>
      </c>
      <c r="D137" s="623"/>
      <c r="E137" s="623"/>
      <c r="F137" s="623"/>
      <c r="G137" s="976" t="s">
        <v>2690</v>
      </c>
      <c r="H137" s="976" t="s">
        <v>2690</v>
      </c>
      <c r="I137" s="734" t="str">
        <f>"27-Allocators Lines "&amp;'27-Allocators'!A28&amp;" and "&amp;'27-Allocators'!A15&amp;" respectively."</f>
        <v>27-Allocators Lines 22 and 9 respectively.</v>
      </c>
      <c r="J137" s="213"/>
    </row>
    <row r="138" spans="1:10" ht="13.2" x14ac:dyDescent="0.25">
      <c r="A138" s="552">
        <f>+A137+1</f>
        <v>353</v>
      </c>
      <c r="B138" s="608"/>
      <c r="C138" s="608" t="s">
        <v>1846</v>
      </c>
      <c r="D138" s="968">
        <v>0</v>
      </c>
      <c r="E138" s="623"/>
      <c r="F138" s="968">
        <v>0</v>
      </c>
      <c r="G138" s="968">
        <v>0</v>
      </c>
      <c r="H138" s="968">
        <v>0</v>
      </c>
      <c r="I138" s="535" t="str">
        <f>"Line "&amp;A136&amp;" * Line "&amp;A137&amp;" for Cols 5 and 6.  Col. 4 100% ISO."</f>
        <v>Line 351 * Line 352 for Cols 5 and 6.  Col. 4 100% ISO.</v>
      </c>
      <c r="J138" s="213"/>
    </row>
    <row r="139" spans="1:10" ht="13.2" x14ac:dyDescent="0.25">
      <c r="A139" s="552"/>
      <c r="B139" s="608"/>
      <c r="C139" s="625" t="s">
        <v>1848</v>
      </c>
      <c r="D139" s="623"/>
      <c r="E139" s="623"/>
      <c r="F139" s="623"/>
      <c r="G139" s="623"/>
      <c r="H139" s="623"/>
      <c r="I139" s="535"/>
      <c r="J139" s="213"/>
    </row>
    <row r="140" spans="1:10" ht="13.2" x14ac:dyDescent="0.25">
      <c r="A140" s="552"/>
      <c r="B140" s="608"/>
      <c r="C140" s="608"/>
      <c r="D140" s="623"/>
      <c r="E140" s="623"/>
      <c r="F140" s="623"/>
      <c r="G140" s="623"/>
      <c r="H140" s="623"/>
      <c r="I140" s="535"/>
      <c r="J140" s="213"/>
    </row>
    <row r="141" spans="1:10" x14ac:dyDescent="0.3">
      <c r="A141" s="552">
        <f>+A138+1</f>
        <v>354</v>
      </c>
      <c r="B141" s="608"/>
      <c r="C141" s="608" t="s">
        <v>1796</v>
      </c>
      <c r="D141" s="982">
        <v>0</v>
      </c>
      <c r="E141" s="627" t="str">
        <f>"Must match amount on Line "&amp;A136&amp;", Col. 2"</f>
        <v>Must match amount on Line 351, Col. 2</v>
      </c>
      <c r="G141" s="623"/>
      <c r="H141" s="623"/>
      <c r="I141" s="535" t="s">
        <v>1359</v>
      </c>
      <c r="J141" s="213"/>
    </row>
    <row r="142" spans="1:10" ht="13.2" x14ac:dyDescent="0.25">
      <c r="A142" s="577"/>
      <c r="B142" s="608"/>
      <c r="C142" s="608"/>
      <c r="D142" s="628"/>
      <c r="E142" s="628"/>
      <c r="F142" s="628"/>
      <c r="G142" s="628"/>
      <c r="H142" s="628"/>
      <c r="I142" s="536"/>
      <c r="J142" s="213"/>
    </row>
    <row r="143" spans="1:10" ht="13.2" x14ac:dyDescent="0.25">
      <c r="A143" s="466"/>
      <c r="B143" s="607" t="s">
        <v>1797</v>
      </c>
      <c r="C143" s="629"/>
      <c r="D143" s="628"/>
      <c r="E143" s="213"/>
      <c r="F143" s="213"/>
      <c r="G143" s="213"/>
      <c r="H143" s="213"/>
      <c r="I143" s="213"/>
      <c r="J143" s="213"/>
    </row>
    <row r="144" spans="1:10" x14ac:dyDescent="0.3">
      <c r="A144" s="466"/>
      <c r="C144" s="84" t="s">
        <v>394</v>
      </c>
      <c r="D144" s="84" t="s">
        <v>378</v>
      </c>
      <c r="E144" s="84" t="s">
        <v>379</v>
      </c>
      <c r="F144" s="84" t="s">
        <v>380</v>
      </c>
      <c r="G144" s="84" t="s">
        <v>381</v>
      </c>
      <c r="H144" s="84" t="s">
        <v>382</v>
      </c>
      <c r="I144" s="84" t="s">
        <v>383</v>
      </c>
      <c r="J144" s="213"/>
    </row>
    <row r="145" spans="1:10" ht="13.2" x14ac:dyDescent="0.25">
      <c r="A145" s="466"/>
      <c r="B145" s="611"/>
      <c r="C145" s="611"/>
      <c r="D145" s="611" t="s">
        <v>1781</v>
      </c>
      <c r="E145" s="611" t="s">
        <v>1782</v>
      </c>
      <c r="F145" s="611"/>
      <c r="G145" s="611"/>
      <c r="H145" s="611" t="s">
        <v>1421</v>
      </c>
      <c r="I145" s="940" t="s">
        <v>2279</v>
      </c>
      <c r="J145" s="213"/>
    </row>
    <row r="146" spans="1:10" ht="13.2" x14ac:dyDescent="0.25">
      <c r="A146" s="466"/>
      <c r="B146" s="614" t="s">
        <v>1798</v>
      </c>
      <c r="C146" s="614" t="s">
        <v>1784</v>
      </c>
      <c r="D146" s="614" t="s">
        <v>1785</v>
      </c>
      <c r="E146" s="614" t="s">
        <v>1786</v>
      </c>
      <c r="F146" s="614" t="s">
        <v>1787</v>
      </c>
      <c r="G146" s="614" t="s">
        <v>1788</v>
      </c>
      <c r="H146" s="614" t="s">
        <v>1775</v>
      </c>
      <c r="I146" s="614" t="s">
        <v>111</v>
      </c>
      <c r="J146" s="213"/>
    </row>
    <row r="147" spans="1:10" ht="13.2" x14ac:dyDescent="0.25">
      <c r="A147" s="170">
        <v>400</v>
      </c>
      <c r="B147" s="620" t="s">
        <v>1562</v>
      </c>
      <c r="C147" s="981" t="s">
        <v>1562</v>
      </c>
      <c r="D147" s="982">
        <v>0</v>
      </c>
      <c r="E147" s="982">
        <v>0</v>
      </c>
      <c r="F147" s="982">
        <v>0</v>
      </c>
      <c r="G147" s="982">
        <v>0</v>
      </c>
      <c r="H147" s="982">
        <v>0</v>
      </c>
      <c r="I147" s="983" t="s">
        <v>1562</v>
      </c>
      <c r="J147" s="732"/>
    </row>
    <row r="148" spans="1:10" ht="13.2" x14ac:dyDescent="0.25">
      <c r="A148" s="170">
        <f t="shared" ref="A148:A167" si="4">A147+1</f>
        <v>401</v>
      </c>
      <c r="B148" s="620" t="s">
        <v>1562</v>
      </c>
      <c r="C148" s="981" t="s">
        <v>1562</v>
      </c>
      <c r="D148" s="982">
        <v>0</v>
      </c>
      <c r="E148" s="982">
        <v>0</v>
      </c>
      <c r="F148" s="982">
        <v>0</v>
      </c>
      <c r="G148" s="982">
        <v>0</v>
      </c>
      <c r="H148" s="982">
        <v>0</v>
      </c>
      <c r="I148" s="983" t="s">
        <v>1562</v>
      </c>
      <c r="J148" s="732"/>
    </row>
    <row r="149" spans="1:10" ht="13.2" x14ac:dyDescent="0.25">
      <c r="A149" s="170">
        <f t="shared" si="4"/>
        <v>402</v>
      </c>
      <c r="B149" s="620" t="s">
        <v>1562</v>
      </c>
      <c r="C149" s="981" t="s">
        <v>1562</v>
      </c>
      <c r="D149" s="982">
        <v>0</v>
      </c>
      <c r="E149" s="982">
        <v>0</v>
      </c>
      <c r="F149" s="982">
        <v>0</v>
      </c>
      <c r="G149" s="982">
        <v>0</v>
      </c>
      <c r="H149" s="982">
        <v>0</v>
      </c>
      <c r="I149" s="983" t="s">
        <v>1562</v>
      </c>
      <c r="J149" s="732"/>
    </row>
    <row r="150" spans="1:10" ht="13.2" x14ac:dyDescent="0.25">
      <c r="A150" s="170">
        <f t="shared" si="4"/>
        <v>403</v>
      </c>
      <c r="B150" s="620" t="s">
        <v>1562</v>
      </c>
      <c r="C150" s="981" t="s">
        <v>1562</v>
      </c>
      <c r="D150" s="982">
        <v>0</v>
      </c>
      <c r="E150" s="982">
        <v>0</v>
      </c>
      <c r="F150" s="982">
        <v>0</v>
      </c>
      <c r="G150" s="982">
        <v>0</v>
      </c>
      <c r="H150" s="982">
        <v>0</v>
      </c>
      <c r="I150" s="983" t="s">
        <v>1562</v>
      </c>
      <c r="J150" s="732"/>
    </row>
    <row r="151" spans="1:10" ht="13.2" x14ac:dyDescent="0.25">
      <c r="A151" s="170">
        <f t="shared" si="4"/>
        <v>404</v>
      </c>
      <c r="B151" s="620" t="s">
        <v>1562</v>
      </c>
      <c r="C151" s="981" t="s">
        <v>1562</v>
      </c>
      <c r="D151" s="982">
        <v>0</v>
      </c>
      <c r="E151" s="982">
        <v>0</v>
      </c>
      <c r="F151" s="982">
        <v>0</v>
      </c>
      <c r="G151" s="982">
        <v>0</v>
      </c>
      <c r="H151" s="982">
        <v>0</v>
      </c>
      <c r="I151" s="983" t="s">
        <v>1562</v>
      </c>
      <c r="J151" s="732"/>
    </row>
    <row r="152" spans="1:10" ht="13.2" x14ac:dyDescent="0.25">
      <c r="A152" s="170">
        <f t="shared" si="4"/>
        <v>405</v>
      </c>
      <c r="B152" s="620" t="s">
        <v>1562</v>
      </c>
      <c r="C152" s="981" t="s">
        <v>1562</v>
      </c>
      <c r="D152" s="982">
        <v>0</v>
      </c>
      <c r="E152" s="982">
        <v>0</v>
      </c>
      <c r="F152" s="982">
        <v>0</v>
      </c>
      <c r="G152" s="982">
        <v>0</v>
      </c>
      <c r="H152" s="982">
        <v>0</v>
      </c>
      <c r="I152" s="983" t="s">
        <v>1562</v>
      </c>
      <c r="J152" s="732"/>
    </row>
    <row r="153" spans="1:10" ht="13.2" x14ac:dyDescent="0.25">
      <c r="A153" s="170">
        <f t="shared" si="4"/>
        <v>406</v>
      </c>
      <c r="B153" s="620" t="s">
        <v>1562</v>
      </c>
      <c r="C153" s="981" t="s">
        <v>1562</v>
      </c>
      <c r="D153" s="982">
        <v>0</v>
      </c>
      <c r="E153" s="982">
        <v>0</v>
      </c>
      <c r="F153" s="982">
        <v>0</v>
      </c>
      <c r="G153" s="982">
        <v>0</v>
      </c>
      <c r="H153" s="982">
        <v>0</v>
      </c>
      <c r="I153" s="983" t="s">
        <v>1562</v>
      </c>
      <c r="J153" s="732"/>
    </row>
    <row r="154" spans="1:10" ht="13.2" x14ac:dyDescent="0.25">
      <c r="A154" s="170">
        <f t="shared" si="4"/>
        <v>407</v>
      </c>
      <c r="B154" s="620" t="s">
        <v>1562</v>
      </c>
      <c r="C154" s="981" t="s">
        <v>1562</v>
      </c>
      <c r="D154" s="982">
        <v>0</v>
      </c>
      <c r="E154" s="982">
        <v>0</v>
      </c>
      <c r="F154" s="982">
        <v>0</v>
      </c>
      <c r="G154" s="982">
        <v>0</v>
      </c>
      <c r="H154" s="982">
        <v>0</v>
      </c>
      <c r="I154" s="983" t="s">
        <v>1562</v>
      </c>
      <c r="J154" s="732"/>
    </row>
    <row r="155" spans="1:10" ht="13.2" x14ac:dyDescent="0.25">
      <c r="A155" s="170">
        <f t="shared" si="4"/>
        <v>408</v>
      </c>
      <c r="B155" s="620" t="s">
        <v>1562</v>
      </c>
      <c r="C155" s="981" t="s">
        <v>1562</v>
      </c>
      <c r="D155" s="982">
        <v>0</v>
      </c>
      <c r="E155" s="982">
        <v>0</v>
      </c>
      <c r="F155" s="982">
        <v>0</v>
      </c>
      <c r="G155" s="982">
        <v>0</v>
      </c>
      <c r="H155" s="982">
        <v>0</v>
      </c>
      <c r="I155" s="983" t="s">
        <v>1562</v>
      </c>
      <c r="J155" s="732"/>
    </row>
    <row r="156" spans="1:10" ht="13.2" x14ac:dyDescent="0.25">
      <c r="A156" s="170">
        <f t="shared" si="4"/>
        <v>409</v>
      </c>
      <c r="B156" s="620" t="s">
        <v>1562</v>
      </c>
      <c r="C156" s="981" t="s">
        <v>1562</v>
      </c>
      <c r="D156" s="982">
        <v>0</v>
      </c>
      <c r="E156" s="982">
        <v>0</v>
      </c>
      <c r="F156" s="982">
        <v>0</v>
      </c>
      <c r="G156" s="982">
        <v>0</v>
      </c>
      <c r="H156" s="982">
        <v>0</v>
      </c>
      <c r="I156" s="983" t="s">
        <v>1562</v>
      </c>
      <c r="J156" s="732"/>
    </row>
    <row r="157" spans="1:10" ht="13.2" x14ac:dyDescent="0.25">
      <c r="A157" s="170">
        <f t="shared" si="4"/>
        <v>410</v>
      </c>
      <c r="B157" s="620" t="s">
        <v>1562</v>
      </c>
      <c r="C157" s="981" t="s">
        <v>1562</v>
      </c>
      <c r="D157" s="982">
        <v>0</v>
      </c>
      <c r="E157" s="982">
        <v>0</v>
      </c>
      <c r="F157" s="982">
        <v>0</v>
      </c>
      <c r="G157" s="982">
        <v>0</v>
      </c>
      <c r="H157" s="982">
        <v>0</v>
      </c>
      <c r="I157" s="983" t="s">
        <v>1562</v>
      </c>
      <c r="J157" s="383"/>
    </row>
    <row r="158" spans="1:10" ht="13.2" x14ac:dyDescent="0.25">
      <c r="A158" s="170">
        <f t="shared" si="4"/>
        <v>411</v>
      </c>
      <c r="B158" s="620" t="s">
        <v>1562</v>
      </c>
      <c r="C158" s="981" t="s">
        <v>1562</v>
      </c>
      <c r="D158" s="982">
        <v>0</v>
      </c>
      <c r="E158" s="982">
        <v>0</v>
      </c>
      <c r="F158" s="982">
        <v>0</v>
      </c>
      <c r="G158" s="982">
        <v>0</v>
      </c>
      <c r="H158" s="982">
        <v>0</v>
      </c>
      <c r="I158" s="983" t="s">
        <v>1562</v>
      </c>
      <c r="J158" s="383"/>
    </row>
    <row r="159" spans="1:10" ht="13.2" x14ac:dyDescent="0.25">
      <c r="A159" s="170">
        <f t="shared" si="4"/>
        <v>412</v>
      </c>
      <c r="B159" s="620" t="s">
        <v>1562</v>
      </c>
      <c r="C159" s="981" t="s">
        <v>1562</v>
      </c>
      <c r="D159" s="982">
        <v>0</v>
      </c>
      <c r="E159" s="982">
        <v>0</v>
      </c>
      <c r="F159" s="982">
        <v>0</v>
      </c>
      <c r="G159" s="982">
        <v>0</v>
      </c>
      <c r="H159" s="982">
        <v>0</v>
      </c>
      <c r="I159" s="983" t="s">
        <v>1562</v>
      </c>
      <c r="J159" s="383"/>
    </row>
    <row r="160" spans="1:10" ht="13.2" x14ac:dyDescent="0.25">
      <c r="A160" s="170">
        <f t="shared" si="4"/>
        <v>413</v>
      </c>
      <c r="B160" s="620" t="s">
        <v>1562</v>
      </c>
      <c r="C160" s="981" t="s">
        <v>1562</v>
      </c>
      <c r="D160" s="982">
        <v>0</v>
      </c>
      <c r="E160" s="982">
        <v>0</v>
      </c>
      <c r="F160" s="982">
        <v>0</v>
      </c>
      <c r="G160" s="982">
        <v>0</v>
      </c>
      <c r="H160" s="982">
        <v>0</v>
      </c>
      <c r="I160" s="983" t="s">
        <v>1562</v>
      </c>
      <c r="J160" s="383"/>
    </row>
    <row r="161" spans="1:10" ht="13.2" x14ac:dyDescent="0.25">
      <c r="A161" s="170">
        <f t="shared" si="4"/>
        <v>414</v>
      </c>
      <c r="B161" s="620" t="s">
        <v>1562</v>
      </c>
      <c r="C161" s="981" t="s">
        <v>1562</v>
      </c>
      <c r="D161" s="982">
        <v>0</v>
      </c>
      <c r="E161" s="982">
        <v>0</v>
      </c>
      <c r="F161" s="982">
        <v>0</v>
      </c>
      <c r="G161" s="982">
        <v>0</v>
      </c>
      <c r="H161" s="982">
        <v>0</v>
      </c>
      <c r="I161" s="983" t="s">
        <v>1562</v>
      </c>
      <c r="J161" s="383"/>
    </row>
    <row r="162" spans="1:10" ht="13.2" x14ac:dyDescent="0.25">
      <c r="A162" s="170">
        <f t="shared" si="4"/>
        <v>415</v>
      </c>
      <c r="B162" s="620" t="s">
        <v>1562</v>
      </c>
      <c r="C162" s="981" t="s">
        <v>1562</v>
      </c>
      <c r="D162" s="982">
        <v>0</v>
      </c>
      <c r="E162" s="982">
        <v>0</v>
      </c>
      <c r="F162" s="982">
        <v>0</v>
      </c>
      <c r="G162" s="982">
        <v>0</v>
      </c>
      <c r="H162" s="982">
        <v>0</v>
      </c>
      <c r="I162" s="983" t="s">
        <v>1562</v>
      </c>
      <c r="J162" s="383"/>
    </row>
    <row r="163" spans="1:10" ht="13.2" x14ac:dyDescent="0.25">
      <c r="A163" s="170">
        <f t="shared" si="4"/>
        <v>416</v>
      </c>
      <c r="B163" s="620" t="s">
        <v>1562</v>
      </c>
      <c r="C163" s="981" t="s">
        <v>1562</v>
      </c>
      <c r="D163" s="982">
        <v>0</v>
      </c>
      <c r="E163" s="982">
        <v>0</v>
      </c>
      <c r="F163" s="982">
        <v>0</v>
      </c>
      <c r="G163" s="982">
        <v>0</v>
      </c>
      <c r="H163" s="982">
        <v>0</v>
      </c>
      <c r="I163" s="983" t="s">
        <v>1562</v>
      </c>
      <c r="J163" s="383"/>
    </row>
    <row r="164" spans="1:10" ht="13.2" x14ac:dyDescent="0.25">
      <c r="A164" s="170">
        <f t="shared" si="4"/>
        <v>417</v>
      </c>
      <c r="B164" s="620" t="s">
        <v>1562</v>
      </c>
      <c r="C164" s="981" t="s">
        <v>1562</v>
      </c>
      <c r="D164" s="982">
        <v>0</v>
      </c>
      <c r="E164" s="982">
        <v>0</v>
      </c>
      <c r="F164" s="982">
        <v>0</v>
      </c>
      <c r="G164" s="982">
        <v>0</v>
      </c>
      <c r="H164" s="982">
        <v>0</v>
      </c>
      <c r="I164" s="983" t="s">
        <v>1562</v>
      </c>
      <c r="J164" s="383"/>
    </row>
    <row r="165" spans="1:10" ht="13.2" x14ac:dyDescent="0.25">
      <c r="A165" s="170">
        <f t="shared" si="4"/>
        <v>418</v>
      </c>
      <c r="B165" s="620" t="s">
        <v>1562</v>
      </c>
      <c r="C165" s="981" t="s">
        <v>1562</v>
      </c>
      <c r="D165" s="982">
        <v>0</v>
      </c>
      <c r="E165" s="982">
        <v>0</v>
      </c>
      <c r="F165" s="982">
        <v>0</v>
      </c>
      <c r="G165" s="982">
        <v>0</v>
      </c>
      <c r="H165" s="982">
        <v>0</v>
      </c>
      <c r="I165" s="983" t="s">
        <v>1562</v>
      </c>
      <c r="J165" s="383"/>
    </row>
    <row r="166" spans="1:10" ht="13.2" x14ac:dyDescent="0.25">
      <c r="A166" s="170">
        <f t="shared" si="4"/>
        <v>419</v>
      </c>
      <c r="B166" s="620" t="s">
        <v>1562</v>
      </c>
      <c r="C166" s="981" t="s">
        <v>1562</v>
      </c>
      <c r="D166" s="982">
        <v>0</v>
      </c>
      <c r="E166" s="982">
        <v>0</v>
      </c>
      <c r="F166" s="982">
        <v>0</v>
      </c>
      <c r="G166" s="982">
        <v>0</v>
      </c>
      <c r="H166" s="982">
        <v>0</v>
      </c>
      <c r="I166" s="983" t="s">
        <v>1562</v>
      </c>
      <c r="J166" s="383"/>
    </row>
    <row r="167" spans="1:10" ht="13.2" x14ac:dyDescent="0.25">
      <c r="A167" s="170">
        <f t="shared" si="4"/>
        <v>420</v>
      </c>
      <c r="B167" s="537" t="s">
        <v>563</v>
      </c>
      <c r="C167" s="476"/>
      <c r="D167" s="626"/>
      <c r="E167" s="218"/>
      <c r="F167" s="218"/>
      <c r="G167" s="218"/>
      <c r="H167" s="218"/>
      <c r="I167" s="383"/>
      <c r="J167" s="383"/>
    </row>
    <row r="168" spans="1:10" ht="13.2" x14ac:dyDescent="0.25">
      <c r="A168" s="577"/>
      <c r="B168" s="538"/>
      <c r="C168" s="468"/>
      <c r="D168" s="630"/>
      <c r="E168" s="217"/>
      <c r="F168" s="217"/>
      <c r="G168" s="217"/>
      <c r="H168" s="217"/>
      <c r="I168" s="222"/>
      <c r="J168" s="222"/>
    </row>
    <row r="169" spans="1:10" ht="13.2" x14ac:dyDescent="0.25">
      <c r="A169" s="577"/>
      <c r="B169" s="538"/>
      <c r="C169" s="84" t="s">
        <v>394</v>
      </c>
      <c r="D169" s="84" t="s">
        <v>378</v>
      </c>
      <c r="E169" s="84" t="s">
        <v>379</v>
      </c>
      <c r="F169" s="84" t="s">
        <v>380</v>
      </c>
      <c r="G169" s="84" t="s">
        <v>381</v>
      </c>
      <c r="H169" s="84" t="s">
        <v>382</v>
      </c>
      <c r="I169" s="343" t="s">
        <v>198</v>
      </c>
      <c r="J169" s="222"/>
    </row>
    <row r="170" spans="1:10" ht="13.2" x14ac:dyDescent="0.25">
      <c r="A170" s="103">
        <v>450</v>
      </c>
      <c r="B170" s="467"/>
      <c r="C170" s="466" t="s">
        <v>1844</v>
      </c>
      <c r="D170" s="968">
        <v>0</v>
      </c>
      <c r="E170" s="968">
        <v>0</v>
      </c>
      <c r="F170" s="968">
        <v>0</v>
      </c>
      <c r="G170" s="968">
        <v>0</v>
      </c>
      <c r="H170" s="968">
        <v>0</v>
      </c>
      <c r="I170" s="230" t="str">
        <f>"Sum of Above Lines beginning on Line "&amp;A147&amp;""</f>
        <v>Sum of Above Lines beginning on Line 400</v>
      </c>
      <c r="J170" s="213"/>
    </row>
    <row r="171" spans="1:10" ht="13.2" x14ac:dyDescent="0.25">
      <c r="A171" s="552">
        <f>+A170+1</f>
        <v>451</v>
      </c>
      <c r="B171" s="608"/>
      <c r="C171" s="608" t="s">
        <v>1845</v>
      </c>
      <c r="D171" s="623"/>
      <c r="E171" s="623"/>
      <c r="F171" s="1012"/>
      <c r="G171" s="976" t="s">
        <v>2690</v>
      </c>
      <c r="H171" s="976" t="s">
        <v>2690</v>
      </c>
      <c r="I171" s="734" t="str">
        <f>"27-Allocators Lines "&amp;'27-Allocators'!A28&amp;" and "&amp;'27-Allocators'!A15&amp;" respectively."</f>
        <v>27-Allocators Lines 22 and 9 respectively.</v>
      </c>
      <c r="J171" s="213"/>
    </row>
    <row r="172" spans="1:10" ht="13.2" x14ac:dyDescent="0.25">
      <c r="A172" s="552">
        <f>+A171+1</f>
        <v>452</v>
      </c>
      <c r="B172" s="608"/>
      <c r="C172" s="608" t="s">
        <v>1847</v>
      </c>
      <c r="D172" s="968">
        <v>0</v>
      </c>
      <c r="E172" s="623"/>
      <c r="F172" s="968">
        <v>0</v>
      </c>
      <c r="G172" s="968">
        <v>0</v>
      </c>
      <c r="H172" s="968">
        <v>0</v>
      </c>
      <c r="I172" s="535" t="str">
        <f>"Line "&amp;A170&amp;" * Line "&amp;A171&amp;" for Cols 5 and 6.  Col. 4 100% ISO."</f>
        <v>Line 450 * Line 451 for Cols 5 and 6.  Col. 4 100% ISO.</v>
      </c>
      <c r="J172" s="213"/>
    </row>
    <row r="173" spans="1:10" ht="13.2" x14ac:dyDescent="0.25">
      <c r="A173" s="552"/>
      <c r="B173" s="608"/>
      <c r="C173" s="625" t="s">
        <v>1848</v>
      </c>
      <c r="D173" s="623"/>
      <c r="E173" s="623"/>
      <c r="F173" s="623"/>
      <c r="G173" s="623"/>
      <c r="H173" s="623"/>
      <c r="I173" s="535"/>
      <c r="J173" s="213"/>
    </row>
    <row r="174" spans="1:10" ht="13.2" x14ac:dyDescent="0.25">
      <c r="A174" s="103"/>
      <c r="B174" s="467"/>
      <c r="C174" s="466"/>
      <c r="D174" s="623"/>
      <c r="E174" s="623"/>
      <c r="F174" s="623"/>
      <c r="G174" s="623"/>
      <c r="H174" s="623"/>
      <c r="I174" s="230"/>
      <c r="J174" s="213"/>
    </row>
    <row r="175" spans="1:10" ht="13.2" x14ac:dyDescent="0.25">
      <c r="A175" s="103">
        <f>+A172+1</f>
        <v>453</v>
      </c>
      <c r="B175" s="467"/>
      <c r="C175" s="608" t="s">
        <v>1799</v>
      </c>
      <c r="D175" s="982">
        <v>0</v>
      </c>
      <c r="E175" s="627" t="str">
        <f>"Must match amount on Line "&amp;A170&amp;", Col. 2"</f>
        <v>Must match amount on Line 450, Col. 2</v>
      </c>
      <c r="F175" s="623"/>
      <c r="G175" s="623"/>
      <c r="H175" s="623"/>
      <c r="I175" s="230" t="s">
        <v>1800</v>
      </c>
      <c r="J175" s="213"/>
    </row>
    <row r="176" spans="1:10" ht="13.2" x14ac:dyDescent="0.25">
      <c r="A176" s="577"/>
      <c r="B176" s="467"/>
      <c r="C176" s="466"/>
      <c r="D176" s="623"/>
      <c r="E176" s="623"/>
      <c r="F176" s="623"/>
      <c r="G176" s="623"/>
      <c r="H176" s="623"/>
      <c r="I176" s="230"/>
      <c r="J176" s="213"/>
    </row>
    <row r="177" spans="1:10" ht="13.2" x14ac:dyDescent="0.25">
      <c r="A177" s="577"/>
      <c r="B177" s="467"/>
      <c r="C177" s="466"/>
      <c r="D177" s="623"/>
      <c r="E177" s="623"/>
      <c r="F177" s="623"/>
      <c r="G177" s="623"/>
      <c r="H177" s="623"/>
      <c r="I177" s="536"/>
      <c r="J177" s="213"/>
    </row>
    <row r="178" spans="1:10" ht="13.2" x14ac:dyDescent="0.25">
      <c r="A178" s="466"/>
      <c r="B178" s="607" t="s">
        <v>1801</v>
      </c>
      <c r="C178" s="631"/>
      <c r="D178" s="623"/>
      <c r="E178" s="215"/>
      <c r="F178" s="215"/>
      <c r="G178" s="215"/>
      <c r="H178" s="215"/>
      <c r="I178" s="213"/>
      <c r="J178" s="213"/>
    </row>
    <row r="179" spans="1:10" ht="13.2" x14ac:dyDescent="0.25">
      <c r="A179" s="466"/>
      <c r="B179" s="607"/>
      <c r="C179" s="84" t="s">
        <v>394</v>
      </c>
      <c r="D179" s="84" t="s">
        <v>378</v>
      </c>
      <c r="E179" s="84" t="s">
        <v>379</v>
      </c>
      <c r="F179" s="84" t="s">
        <v>380</v>
      </c>
      <c r="G179" s="84" t="s">
        <v>381</v>
      </c>
      <c r="H179" s="84" t="s">
        <v>382</v>
      </c>
      <c r="I179" s="84" t="s">
        <v>383</v>
      </c>
      <c r="J179" s="213"/>
    </row>
    <row r="180" spans="1:10" ht="13.2" x14ac:dyDescent="0.25">
      <c r="A180" s="466"/>
      <c r="B180" s="611"/>
      <c r="C180" s="611"/>
      <c r="D180" s="632" t="s">
        <v>1781</v>
      </c>
      <c r="E180" s="632" t="s">
        <v>1782</v>
      </c>
      <c r="F180" s="632"/>
      <c r="G180" s="632"/>
      <c r="H180" s="632" t="s">
        <v>1421</v>
      </c>
      <c r="I180" s="940" t="s">
        <v>2279</v>
      </c>
      <c r="J180" s="213"/>
    </row>
    <row r="181" spans="1:10" ht="13.2" x14ac:dyDescent="0.25">
      <c r="A181" s="466"/>
      <c r="B181" s="614" t="s">
        <v>1802</v>
      </c>
      <c r="C181" s="614" t="s">
        <v>1784</v>
      </c>
      <c r="D181" s="633" t="s">
        <v>1785</v>
      </c>
      <c r="E181" s="633" t="s">
        <v>1786</v>
      </c>
      <c r="F181" s="633" t="s">
        <v>1787</v>
      </c>
      <c r="G181" s="633" t="s">
        <v>1788</v>
      </c>
      <c r="H181" s="633" t="s">
        <v>1775</v>
      </c>
      <c r="I181" s="614" t="s">
        <v>111</v>
      </c>
      <c r="J181" s="213"/>
    </row>
    <row r="182" spans="1:10" ht="13.2" x14ac:dyDescent="0.25">
      <c r="A182" s="577"/>
      <c r="B182" s="608" t="s">
        <v>1790</v>
      </c>
      <c r="C182" s="213"/>
      <c r="D182" s="215"/>
      <c r="E182" s="215"/>
      <c r="F182" s="215"/>
      <c r="G182" s="215"/>
      <c r="H182" s="215"/>
      <c r="I182" s="213"/>
      <c r="J182" s="213"/>
    </row>
    <row r="183" spans="1:10" ht="13.2" x14ac:dyDescent="0.25">
      <c r="A183" s="170">
        <v>500</v>
      </c>
      <c r="B183" s="620" t="s">
        <v>1562</v>
      </c>
      <c r="C183" s="981" t="s">
        <v>1562</v>
      </c>
      <c r="D183" s="982">
        <v>0</v>
      </c>
      <c r="E183" s="982">
        <v>0</v>
      </c>
      <c r="F183" s="982">
        <v>0</v>
      </c>
      <c r="G183" s="982">
        <v>0</v>
      </c>
      <c r="H183" s="982">
        <v>0</v>
      </c>
      <c r="I183" s="983" t="s">
        <v>1562</v>
      </c>
      <c r="J183" s="383"/>
    </row>
    <row r="184" spans="1:10" ht="13.2" x14ac:dyDescent="0.25">
      <c r="A184" s="170">
        <f t="shared" ref="A184:A247" si="5">A183+1</f>
        <v>501</v>
      </c>
      <c r="B184" s="620" t="s">
        <v>1562</v>
      </c>
      <c r="C184" s="981" t="s">
        <v>1562</v>
      </c>
      <c r="D184" s="982">
        <v>0</v>
      </c>
      <c r="E184" s="982">
        <v>0</v>
      </c>
      <c r="F184" s="982">
        <v>0</v>
      </c>
      <c r="G184" s="982">
        <v>0</v>
      </c>
      <c r="H184" s="982">
        <v>0</v>
      </c>
      <c r="I184" s="983" t="s">
        <v>1562</v>
      </c>
      <c r="J184" s="383"/>
    </row>
    <row r="185" spans="1:10" ht="13.2" x14ac:dyDescent="0.25">
      <c r="A185" s="170">
        <f t="shared" si="5"/>
        <v>502</v>
      </c>
      <c r="B185" s="620" t="s">
        <v>1562</v>
      </c>
      <c r="C185" s="981" t="s">
        <v>1562</v>
      </c>
      <c r="D185" s="982">
        <v>0</v>
      </c>
      <c r="E185" s="982">
        <v>0</v>
      </c>
      <c r="F185" s="982">
        <v>0</v>
      </c>
      <c r="G185" s="982">
        <v>0</v>
      </c>
      <c r="H185" s="982">
        <v>0</v>
      </c>
      <c r="I185" s="983" t="s">
        <v>1562</v>
      </c>
      <c r="J185" s="383"/>
    </row>
    <row r="186" spans="1:10" ht="13.2" x14ac:dyDescent="0.25">
      <c r="A186" s="170">
        <f t="shared" si="5"/>
        <v>503</v>
      </c>
      <c r="B186" s="620" t="s">
        <v>1562</v>
      </c>
      <c r="C186" s="981" t="s">
        <v>1562</v>
      </c>
      <c r="D186" s="982">
        <v>0</v>
      </c>
      <c r="E186" s="982">
        <v>0</v>
      </c>
      <c r="F186" s="982">
        <v>0</v>
      </c>
      <c r="G186" s="982">
        <v>0</v>
      </c>
      <c r="H186" s="982">
        <v>0</v>
      </c>
      <c r="I186" s="983" t="s">
        <v>1562</v>
      </c>
      <c r="J186" s="383"/>
    </row>
    <row r="187" spans="1:10" ht="13.2" x14ac:dyDescent="0.25">
      <c r="A187" s="170">
        <f t="shared" si="5"/>
        <v>504</v>
      </c>
      <c r="B187" s="620" t="s">
        <v>1562</v>
      </c>
      <c r="C187" s="981" t="s">
        <v>1562</v>
      </c>
      <c r="D187" s="982">
        <v>0</v>
      </c>
      <c r="E187" s="982">
        <v>0</v>
      </c>
      <c r="F187" s="982">
        <v>0</v>
      </c>
      <c r="G187" s="982">
        <v>0</v>
      </c>
      <c r="H187" s="982">
        <v>0</v>
      </c>
      <c r="I187" s="983" t="s">
        <v>1562</v>
      </c>
      <c r="J187" s="383"/>
    </row>
    <row r="188" spans="1:10" ht="13.2" x14ac:dyDescent="0.25">
      <c r="A188" s="170">
        <f t="shared" si="5"/>
        <v>505</v>
      </c>
      <c r="B188" s="620" t="s">
        <v>1562</v>
      </c>
      <c r="C188" s="981" t="s">
        <v>1562</v>
      </c>
      <c r="D188" s="982">
        <v>0</v>
      </c>
      <c r="E188" s="982">
        <v>0</v>
      </c>
      <c r="F188" s="982">
        <v>0</v>
      </c>
      <c r="G188" s="982">
        <v>0</v>
      </c>
      <c r="H188" s="982">
        <v>0</v>
      </c>
      <c r="I188" s="983" t="s">
        <v>1562</v>
      </c>
      <c r="J188" s="383"/>
    </row>
    <row r="189" spans="1:10" ht="13.2" x14ac:dyDescent="0.25">
      <c r="A189" s="170">
        <f t="shared" si="5"/>
        <v>506</v>
      </c>
      <c r="B189" s="620" t="s">
        <v>1562</v>
      </c>
      <c r="C189" s="981" t="s">
        <v>1562</v>
      </c>
      <c r="D189" s="982">
        <v>0</v>
      </c>
      <c r="E189" s="982">
        <v>0</v>
      </c>
      <c r="F189" s="982">
        <v>0</v>
      </c>
      <c r="G189" s="982">
        <v>0</v>
      </c>
      <c r="H189" s="982">
        <v>0</v>
      </c>
      <c r="I189" s="983" t="s">
        <v>1562</v>
      </c>
      <c r="J189" s="383"/>
    </row>
    <row r="190" spans="1:10" ht="13.2" x14ac:dyDescent="0.25">
      <c r="A190" s="170">
        <f t="shared" si="5"/>
        <v>507</v>
      </c>
      <c r="B190" s="620" t="s">
        <v>1562</v>
      </c>
      <c r="C190" s="981" t="s">
        <v>1562</v>
      </c>
      <c r="D190" s="982">
        <v>0</v>
      </c>
      <c r="E190" s="982">
        <v>0</v>
      </c>
      <c r="F190" s="982">
        <v>0</v>
      </c>
      <c r="G190" s="982">
        <v>0</v>
      </c>
      <c r="H190" s="982">
        <v>0</v>
      </c>
      <c r="I190" s="983" t="s">
        <v>1562</v>
      </c>
      <c r="J190" s="383"/>
    </row>
    <row r="191" spans="1:10" ht="13.2" x14ac:dyDescent="0.25">
      <c r="A191" s="170">
        <f t="shared" si="5"/>
        <v>508</v>
      </c>
      <c r="B191" s="620" t="s">
        <v>1562</v>
      </c>
      <c r="C191" s="981" t="s">
        <v>1562</v>
      </c>
      <c r="D191" s="982">
        <v>0</v>
      </c>
      <c r="E191" s="982">
        <v>0</v>
      </c>
      <c r="F191" s="982">
        <v>0</v>
      </c>
      <c r="G191" s="982">
        <v>0</v>
      </c>
      <c r="H191" s="982">
        <v>0</v>
      </c>
      <c r="I191" s="983" t="s">
        <v>1562</v>
      </c>
      <c r="J191" s="383"/>
    </row>
    <row r="192" spans="1:10" ht="13.2" x14ac:dyDescent="0.25">
      <c r="A192" s="170">
        <f t="shared" si="5"/>
        <v>509</v>
      </c>
      <c r="B192" s="620" t="s">
        <v>1562</v>
      </c>
      <c r="C192" s="981" t="s">
        <v>1562</v>
      </c>
      <c r="D192" s="982">
        <v>0</v>
      </c>
      <c r="E192" s="982">
        <v>0</v>
      </c>
      <c r="F192" s="982">
        <v>0</v>
      </c>
      <c r="G192" s="982">
        <v>0</v>
      </c>
      <c r="H192" s="982">
        <v>0</v>
      </c>
      <c r="I192" s="983" t="s">
        <v>1562</v>
      </c>
      <c r="J192" s="383"/>
    </row>
    <row r="193" spans="1:10" ht="13.2" x14ac:dyDescent="0.25">
      <c r="A193" s="170">
        <f t="shared" si="5"/>
        <v>510</v>
      </c>
      <c r="B193" s="620" t="s">
        <v>1562</v>
      </c>
      <c r="C193" s="981" t="s">
        <v>1562</v>
      </c>
      <c r="D193" s="982">
        <v>0</v>
      </c>
      <c r="E193" s="982">
        <v>0</v>
      </c>
      <c r="F193" s="982">
        <v>0</v>
      </c>
      <c r="G193" s="982">
        <v>0</v>
      </c>
      <c r="H193" s="982">
        <v>0</v>
      </c>
      <c r="I193" s="983" t="s">
        <v>1562</v>
      </c>
      <c r="J193" s="383"/>
    </row>
    <row r="194" spans="1:10" ht="13.2" x14ac:dyDescent="0.25">
      <c r="A194" s="170">
        <f t="shared" si="5"/>
        <v>511</v>
      </c>
      <c r="B194" s="620" t="s">
        <v>1562</v>
      </c>
      <c r="C194" s="981" t="s">
        <v>1562</v>
      </c>
      <c r="D194" s="982">
        <v>0</v>
      </c>
      <c r="E194" s="982">
        <v>0</v>
      </c>
      <c r="F194" s="982">
        <v>0</v>
      </c>
      <c r="G194" s="982">
        <v>0</v>
      </c>
      <c r="H194" s="982">
        <v>0</v>
      </c>
      <c r="I194" s="983" t="s">
        <v>1562</v>
      </c>
      <c r="J194" s="383"/>
    </row>
    <row r="195" spans="1:10" ht="13.2" x14ac:dyDescent="0.25">
      <c r="A195" s="170">
        <f t="shared" si="5"/>
        <v>512</v>
      </c>
      <c r="B195" s="620" t="s">
        <v>1562</v>
      </c>
      <c r="C195" s="981" t="s">
        <v>1562</v>
      </c>
      <c r="D195" s="982">
        <v>0</v>
      </c>
      <c r="E195" s="982">
        <v>0</v>
      </c>
      <c r="F195" s="982">
        <v>0</v>
      </c>
      <c r="G195" s="982">
        <v>0</v>
      </c>
      <c r="H195" s="982">
        <v>0</v>
      </c>
      <c r="I195" s="983" t="s">
        <v>1562</v>
      </c>
      <c r="J195" s="383"/>
    </row>
    <row r="196" spans="1:10" ht="13.2" x14ac:dyDescent="0.25">
      <c r="A196" s="170">
        <f t="shared" si="5"/>
        <v>513</v>
      </c>
      <c r="B196" s="620" t="s">
        <v>1562</v>
      </c>
      <c r="C196" s="981" t="s">
        <v>1562</v>
      </c>
      <c r="D196" s="982">
        <v>0</v>
      </c>
      <c r="E196" s="982">
        <v>0</v>
      </c>
      <c r="F196" s="982">
        <v>0</v>
      </c>
      <c r="G196" s="982">
        <v>0</v>
      </c>
      <c r="H196" s="982">
        <v>0</v>
      </c>
      <c r="I196" s="983" t="s">
        <v>1562</v>
      </c>
      <c r="J196" s="383"/>
    </row>
    <row r="197" spans="1:10" ht="13.2" x14ac:dyDescent="0.25">
      <c r="A197" s="170">
        <f t="shared" si="5"/>
        <v>514</v>
      </c>
      <c r="B197" s="620" t="s">
        <v>1562</v>
      </c>
      <c r="C197" s="981" t="s">
        <v>1562</v>
      </c>
      <c r="D197" s="982">
        <v>0</v>
      </c>
      <c r="E197" s="982">
        <v>0</v>
      </c>
      <c r="F197" s="982">
        <v>0</v>
      </c>
      <c r="G197" s="982">
        <v>0</v>
      </c>
      <c r="H197" s="982">
        <v>0</v>
      </c>
      <c r="I197" s="983" t="s">
        <v>1562</v>
      </c>
      <c r="J197" s="383"/>
    </row>
    <row r="198" spans="1:10" ht="13.2" x14ac:dyDescent="0.25">
      <c r="A198" s="170">
        <f t="shared" si="5"/>
        <v>515</v>
      </c>
      <c r="B198" s="620" t="s">
        <v>1562</v>
      </c>
      <c r="C198" s="981" t="s">
        <v>1562</v>
      </c>
      <c r="D198" s="982">
        <v>0</v>
      </c>
      <c r="E198" s="982">
        <v>0</v>
      </c>
      <c r="F198" s="982">
        <v>0</v>
      </c>
      <c r="G198" s="982">
        <v>0</v>
      </c>
      <c r="H198" s="982">
        <v>0</v>
      </c>
      <c r="I198" s="983" t="s">
        <v>1562</v>
      </c>
      <c r="J198" s="383"/>
    </row>
    <row r="199" spans="1:10" ht="13.2" x14ac:dyDescent="0.25">
      <c r="A199" s="170">
        <f t="shared" si="5"/>
        <v>516</v>
      </c>
      <c r="B199" s="620" t="s">
        <v>1562</v>
      </c>
      <c r="C199" s="981" t="s">
        <v>1562</v>
      </c>
      <c r="D199" s="982">
        <v>0</v>
      </c>
      <c r="E199" s="982">
        <v>0</v>
      </c>
      <c r="F199" s="982">
        <v>0</v>
      </c>
      <c r="G199" s="982">
        <v>0</v>
      </c>
      <c r="H199" s="982">
        <v>0</v>
      </c>
      <c r="I199" s="983" t="s">
        <v>1562</v>
      </c>
      <c r="J199" s="383"/>
    </row>
    <row r="200" spans="1:10" ht="13.2" x14ac:dyDescent="0.25">
      <c r="A200" s="170">
        <f t="shared" si="5"/>
        <v>517</v>
      </c>
      <c r="B200" s="620" t="s">
        <v>1562</v>
      </c>
      <c r="C200" s="981" t="s">
        <v>1562</v>
      </c>
      <c r="D200" s="982">
        <v>0</v>
      </c>
      <c r="E200" s="982">
        <v>0</v>
      </c>
      <c r="F200" s="982">
        <v>0</v>
      </c>
      <c r="G200" s="982">
        <v>0</v>
      </c>
      <c r="H200" s="982">
        <v>0</v>
      </c>
      <c r="I200" s="983" t="s">
        <v>1562</v>
      </c>
      <c r="J200" s="383"/>
    </row>
    <row r="201" spans="1:10" ht="13.2" x14ac:dyDescent="0.25">
      <c r="A201" s="170">
        <f t="shared" si="5"/>
        <v>518</v>
      </c>
      <c r="B201" s="620" t="s">
        <v>1562</v>
      </c>
      <c r="C201" s="981" t="s">
        <v>1562</v>
      </c>
      <c r="D201" s="982">
        <v>0</v>
      </c>
      <c r="E201" s="982">
        <v>0</v>
      </c>
      <c r="F201" s="982">
        <v>0</v>
      </c>
      <c r="G201" s="982">
        <v>0</v>
      </c>
      <c r="H201" s="982">
        <v>0</v>
      </c>
      <c r="I201" s="983" t="s">
        <v>1562</v>
      </c>
      <c r="J201" s="383"/>
    </row>
    <row r="202" spans="1:10" ht="13.2" x14ac:dyDescent="0.25">
      <c r="A202" s="170">
        <f t="shared" si="5"/>
        <v>519</v>
      </c>
      <c r="B202" s="620" t="s">
        <v>1562</v>
      </c>
      <c r="C202" s="981" t="s">
        <v>1562</v>
      </c>
      <c r="D202" s="982">
        <v>0</v>
      </c>
      <c r="E202" s="982">
        <v>0</v>
      </c>
      <c r="F202" s="982">
        <v>0</v>
      </c>
      <c r="G202" s="982">
        <v>0</v>
      </c>
      <c r="H202" s="982">
        <v>0</v>
      </c>
      <c r="I202" s="983" t="s">
        <v>1562</v>
      </c>
      <c r="J202" s="383"/>
    </row>
    <row r="203" spans="1:10" ht="13.2" x14ac:dyDescent="0.25">
      <c r="A203" s="170">
        <f t="shared" si="5"/>
        <v>520</v>
      </c>
      <c r="B203" s="620" t="s">
        <v>1562</v>
      </c>
      <c r="C203" s="981" t="s">
        <v>1562</v>
      </c>
      <c r="D203" s="982">
        <v>0</v>
      </c>
      <c r="E203" s="982">
        <v>0</v>
      </c>
      <c r="F203" s="982">
        <v>0</v>
      </c>
      <c r="G203" s="982">
        <v>0</v>
      </c>
      <c r="H203" s="982">
        <v>0</v>
      </c>
      <c r="I203" s="983" t="s">
        <v>1562</v>
      </c>
      <c r="J203" s="383"/>
    </row>
    <row r="204" spans="1:10" ht="13.2" x14ac:dyDescent="0.25">
      <c r="A204" s="170">
        <f t="shared" si="5"/>
        <v>521</v>
      </c>
      <c r="B204" s="620" t="s">
        <v>1562</v>
      </c>
      <c r="C204" s="981" t="s">
        <v>1562</v>
      </c>
      <c r="D204" s="982">
        <v>0</v>
      </c>
      <c r="E204" s="982">
        <v>0</v>
      </c>
      <c r="F204" s="982">
        <v>0</v>
      </c>
      <c r="G204" s="982">
        <v>0</v>
      </c>
      <c r="H204" s="982">
        <v>0</v>
      </c>
      <c r="I204" s="983" t="s">
        <v>1562</v>
      </c>
      <c r="J204" s="383"/>
    </row>
    <row r="205" spans="1:10" ht="13.2" x14ac:dyDescent="0.25">
      <c r="A205" s="170">
        <f t="shared" si="5"/>
        <v>522</v>
      </c>
      <c r="B205" s="620" t="s">
        <v>1562</v>
      </c>
      <c r="C205" s="981" t="s">
        <v>1562</v>
      </c>
      <c r="D205" s="982">
        <v>0</v>
      </c>
      <c r="E205" s="982">
        <v>0</v>
      </c>
      <c r="F205" s="982">
        <v>0</v>
      </c>
      <c r="G205" s="982">
        <v>0</v>
      </c>
      <c r="H205" s="982">
        <v>0</v>
      </c>
      <c r="I205" s="983" t="s">
        <v>1562</v>
      </c>
      <c r="J205" s="383"/>
    </row>
    <row r="206" spans="1:10" ht="13.2" x14ac:dyDescent="0.25">
      <c r="A206" s="170">
        <f t="shared" si="5"/>
        <v>523</v>
      </c>
      <c r="B206" s="620" t="s">
        <v>1562</v>
      </c>
      <c r="C206" s="981" t="s">
        <v>1562</v>
      </c>
      <c r="D206" s="982">
        <v>0</v>
      </c>
      <c r="E206" s="982">
        <v>0</v>
      </c>
      <c r="F206" s="982">
        <v>0</v>
      </c>
      <c r="G206" s="982">
        <v>0</v>
      </c>
      <c r="H206" s="982">
        <v>0</v>
      </c>
      <c r="I206" s="983" t="s">
        <v>1562</v>
      </c>
      <c r="J206" s="383"/>
    </row>
    <row r="207" spans="1:10" ht="13.2" x14ac:dyDescent="0.25">
      <c r="A207" s="170">
        <f t="shared" si="5"/>
        <v>524</v>
      </c>
      <c r="B207" s="620" t="s">
        <v>1562</v>
      </c>
      <c r="C207" s="981" t="s">
        <v>1562</v>
      </c>
      <c r="D207" s="982">
        <v>0</v>
      </c>
      <c r="E207" s="982">
        <v>0</v>
      </c>
      <c r="F207" s="982">
        <v>0</v>
      </c>
      <c r="G207" s="982">
        <v>0</v>
      </c>
      <c r="H207" s="982">
        <v>0</v>
      </c>
      <c r="I207" s="983" t="s">
        <v>1562</v>
      </c>
      <c r="J207" s="383"/>
    </row>
    <row r="208" spans="1:10" ht="13.2" x14ac:dyDescent="0.25">
      <c r="A208" s="170">
        <f t="shared" si="5"/>
        <v>525</v>
      </c>
      <c r="B208" s="620" t="s">
        <v>1562</v>
      </c>
      <c r="C208" s="981" t="s">
        <v>1562</v>
      </c>
      <c r="D208" s="982">
        <v>0</v>
      </c>
      <c r="E208" s="982">
        <v>0</v>
      </c>
      <c r="F208" s="982">
        <v>0</v>
      </c>
      <c r="G208" s="982">
        <v>0</v>
      </c>
      <c r="H208" s="982">
        <v>0</v>
      </c>
      <c r="I208" s="983" t="s">
        <v>1562</v>
      </c>
      <c r="J208" s="383"/>
    </row>
    <row r="209" spans="1:10" ht="13.2" x14ac:dyDescent="0.25">
      <c r="A209" s="170">
        <f t="shared" si="5"/>
        <v>526</v>
      </c>
      <c r="B209" s="620" t="s">
        <v>1562</v>
      </c>
      <c r="C209" s="981" t="s">
        <v>1562</v>
      </c>
      <c r="D209" s="982">
        <v>0</v>
      </c>
      <c r="E209" s="982">
        <v>0</v>
      </c>
      <c r="F209" s="982">
        <v>0</v>
      </c>
      <c r="G209" s="982">
        <v>0</v>
      </c>
      <c r="H209" s="982">
        <v>0</v>
      </c>
      <c r="I209" s="983" t="s">
        <v>1562</v>
      </c>
      <c r="J209" s="383"/>
    </row>
    <row r="210" spans="1:10" ht="13.2" x14ac:dyDescent="0.25">
      <c r="A210" s="170">
        <f t="shared" si="5"/>
        <v>527</v>
      </c>
      <c r="B210" s="620" t="s">
        <v>1562</v>
      </c>
      <c r="C210" s="981" t="s">
        <v>1562</v>
      </c>
      <c r="D210" s="982">
        <v>0</v>
      </c>
      <c r="E210" s="982">
        <v>0</v>
      </c>
      <c r="F210" s="982">
        <v>0</v>
      </c>
      <c r="G210" s="982">
        <v>0</v>
      </c>
      <c r="H210" s="982">
        <v>0</v>
      </c>
      <c r="I210" s="983" t="s">
        <v>1562</v>
      </c>
      <c r="J210" s="383"/>
    </row>
    <row r="211" spans="1:10" ht="13.2" x14ac:dyDescent="0.25">
      <c r="A211" s="170">
        <f t="shared" si="5"/>
        <v>528</v>
      </c>
      <c r="B211" s="620" t="s">
        <v>1562</v>
      </c>
      <c r="C211" s="981" t="s">
        <v>1562</v>
      </c>
      <c r="D211" s="982">
        <v>0</v>
      </c>
      <c r="E211" s="982">
        <v>0</v>
      </c>
      <c r="F211" s="982">
        <v>0</v>
      </c>
      <c r="G211" s="982">
        <v>0</v>
      </c>
      <c r="H211" s="982">
        <v>0</v>
      </c>
      <c r="I211" s="983" t="s">
        <v>1562</v>
      </c>
      <c r="J211" s="383"/>
    </row>
    <row r="212" spans="1:10" ht="13.2" x14ac:dyDescent="0.25">
      <c r="A212" s="170">
        <f t="shared" si="5"/>
        <v>529</v>
      </c>
      <c r="B212" s="620" t="s">
        <v>1562</v>
      </c>
      <c r="C212" s="981" t="s">
        <v>1562</v>
      </c>
      <c r="D212" s="982">
        <v>0</v>
      </c>
      <c r="E212" s="982">
        <v>0</v>
      </c>
      <c r="F212" s="982">
        <v>0</v>
      </c>
      <c r="G212" s="982">
        <v>0</v>
      </c>
      <c r="H212" s="982">
        <v>0</v>
      </c>
      <c r="I212" s="983" t="s">
        <v>1562</v>
      </c>
      <c r="J212" s="383"/>
    </row>
    <row r="213" spans="1:10" ht="13.2" x14ac:dyDescent="0.25">
      <c r="A213" s="170">
        <f>+A212+1</f>
        <v>530</v>
      </c>
      <c r="B213" s="620" t="s">
        <v>1562</v>
      </c>
      <c r="C213" s="981" t="s">
        <v>1562</v>
      </c>
      <c r="D213" s="982">
        <v>0</v>
      </c>
      <c r="E213" s="982">
        <v>0</v>
      </c>
      <c r="F213" s="982">
        <v>0</v>
      </c>
      <c r="G213" s="982">
        <v>0</v>
      </c>
      <c r="H213" s="982">
        <v>0</v>
      </c>
      <c r="I213" s="983" t="s">
        <v>1562</v>
      </c>
      <c r="J213" s="383"/>
    </row>
    <row r="214" spans="1:10" ht="13.2" x14ac:dyDescent="0.25">
      <c r="A214" s="170">
        <f>+A213+1</f>
        <v>531</v>
      </c>
      <c r="B214" s="620" t="s">
        <v>1562</v>
      </c>
      <c r="C214" s="981" t="s">
        <v>1562</v>
      </c>
      <c r="D214" s="982">
        <v>0</v>
      </c>
      <c r="E214" s="982">
        <v>0</v>
      </c>
      <c r="F214" s="982">
        <v>0</v>
      </c>
      <c r="G214" s="982">
        <v>0</v>
      </c>
      <c r="H214" s="982">
        <v>0</v>
      </c>
      <c r="I214" s="983" t="s">
        <v>1562</v>
      </c>
      <c r="J214" s="383"/>
    </row>
    <row r="215" spans="1:10" ht="13.2" x14ac:dyDescent="0.25">
      <c r="A215" s="170">
        <f t="shared" si="5"/>
        <v>532</v>
      </c>
      <c r="B215" s="620" t="s">
        <v>1562</v>
      </c>
      <c r="C215" s="981" t="s">
        <v>1562</v>
      </c>
      <c r="D215" s="982">
        <v>0</v>
      </c>
      <c r="E215" s="982">
        <v>0</v>
      </c>
      <c r="F215" s="982">
        <v>0</v>
      </c>
      <c r="G215" s="982">
        <v>0</v>
      </c>
      <c r="H215" s="982">
        <v>0</v>
      </c>
      <c r="I215" s="983" t="s">
        <v>1562</v>
      </c>
      <c r="J215" s="383"/>
    </row>
    <row r="216" spans="1:10" ht="13.2" x14ac:dyDescent="0.25">
      <c r="A216" s="170">
        <f>+A215+1</f>
        <v>533</v>
      </c>
      <c r="B216" s="620" t="s">
        <v>1562</v>
      </c>
      <c r="C216" s="981" t="s">
        <v>1562</v>
      </c>
      <c r="D216" s="982">
        <v>0</v>
      </c>
      <c r="E216" s="982">
        <v>0</v>
      </c>
      <c r="F216" s="982">
        <v>0</v>
      </c>
      <c r="G216" s="982">
        <v>0</v>
      </c>
      <c r="H216" s="982">
        <v>0</v>
      </c>
      <c r="I216" s="983" t="s">
        <v>1562</v>
      </c>
      <c r="J216" s="383"/>
    </row>
    <row r="217" spans="1:10" ht="13.2" x14ac:dyDescent="0.25">
      <c r="A217" s="170">
        <f t="shared" si="5"/>
        <v>534</v>
      </c>
      <c r="B217" s="620" t="s">
        <v>1562</v>
      </c>
      <c r="C217" s="981" t="s">
        <v>1562</v>
      </c>
      <c r="D217" s="982">
        <v>0</v>
      </c>
      <c r="E217" s="982">
        <v>0</v>
      </c>
      <c r="F217" s="982">
        <v>0</v>
      </c>
      <c r="G217" s="982">
        <v>0</v>
      </c>
      <c r="H217" s="982">
        <v>0</v>
      </c>
      <c r="I217" s="983" t="s">
        <v>1562</v>
      </c>
      <c r="J217" s="383"/>
    </row>
    <row r="218" spans="1:10" ht="13.2" x14ac:dyDescent="0.25">
      <c r="A218" s="170">
        <f t="shared" si="5"/>
        <v>535</v>
      </c>
      <c r="B218" s="620" t="s">
        <v>1562</v>
      </c>
      <c r="C218" s="981" t="s">
        <v>1562</v>
      </c>
      <c r="D218" s="982">
        <v>0</v>
      </c>
      <c r="E218" s="982">
        <v>0</v>
      </c>
      <c r="F218" s="982">
        <v>0</v>
      </c>
      <c r="G218" s="982">
        <v>0</v>
      </c>
      <c r="H218" s="982">
        <v>0</v>
      </c>
      <c r="I218" s="983" t="s">
        <v>1562</v>
      </c>
      <c r="J218" s="383"/>
    </row>
    <row r="219" spans="1:10" ht="13.2" x14ac:dyDescent="0.25">
      <c r="A219" s="170">
        <f t="shared" si="5"/>
        <v>536</v>
      </c>
      <c r="B219" s="620" t="s">
        <v>1562</v>
      </c>
      <c r="C219" s="981" t="s">
        <v>1562</v>
      </c>
      <c r="D219" s="982">
        <v>0</v>
      </c>
      <c r="E219" s="982">
        <v>0</v>
      </c>
      <c r="F219" s="982">
        <v>0</v>
      </c>
      <c r="G219" s="982">
        <v>0</v>
      </c>
      <c r="H219" s="982">
        <v>0</v>
      </c>
      <c r="I219" s="983" t="s">
        <v>1562</v>
      </c>
      <c r="J219" s="383"/>
    </row>
    <row r="220" spans="1:10" ht="13.2" x14ac:dyDescent="0.25">
      <c r="A220" s="170">
        <f t="shared" si="5"/>
        <v>537</v>
      </c>
      <c r="B220" s="620" t="s">
        <v>1562</v>
      </c>
      <c r="C220" s="981" t="s">
        <v>1562</v>
      </c>
      <c r="D220" s="982">
        <v>0</v>
      </c>
      <c r="E220" s="982">
        <v>0</v>
      </c>
      <c r="F220" s="982">
        <v>0</v>
      </c>
      <c r="G220" s="982">
        <v>0</v>
      </c>
      <c r="H220" s="982">
        <v>0</v>
      </c>
      <c r="I220" s="983" t="s">
        <v>1562</v>
      </c>
      <c r="J220" s="383"/>
    </row>
    <row r="221" spans="1:10" ht="13.2" x14ac:dyDescent="0.25">
      <c r="A221" s="170">
        <f t="shared" si="5"/>
        <v>538</v>
      </c>
      <c r="B221" s="620" t="s">
        <v>1562</v>
      </c>
      <c r="C221" s="981" t="s">
        <v>1562</v>
      </c>
      <c r="D221" s="982">
        <v>0</v>
      </c>
      <c r="E221" s="982">
        <v>0</v>
      </c>
      <c r="F221" s="982">
        <v>0</v>
      </c>
      <c r="G221" s="982">
        <v>0</v>
      </c>
      <c r="H221" s="982">
        <v>0</v>
      </c>
      <c r="I221" s="983" t="s">
        <v>1562</v>
      </c>
      <c r="J221" s="383"/>
    </row>
    <row r="222" spans="1:10" ht="13.2" x14ac:dyDescent="0.25">
      <c r="A222" s="170">
        <f t="shared" si="5"/>
        <v>539</v>
      </c>
      <c r="B222" s="620" t="s">
        <v>1562</v>
      </c>
      <c r="C222" s="981" t="s">
        <v>1562</v>
      </c>
      <c r="D222" s="982">
        <v>0</v>
      </c>
      <c r="E222" s="982">
        <v>0</v>
      </c>
      <c r="F222" s="982">
        <v>0</v>
      </c>
      <c r="G222" s="982">
        <v>0</v>
      </c>
      <c r="H222" s="982">
        <v>0</v>
      </c>
      <c r="I222" s="983" t="s">
        <v>1562</v>
      </c>
      <c r="J222" s="383"/>
    </row>
    <row r="223" spans="1:10" ht="13.2" x14ac:dyDescent="0.25">
      <c r="A223" s="103"/>
      <c r="B223" s="542"/>
      <c r="C223" s="543"/>
      <c r="D223" s="544"/>
      <c r="E223" s="217"/>
      <c r="F223" s="217"/>
      <c r="G223" s="217"/>
      <c r="H223" s="217"/>
      <c r="I223" s="222"/>
      <c r="J223" s="222"/>
    </row>
    <row r="224" spans="1:10" ht="13.2" x14ac:dyDescent="0.25">
      <c r="A224" s="103"/>
      <c r="B224" s="607" t="s">
        <v>1803</v>
      </c>
      <c r="C224" s="631"/>
      <c r="D224" s="623"/>
      <c r="E224" s="215"/>
      <c r="F224" s="215"/>
      <c r="G224" s="215"/>
      <c r="H224" s="215"/>
      <c r="I224" s="213"/>
      <c r="J224" s="222"/>
    </row>
    <row r="225" spans="1:10" ht="13.2" x14ac:dyDescent="0.25">
      <c r="A225" s="103"/>
      <c r="B225" s="607"/>
      <c r="C225" s="84" t="s">
        <v>394</v>
      </c>
      <c r="D225" s="84" t="s">
        <v>378</v>
      </c>
      <c r="E225" s="84" t="s">
        <v>379</v>
      </c>
      <c r="F225" s="84" t="s">
        <v>380</v>
      </c>
      <c r="G225" s="84" t="s">
        <v>381</v>
      </c>
      <c r="H225" s="84" t="s">
        <v>382</v>
      </c>
      <c r="I225" s="84" t="s">
        <v>383</v>
      </c>
      <c r="J225" s="222"/>
    </row>
    <row r="226" spans="1:10" ht="13.2" x14ac:dyDescent="0.25">
      <c r="A226" s="103"/>
      <c r="B226" s="611"/>
      <c r="C226" s="611"/>
      <c r="D226" s="632" t="s">
        <v>1781</v>
      </c>
      <c r="E226" s="632" t="s">
        <v>1782</v>
      </c>
      <c r="F226" s="632"/>
      <c r="G226" s="632"/>
      <c r="H226" s="632" t="s">
        <v>1421</v>
      </c>
      <c r="I226" s="940" t="s">
        <v>2279</v>
      </c>
      <c r="J226" s="222"/>
    </row>
    <row r="227" spans="1:10" ht="13.2" x14ac:dyDescent="0.25">
      <c r="A227" s="103"/>
      <c r="B227" s="614" t="s">
        <v>1802</v>
      </c>
      <c r="C227" s="614" t="s">
        <v>1784</v>
      </c>
      <c r="D227" s="633" t="s">
        <v>1785</v>
      </c>
      <c r="E227" s="633" t="s">
        <v>1786</v>
      </c>
      <c r="F227" s="633" t="s">
        <v>1787</v>
      </c>
      <c r="G227" s="633" t="s">
        <v>1788</v>
      </c>
      <c r="H227" s="633" t="s">
        <v>1775</v>
      </c>
      <c r="I227" s="614" t="s">
        <v>111</v>
      </c>
      <c r="J227" s="222"/>
    </row>
    <row r="228" spans="1:10" ht="13.2" x14ac:dyDescent="0.25">
      <c r="A228" s="103"/>
      <c r="B228" s="608" t="s">
        <v>1804</v>
      </c>
      <c r="C228" s="611"/>
      <c r="D228" s="632"/>
      <c r="E228" s="632"/>
      <c r="F228" s="632"/>
      <c r="G228" s="632"/>
      <c r="H228" s="632"/>
      <c r="I228" s="611"/>
      <c r="J228" s="222"/>
    </row>
    <row r="229" spans="1:10" ht="13.2" x14ac:dyDescent="0.25">
      <c r="A229" s="170">
        <f>A222+1</f>
        <v>540</v>
      </c>
      <c r="B229" s="620" t="s">
        <v>1562</v>
      </c>
      <c r="C229" s="981" t="s">
        <v>1562</v>
      </c>
      <c r="D229" s="982">
        <v>0</v>
      </c>
      <c r="E229" s="982">
        <v>0</v>
      </c>
      <c r="F229" s="982">
        <v>0</v>
      </c>
      <c r="G229" s="982">
        <v>0</v>
      </c>
      <c r="H229" s="982">
        <v>0</v>
      </c>
      <c r="I229" s="983" t="s">
        <v>1562</v>
      </c>
      <c r="J229" s="383"/>
    </row>
    <row r="230" spans="1:10" ht="13.2" x14ac:dyDescent="0.25">
      <c r="A230" s="170">
        <f t="shared" si="5"/>
        <v>541</v>
      </c>
      <c r="B230" s="620" t="s">
        <v>1562</v>
      </c>
      <c r="C230" s="981" t="s">
        <v>1562</v>
      </c>
      <c r="D230" s="982">
        <v>0</v>
      </c>
      <c r="E230" s="982">
        <v>0</v>
      </c>
      <c r="F230" s="982">
        <v>0</v>
      </c>
      <c r="G230" s="982">
        <v>0</v>
      </c>
      <c r="H230" s="982">
        <v>0</v>
      </c>
      <c r="I230" s="983" t="s">
        <v>1562</v>
      </c>
      <c r="J230" s="383"/>
    </row>
    <row r="231" spans="1:10" ht="13.2" x14ac:dyDescent="0.25">
      <c r="A231" s="170">
        <f t="shared" si="5"/>
        <v>542</v>
      </c>
      <c r="B231" s="620" t="s">
        <v>1562</v>
      </c>
      <c r="C231" s="981" t="s">
        <v>1562</v>
      </c>
      <c r="D231" s="982">
        <v>0</v>
      </c>
      <c r="E231" s="982">
        <v>0</v>
      </c>
      <c r="F231" s="982">
        <v>0</v>
      </c>
      <c r="G231" s="982">
        <v>0</v>
      </c>
      <c r="H231" s="982">
        <v>0</v>
      </c>
      <c r="I231" s="983" t="s">
        <v>1562</v>
      </c>
      <c r="J231" s="383"/>
    </row>
    <row r="232" spans="1:10" ht="13.2" x14ac:dyDescent="0.25">
      <c r="A232" s="170">
        <f t="shared" si="5"/>
        <v>543</v>
      </c>
      <c r="B232" s="620" t="s">
        <v>1562</v>
      </c>
      <c r="C232" s="981" t="s">
        <v>1562</v>
      </c>
      <c r="D232" s="982">
        <v>0</v>
      </c>
      <c r="E232" s="982">
        <v>0</v>
      </c>
      <c r="F232" s="982">
        <v>0</v>
      </c>
      <c r="G232" s="982">
        <v>0</v>
      </c>
      <c r="H232" s="982">
        <v>0</v>
      </c>
      <c r="I232" s="983" t="s">
        <v>1562</v>
      </c>
      <c r="J232" s="383"/>
    </row>
    <row r="233" spans="1:10" ht="13.2" x14ac:dyDescent="0.25">
      <c r="A233" s="170">
        <f t="shared" si="5"/>
        <v>544</v>
      </c>
      <c r="B233" s="620" t="s">
        <v>1562</v>
      </c>
      <c r="C233" s="981" t="s">
        <v>1562</v>
      </c>
      <c r="D233" s="982">
        <v>0</v>
      </c>
      <c r="E233" s="982">
        <v>0</v>
      </c>
      <c r="F233" s="982">
        <v>0</v>
      </c>
      <c r="G233" s="982">
        <v>0</v>
      </c>
      <c r="H233" s="982">
        <v>0</v>
      </c>
      <c r="I233" s="983" t="s">
        <v>1562</v>
      </c>
      <c r="J233" s="383"/>
    </row>
    <row r="234" spans="1:10" ht="13.2" x14ac:dyDescent="0.25">
      <c r="A234" s="170">
        <f t="shared" si="5"/>
        <v>545</v>
      </c>
      <c r="B234" s="620" t="s">
        <v>1562</v>
      </c>
      <c r="C234" s="981" t="s">
        <v>1562</v>
      </c>
      <c r="D234" s="982">
        <v>0</v>
      </c>
      <c r="E234" s="982">
        <v>0</v>
      </c>
      <c r="F234" s="982">
        <v>0</v>
      </c>
      <c r="G234" s="982">
        <v>0</v>
      </c>
      <c r="H234" s="982">
        <v>0</v>
      </c>
      <c r="I234" s="983" t="s">
        <v>1562</v>
      </c>
      <c r="J234" s="383"/>
    </row>
    <row r="235" spans="1:10" ht="13.2" x14ac:dyDescent="0.25">
      <c r="A235" s="170">
        <f t="shared" si="5"/>
        <v>546</v>
      </c>
      <c r="B235" s="620" t="s">
        <v>1562</v>
      </c>
      <c r="C235" s="981" t="s">
        <v>1562</v>
      </c>
      <c r="D235" s="982">
        <v>0</v>
      </c>
      <c r="E235" s="982">
        <v>0</v>
      </c>
      <c r="F235" s="982">
        <v>0</v>
      </c>
      <c r="G235" s="982">
        <v>0</v>
      </c>
      <c r="H235" s="982">
        <v>0</v>
      </c>
      <c r="I235" s="983" t="s">
        <v>1562</v>
      </c>
      <c r="J235" s="383"/>
    </row>
    <row r="236" spans="1:10" ht="13.2" x14ac:dyDescent="0.25">
      <c r="A236" s="170">
        <f t="shared" si="5"/>
        <v>547</v>
      </c>
      <c r="B236" s="620" t="s">
        <v>1562</v>
      </c>
      <c r="C236" s="981" t="s">
        <v>1562</v>
      </c>
      <c r="D236" s="982">
        <v>0</v>
      </c>
      <c r="E236" s="982">
        <v>0</v>
      </c>
      <c r="F236" s="982">
        <v>0</v>
      </c>
      <c r="G236" s="982">
        <v>0</v>
      </c>
      <c r="H236" s="982">
        <v>0</v>
      </c>
      <c r="I236" s="983" t="s">
        <v>1562</v>
      </c>
      <c r="J236" s="383"/>
    </row>
    <row r="237" spans="1:10" ht="13.2" x14ac:dyDescent="0.25">
      <c r="A237" s="170">
        <f t="shared" si="5"/>
        <v>548</v>
      </c>
      <c r="B237" s="620" t="s">
        <v>1562</v>
      </c>
      <c r="C237" s="981" t="s">
        <v>1562</v>
      </c>
      <c r="D237" s="982">
        <v>0</v>
      </c>
      <c r="E237" s="982">
        <v>0</v>
      </c>
      <c r="F237" s="982">
        <v>0</v>
      </c>
      <c r="G237" s="982">
        <v>0</v>
      </c>
      <c r="H237" s="982">
        <v>0</v>
      </c>
      <c r="I237" s="983" t="s">
        <v>1562</v>
      </c>
      <c r="J237" s="383"/>
    </row>
    <row r="238" spans="1:10" ht="13.2" x14ac:dyDescent="0.25">
      <c r="A238" s="170">
        <f t="shared" si="5"/>
        <v>549</v>
      </c>
      <c r="B238" s="620" t="s">
        <v>1562</v>
      </c>
      <c r="C238" s="981" t="s">
        <v>1562</v>
      </c>
      <c r="D238" s="982">
        <v>0</v>
      </c>
      <c r="E238" s="982">
        <v>0</v>
      </c>
      <c r="F238" s="982">
        <v>0</v>
      </c>
      <c r="G238" s="982">
        <v>0</v>
      </c>
      <c r="H238" s="982">
        <v>0</v>
      </c>
      <c r="I238" s="983" t="s">
        <v>1562</v>
      </c>
      <c r="J238" s="383"/>
    </row>
    <row r="239" spans="1:10" ht="13.2" x14ac:dyDescent="0.25">
      <c r="A239" s="170">
        <f t="shared" si="5"/>
        <v>550</v>
      </c>
      <c r="B239" s="620" t="s">
        <v>1562</v>
      </c>
      <c r="C239" s="981" t="s">
        <v>1562</v>
      </c>
      <c r="D239" s="982">
        <v>0</v>
      </c>
      <c r="E239" s="982">
        <v>0</v>
      </c>
      <c r="F239" s="982">
        <v>0</v>
      </c>
      <c r="G239" s="982">
        <v>0</v>
      </c>
      <c r="H239" s="982">
        <v>0</v>
      </c>
      <c r="I239" s="983" t="s">
        <v>1562</v>
      </c>
      <c r="J239" s="383"/>
    </row>
    <row r="240" spans="1:10" ht="13.2" x14ac:dyDescent="0.25">
      <c r="A240" s="170">
        <f t="shared" si="5"/>
        <v>551</v>
      </c>
      <c r="B240" s="620" t="s">
        <v>1562</v>
      </c>
      <c r="C240" s="981" t="s">
        <v>1562</v>
      </c>
      <c r="D240" s="982">
        <v>0</v>
      </c>
      <c r="E240" s="982">
        <v>0</v>
      </c>
      <c r="F240" s="982">
        <v>0</v>
      </c>
      <c r="G240" s="982">
        <v>0</v>
      </c>
      <c r="H240" s="982">
        <v>0</v>
      </c>
      <c r="I240" s="983" t="s">
        <v>1562</v>
      </c>
      <c r="J240" s="383"/>
    </row>
    <row r="241" spans="1:10" ht="13.2" x14ac:dyDescent="0.25">
      <c r="A241" s="170">
        <f t="shared" si="5"/>
        <v>552</v>
      </c>
      <c r="B241" s="620" t="s">
        <v>1562</v>
      </c>
      <c r="C241" s="981" t="s">
        <v>1562</v>
      </c>
      <c r="D241" s="982">
        <v>0</v>
      </c>
      <c r="E241" s="982">
        <v>0</v>
      </c>
      <c r="F241" s="982">
        <v>0</v>
      </c>
      <c r="G241" s="982">
        <v>0</v>
      </c>
      <c r="H241" s="982">
        <v>0</v>
      </c>
      <c r="I241" s="983" t="s">
        <v>1562</v>
      </c>
      <c r="J241" s="383"/>
    </row>
    <row r="242" spans="1:10" ht="13.2" x14ac:dyDescent="0.25">
      <c r="A242" s="170">
        <f t="shared" si="5"/>
        <v>553</v>
      </c>
      <c r="B242" s="620" t="s">
        <v>1562</v>
      </c>
      <c r="C242" s="981" t="s">
        <v>1562</v>
      </c>
      <c r="D242" s="982">
        <v>0</v>
      </c>
      <c r="E242" s="982">
        <v>0</v>
      </c>
      <c r="F242" s="982">
        <v>0</v>
      </c>
      <c r="G242" s="982">
        <v>0</v>
      </c>
      <c r="H242" s="982">
        <v>0</v>
      </c>
      <c r="I242" s="983" t="s">
        <v>1562</v>
      </c>
      <c r="J242" s="383"/>
    </row>
    <row r="243" spans="1:10" ht="13.2" x14ac:dyDescent="0.25">
      <c r="A243" s="170">
        <f t="shared" si="5"/>
        <v>554</v>
      </c>
      <c r="B243" s="620" t="s">
        <v>1562</v>
      </c>
      <c r="C243" s="981" t="s">
        <v>1562</v>
      </c>
      <c r="D243" s="982">
        <v>0</v>
      </c>
      <c r="E243" s="982">
        <v>0</v>
      </c>
      <c r="F243" s="982">
        <v>0</v>
      </c>
      <c r="G243" s="982">
        <v>0</v>
      </c>
      <c r="H243" s="982">
        <v>0</v>
      </c>
      <c r="I243" s="983" t="s">
        <v>1562</v>
      </c>
      <c r="J243" s="383"/>
    </row>
    <row r="244" spans="1:10" ht="13.2" x14ac:dyDescent="0.25">
      <c r="A244" s="170">
        <f t="shared" si="5"/>
        <v>555</v>
      </c>
      <c r="B244" s="620" t="s">
        <v>1562</v>
      </c>
      <c r="C244" s="981" t="s">
        <v>1562</v>
      </c>
      <c r="D244" s="982">
        <v>0</v>
      </c>
      <c r="E244" s="982">
        <v>0</v>
      </c>
      <c r="F244" s="982">
        <v>0</v>
      </c>
      <c r="G244" s="982">
        <v>0</v>
      </c>
      <c r="H244" s="982">
        <v>0</v>
      </c>
      <c r="I244" s="983" t="s">
        <v>1562</v>
      </c>
      <c r="J244" s="383"/>
    </row>
    <row r="245" spans="1:10" ht="13.2" x14ac:dyDescent="0.25">
      <c r="A245" s="170">
        <f t="shared" si="5"/>
        <v>556</v>
      </c>
      <c r="B245" s="620" t="s">
        <v>1562</v>
      </c>
      <c r="C245" s="981" t="s">
        <v>1562</v>
      </c>
      <c r="D245" s="982">
        <v>0</v>
      </c>
      <c r="E245" s="982">
        <v>0</v>
      </c>
      <c r="F245" s="982">
        <v>0</v>
      </c>
      <c r="G245" s="982">
        <v>0</v>
      </c>
      <c r="H245" s="982">
        <v>0</v>
      </c>
      <c r="I245" s="983" t="s">
        <v>1562</v>
      </c>
      <c r="J245" s="383"/>
    </row>
    <row r="246" spans="1:10" ht="13.2" x14ac:dyDescent="0.25">
      <c r="A246" s="170">
        <f t="shared" si="5"/>
        <v>557</v>
      </c>
      <c r="B246" s="620" t="s">
        <v>1562</v>
      </c>
      <c r="C246" s="981" t="s">
        <v>1562</v>
      </c>
      <c r="D246" s="982">
        <v>0</v>
      </c>
      <c r="E246" s="982">
        <v>0</v>
      </c>
      <c r="F246" s="982">
        <v>0</v>
      </c>
      <c r="G246" s="982">
        <v>0</v>
      </c>
      <c r="H246" s="982">
        <v>0</v>
      </c>
      <c r="I246" s="983" t="s">
        <v>1562</v>
      </c>
      <c r="J246" s="383"/>
    </row>
    <row r="247" spans="1:10" ht="13.2" x14ac:dyDescent="0.25">
      <c r="A247" s="170">
        <f t="shared" si="5"/>
        <v>558</v>
      </c>
      <c r="B247" s="620" t="s">
        <v>1562</v>
      </c>
      <c r="C247" s="981" t="s">
        <v>1562</v>
      </c>
      <c r="D247" s="982">
        <v>0</v>
      </c>
      <c r="E247" s="982">
        <v>0</v>
      </c>
      <c r="F247" s="982">
        <v>0</v>
      </c>
      <c r="G247" s="982">
        <v>0</v>
      </c>
      <c r="H247" s="982">
        <v>0</v>
      </c>
      <c r="I247" s="983" t="s">
        <v>1562</v>
      </c>
      <c r="J247" s="383"/>
    </row>
    <row r="248" spans="1:10" ht="13.2" x14ac:dyDescent="0.25">
      <c r="A248" s="170">
        <f t="shared" ref="A248:A277" si="6">A247+1</f>
        <v>559</v>
      </c>
      <c r="B248" s="620" t="s">
        <v>1562</v>
      </c>
      <c r="C248" s="981" t="s">
        <v>1562</v>
      </c>
      <c r="D248" s="982">
        <v>0</v>
      </c>
      <c r="E248" s="982">
        <v>0</v>
      </c>
      <c r="F248" s="982">
        <v>0</v>
      </c>
      <c r="G248" s="982">
        <v>0</v>
      </c>
      <c r="H248" s="982">
        <v>0</v>
      </c>
      <c r="I248" s="983" t="s">
        <v>1562</v>
      </c>
      <c r="J248" s="383"/>
    </row>
    <row r="249" spans="1:10" ht="13.2" x14ac:dyDescent="0.25">
      <c r="A249" s="170">
        <f t="shared" si="6"/>
        <v>560</v>
      </c>
      <c r="B249" s="620" t="s">
        <v>1562</v>
      </c>
      <c r="C249" s="981" t="s">
        <v>1562</v>
      </c>
      <c r="D249" s="982">
        <v>0</v>
      </c>
      <c r="E249" s="982">
        <v>0</v>
      </c>
      <c r="F249" s="982">
        <v>0</v>
      </c>
      <c r="G249" s="982">
        <v>0</v>
      </c>
      <c r="H249" s="982">
        <v>0</v>
      </c>
      <c r="I249" s="983" t="s">
        <v>1562</v>
      </c>
      <c r="J249" s="383"/>
    </row>
    <row r="250" spans="1:10" ht="13.2" x14ac:dyDescent="0.25">
      <c r="A250" s="170">
        <f t="shared" si="6"/>
        <v>561</v>
      </c>
      <c r="B250" s="620" t="s">
        <v>1562</v>
      </c>
      <c r="C250" s="981" t="s">
        <v>1562</v>
      </c>
      <c r="D250" s="982">
        <v>0</v>
      </c>
      <c r="E250" s="982">
        <v>0</v>
      </c>
      <c r="F250" s="982">
        <v>0</v>
      </c>
      <c r="G250" s="982">
        <v>0</v>
      </c>
      <c r="H250" s="982">
        <v>0</v>
      </c>
      <c r="I250" s="983" t="s">
        <v>1562</v>
      </c>
      <c r="J250" s="383"/>
    </row>
    <row r="251" spans="1:10" ht="13.2" x14ac:dyDescent="0.25">
      <c r="A251" s="170">
        <f t="shared" si="6"/>
        <v>562</v>
      </c>
      <c r="B251" s="620" t="s">
        <v>1562</v>
      </c>
      <c r="C251" s="981" t="s">
        <v>1562</v>
      </c>
      <c r="D251" s="982">
        <v>0</v>
      </c>
      <c r="E251" s="982">
        <v>0</v>
      </c>
      <c r="F251" s="982">
        <v>0</v>
      </c>
      <c r="G251" s="982">
        <v>0</v>
      </c>
      <c r="H251" s="982">
        <v>0</v>
      </c>
      <c r="I251" s="983" t="s">
        <v>1562</v>
      </c>
      <c r="J251" s="383"/>
    </row>
    <row r="252" spans="1:10" ht="13.2" x14ac:dyDescent="0.25">
      <c r="A252" s="170">
        <f t="shared" si="6"/>
        <v>563</v>
      </c>
      <c r="B252" s="620" t="s">
        <v>1562</v>
      </c>
      <c r="C252" s="981" t="s">
        <v>1562</v>
      </c>
      <c r="D252" s="982">
        <v>0</v>
      </c>
      <c r="E252" s="982">
        <v>0</v>
      </c>
      <c r="F252" s="982">
        <v>0</v>
      </c>
      <c r="G252" s="982">
        <v>0</v>
      </c>
      <c r="H252" s="982">
        <v>0</v>
      </c>
      <c r="I252" s="983" t="s">
        <v>1562</v>
      </c>
      <c r="J252" s="383"/>
    </row>
    <row r="253" spans="1:10" ht="13.2" x14ac:dyDescent="0.25">
      <c r="A253" s="170">
        <f t="shared" si="6"/>
        <v>564</v>
      </c>
      <c r="B253" s="620" t="s">
        <v>1562</v>
      </c>
      <c r="C253" s="981" t="s">
        <v>1562</v>
      </c>
      <c r="D253" s="982">
        <v>0</v>
      </c>
      <c r="E253" s="982">
        <v>0</v>
      </c>
      <c r="F253" s="982">
        <v>0</v>
      </c>
      <c r="G253" s="982">
        <v>0</v>
      </c>
      <c r="H253" s="982">
        <v>0</v>
      </c>
      <c r="I253" s="983" t="s">
        <v>1562</v>
      </c>
      <c r="J253" s="383"/>
    </row>
    <row r="254" spans="1:10" ht="13.2" x14ac:dyDescent="0.25">
      <c r="A254" s="170">
        <f t="shared" si="6"/>
        <v>565</v>
      </c>
      <c r="B254" s="620" t="s">
        <v>1562</v>
      </c>
      <c r="C254" s="981" t="s">
        <v>1562</v>
      </c>
      <c r="D254" s="982">
        <v>0</v>
      </c>
      <c r="E254" s="982">
        <v>0</v>
      </c>
      <c r="F254" s="982">
        <v>0</v>
      </c>
      <c r="G254" s="982">
        <v>0</v>
      </c>
      <c r="H254" s="982">
        <v>0</v>
      </c>
      <c r="I254" s="983" t="s">
        <v>1562</v>
      </c>
      <c r="J254" s="383"/>
    </row>
    <row r="255" spans="1:10" ht="13.2" x14ac:dyDescent="0.25">
      <c r="A255" s="170">
        <f t="shared" si="6"/>
        <v>566</v>
      </c>
      <c r="B255" s="620" t="s">
        <v>1562</v>
      </c>
      <c r="C255" s="981" t="s">
        <v>1562</v>
      </c>
      <c r="D255" s="982">
        <v>0</v>
      </c>
      <c r="E255" s="982">
        <v>0</v>
      </c>
      <c r="F255" s="982">
        <v>0</v>
      </c>
      <c r="G255" s="982">
        <v>0</v>
      </c>
      <c r="H255" s="982">
        <v>0</v>
      </c>
      <c r="I255" s="983" t="s">
        <v>1562</v>
      </c>
      <c r="J255" s="733"/>
    </row>
    <row r="256" spans="1:10" ht="13.2" x14ac:dyDescent="0.25">
      <c r="A256" s="170">
        <f t="shared" si="6"/>
        <v>567</v>
      </c>
      <c r="B256" s="620" t="s">
        <v>1562</v>
      </c>
      <c r="C256" s="981" t="s">
        <v>1562</v>
      </c>
      <c r="D256" s="982">
        <v>0</v>
      </c>
      <c r="E256" s="982">
        <v>0</v>
      </c>
      <c r="F256" s="982">
        <v>0</v>
      </c>
      <c r="G256" s="982">
        <v>0</v>
      </c>
      <c r="H256" s="982">
        <v>0</v>
      </c>
      <c r="I256" s="983" t="s">
        <v>1562</v>
      </c>
      <c r="J256" s="383"/>
    </row>
    <row r="257" spans="1:10" ht="13.2" x14ac:dyDescent="0.25">
      <c r="A257" s="170">
        <f t="shared" si="6"/>
        <v>568</v>
      </c>
      <c r="B257" s="620" t="s">
        <v>1562</v>
      </c>
      <c r="C257" s="981" t="s">
        <v>1562</v>
      </c>
      <c r="D257" s="982">
        <v>0</v>
      </c>
      <c r="E257" s="982">
        <v>0</v>
      </c>
      <c r="F257" s="982">
        <v>0</v>
      </c>
      <c r="G257" s="982">
        <v>0</v>
      </c>
      <c r="H257" s="982">
        <v>0</v>
      </c>
      <c r="I257" s="983" t="s">
        <v>1562</v>
      </c>
      <c r="J257" s="383"/>
    </row>
    <row r="258" spans="1:10" ht="13.2" x14ac:dyDescent="0.25">
      <c r="A258" s="170">
        <f t="shared" si="6"/>
        <v>569</v>
      </c>
      <c r="B258" s="545" t="s">
        <v>563</v>
      </c>
      <c r="C258" s="541"/>
      <c r="D258" s="546"/>
      <c r="E258" s="218"/>
      <c r="F258" s="218"/>
      <c r="G258" s="218"/>
      <c r="H258" s="218"/>
      <c r="I258" s="383"/>
      <c r="J258" s="383"/>
    </row>
    <row r="259" spans="1:10" ht="13.2" x14ac:dyDescent="0.25">
      <c r="A259" s="103"/>
      <c r="B259" s="547"/>
      <c r="C259" s="548"/>
      <c r="D259" s="469"/>
      <c r="E259" s="217"/>
      <c r="F259" s="217"/>
      <c r="G259" s="217"/>
      <c r="H259" s="217"/>
      <c r="I259" s="222"/>
      <c r="J259" s="222"/>
    </row>
    <row r="260" spans="1:10" ht="13.2" x14ac:dyDescent="0.25">
      <c r="A260" s="103">
        <v>650</v>
      </c>
      <c r="B260" s="548"/>
      <c r="C260" s="548" t="s">
        <v>1805</v>
      </c>
      <c r="D260" s="469">
        <f>SUM(D183:D222)+SUM(D229:D257)</f>
        <v>0</v>
      </c>
      <c r="E260" s="469">
        <f>SUM(E183:E222)+SUM(E229:E257)</f>
        <v>0</v>
      </c>
      <c r="F260" s="469">
        <f>SUM(F183:F222)+SUM(F229:F257)</f>
        <v>0</v>
      </c>
      <c r="G260" s="469">
        <f>SUM(G183:G222)+SUM(G229:G257)</f>
        <v>0</v>
      </c>
      <c r="H260" s="469">
        <f>SUM(H183:H222)+SUM(H229:H257)</f>
        <v>0</v>
      </c>
      <c r="I260" s="230" t="str">
        <f>"Sum of Above Lines beginning on Line "&amp;A183&amp;""</f>
        <v>Sum of Above Lines beginning on Line 500</v>
      </c>
      <c r="J260" s="213"/>
    </row>
    <row r="261" spans="1:10" ht="13.2" x14ac:dyDescent="0.25">
      <c r="A261" s="103"/>
      <c r="B261" s="548"/>
      <c r="C261" s="548"/>
      <c r="D261" s="469"/>
      <c r="E261" s="469"/>
      <c r="F261" s="469"/>
      <c r="G261" s="469"/>
      <c r="H261" s="469"/>
      <c r="I261" s="536"/>
      <c r="J261" s="213"/>
    </row>
    <row r="262" spans="1:10" ht="13.2" x14ac:dyDescent="0.25">
      <c r="A262" s="577"/>
      <c r="B262" s="618" t="s">
        <v>1955</v>
      </c>
      <c r="C262" s="548"/>
      <c r="D262" s="469"/>
      <c r="E262" s="215"/>
      <c r="F262" s="215"/>
      <c r="G262" s="215"/>
      <c r="H262" s="215"/>
      <c r="I262" s="940" t="s">
        <v>2279</v>
      </c>
      <c r="J262" s="213"/>
    </row>
    <row r="263" spans="1:10" x14ac:dyDescent="0.3">
      <c r="A263" s="577"/>
      <c r="C263" s="84" t="s">
        <v>394</v>
      </c>
      <c r="D263" s="84" t="s">
        <v>378</v>
      </c>
      <c r="E263" s="84" t="s">
        <v>379</v>
      </c>
      <c r="F263" s="84" t="s">
        <v>380</v>
      </c>
      <c r="G263" s="84" t="s">
        <v>381</v>
      </c>
      <c r="H263" s="84" t="s">
        <v>382</v>
      </c>
      <c r="I263" s="84" t="s">
        <v>383</v>
      </c>
      <c r="J263" s="213"/>
    </row>
    <row r="264" spans="1:10" ht="13.2" x14ac:dyDescent="0.25">
      <c r="A264" s="170">
        <v>700</v>
      </c>
      <c r="B264" s="620" t="s">
        <v>1562</v>
      </c>
      <c r="C264" s="981" t="s">
        <v>1562</v>
      </c>
      <c r="D264" s="982">
        <v>0</v>
      </c>
      <c r="E264" s="982">
        <v>0</v>
      </c>
      <c r="F264" s="982">
        <v>0</v>
      </c>
      <c r="G264" s="982">
        <v>0</v>
      </c>
      <c r="H264" s="982">
        <v>0</v>
      </c>
      <c r="I264" s="983" t="s">
        <v>1562</v>
      </c>
      <c r="J264" s="732"/>
    </row>
    <row r="265" spans="1:10" ht="13.2" x14ac:dyDescent="0.25">
      <c r="A265" s="170">
        <f t="shared" si="6"/>
        <v>701</v>
      </c>
      <c r="B265" s="620" t="s">
        <v>1562</v>
      </c>
      <c r="C265" s="981" t="s">
        <v>1562</v>
      </c>
      <c r="D265" s="982">
        <v>0</v>
      </c>
      <c r="E265" s="982">
        <v>0</v>
      </c>
      <c r="F265" s="982">
        <v>0</v>
      </c>
      <c r="G265" s="982">
        <v>0</v>
      </c>
      <c r="H265" s="982">
        <v>0</v>
      </c>
      <c r="I265" s="983" t="s">
        <v>1562</v>
      </c>
      <c r="J265" s="732"/>
    </row>
    <row r="266" spans="1:10" ht="13.2" x14ac:dyDescent="0.25">
      <c r="A266" s="170">
        <f t="shared" si="6"/>
        <v>702</v>
      </c>
      <c r="B266" s="620" t="s">
        <v>1562</v>
      </c>
      <c r="C266" s="981" t="s">
        <v>1562</v>
      </c>
      <c r="D266" s="982">
        <v>0</v>
      </c>
      <c r="E266" s="982">
        <v>0</v>
      </c>
      <c r="F266" s="982">
        <v>0</v>
      </c>
      <c r="G266" s="982">
        <v>0</v>
      </c>
      <c r="H266" s="982">
        <v>0</v>
      </c>
      <c r="I266" s="983" t="s">
        <v>1562</v>
      </c>
      <c r="J266" s="732"/>
    </row>
    <row r="267" spans="1:10" ht="13.2" x14ac:dyDescent="0.25">
      <c r="A267" s="170">
        <f t="shared" si="6"/>
        <v>703</v>
      </c>
      <c r="B267" s="620" t="s">
        <v>1562</v>
      </c>
      <c r="C267" s="981" t="s">
        <v>1562</v>
      </c>
      <c r="D267" s="982">
        <v>0</v>
      </c>
      <c r="E267" s="982">
        <v>0</v>
      </c>
      <c r="F267" s="982">
        <v>0</v>
      </c>
      <c r="G267" s="982">
        <v>0</v>
      </c>
      <c r="H267" s="982">
        <v>0</v>
      </c>
      <c r="I267" s="983" t="s">
        <v>1562</v>
      </c>
      <c r="J267" s="732"/>
    </row>
    <row r="268" spans="1:10" ht="13.2" x14ac:dyDescent="0.25">
      <c r="A268" s="170">
        <f t="shared" si="6"/>
        <v>704</v>
      </c>
      <c r="B268" s="620" t="s">
        <v>1562</v>
      </c>
      <c r="C268" s="981" t="s">
        <v>1562</v>
      </c>
      <c r="D268" s="982">
        <v>0</v>
      </c>
      <c r="E268" s="982">
        <v>0</v>
      </c>
      <c r="F268" s="982">
        <v>0</v>
      </c>
      <c r="G268" s="982">
        <v>0</v>
      </c>
      <c r="H268" s="982">
        <v>0</v>
      </c>
      <c r="I268" s="983" t="s">
        <v>1562</v>
      </c>
      <c r="J268" s="732"/>
    </row>
    <row r="269" spans="1:10" ht="13.2" x14ac:dyDescent="0.25">
      <c r="A269" s="170">
        <f t="shared" si="6"/>
        <v>705</v>
      </c>
      <c r="B269" s="620" t="s">
        <v>1562</v>
      </c>
      <c r="C269" s="981" t="s">
        <v>1562</v>
      </c>
      <c r="D269" s="982">
        <v>0</v>
      </c>
      <c r="E269" s="982">
        <v>0</v>
      </c>
      <c r="F269" s="982">
        <v>0</v>
      </c>
      <c r="G269" s="982">
        <v>0</v>
      </c>
      <c r="H269" s="982">
        <v>0</v>
      </c>
      <c r="I269" s="983" t="s">
        <v>1562</v>
      </c>
      <c r="J269" s="732"/>
    </row>
    <row r="270" spans="1:10" ht="13.2" x14ac:dyDescent="0.25">
      <c r="A270" s="170">
        <f t="shared" si="6"/>
        <v>706</v>
      </c>
      <c r="B270" s="620" t="s">
        <v>1562</v>
      </c>
      <c r="C270" s="981" t="s">
        <v>1562</v>
      </c>
      <c r="D270" s="982">
        <v>0</v>
      </c>
      <c r="E270" s="982">
        <v>0</v>
      </c>
      <c r="F270" s="982">
        <v>0</v>
      </c>
      <c r="G270" s="982">
        <v>0</v>
      </c>
      <c r="H270" s="982">
        <v>0</v>
      </c>
      <c r="I270" s="983" t="s">
        <v>1562</v>
      </c>
      <c r="J270" s="732"/>
    </row>
    <row r="271" spans="1:10" ht="13.2" x14ac:dyDescent="0.25">
      <c r="A271" s="170">
        <f t="shared" si="6"/>
        <v>707</v>
      </c>
      <c r="B271" s="620" t="s">
        <v>1562</v>
      </c>
      <c r="C271" s="981" t="s">
        <v>1562</v>
      </c>
      <c r="D271" s="982">
        <v>0</v>
      </c>
      <c r="E271" s="982">
        <v>0</v>
      </c>
      <c r="F271" s="982">
        <v>0</v>
      </c>
      <c r="G271" s="982">
        <v>0</v>
      </c>
      <c r="H271" s="982">
        <v>0</v>
      </c>
      <c r="I271" s="983" t="s">
        <v>1562</v>
      </c>
      <c r="J271" s="383"/>
    </row>
    <row r="272" spans="1:10" ht="13.2" x14ac:dyDescent="0.25">
      <c r="A272" s="170">
        <f t="shared" si="6"/>
        <v>708</v>
      </c>
      <c r="B272" s="620" t="s">
        <v>1562</v>
      </c>
      <c r="C272" s="981" t="s">
        <v>1562</v>
      </c>
      <c r="D272" s="982">
        <v>0</v>
      </c>
      <c r="E272" s="982">
        <v>0</v>
      </c>
      <c r="F272" s="982">
        <v>0</v>
      </c>
      <c r="G272" s="982">
        <v>0</v>
      </c>
      <c r="H272" s="982">
        <v>0</v>
      </c>
      <c r="I272" s="983" t="s">
        <v>1562</v>
      </c>
      <c r="J272" s="383"/>
    </row>
    <row r="273" spans="1:10" ht="13.2" x14ac:dyDescent="0.25">
      <c r="A273" s="170">
        <f t="shared" si="6"/>
        <v>709</v>
      </c>
      <c r="B273" s="620" t="s">
        <v>1562</v>
      </c>
      <c r="C273" s="981" t="s">
        <v>1562</v>
      </c>
      <c r="D273" s="982">
        <v>0</v>
      </c>
      <c r="E273" s="982">
        <v>0</v>
      </c>
      <c r="F273" s="982">
        <v>0</v>
      </c>
      <c r="G273" s="982">
        <v>0</v>
      </c>
      <c r="H273" s="982">
        <v>0</v>
      </c>
      <c r="I273" s="983" t="s">
        <v>1562</v>
      </c>
      <c r="J273" s="383"/>
    </row>
    <row r="274" spans="1:10" ht="13.2" x14ac:dyDescent="0.25">
      <c r="A274" s="170">
        <f t="shared" si="6"/>
        <v>710</v>
      </c>
      <c r="B274" s="620" t="s">
        <v>1562</v>
      </c>
      <c r="C274" s="981" t="s">
        <v>1562</v>
      </c>
      <c r="D274" s="982">
        <v>0</v>
      </c>
      <c r="E274" s="982">
        <v>0</v>
      </c>
      <c r="F274" s="982">
        <v>0</v>
      </c>
      <c r="G274" s="982">
        <v>0</v>
      </c>
      <c r="H274" s="982">
        <v>0</v>
      </c>
      <c r="I274" s="983" t="s">
        <v>1562</v>
      </c>
      <c r="J274" s="383"/>
    </row>
    <row r="275" spans="1:10" ht="13.2" x14ac:dyDescent="0.25">
      <c r="A275" s="170">
        <f t="shared" si="6"/>
        <v>711</v>
      </c>
      <c r="B275" s="620" t="s">
        <v>1562</v>
      </c>
      <c r="C275" s="981" t="s">
        <v>1562</v>
      </c>
      <c r="D275" s="982">
        <v>0</v>
      </c>
      <c r="E275" s="982">
        <v>0</v>
      </c>
      <c r="F275" s="982">
        <v>0</v>
      </c>
      <c r="G275" s="982">
        <v>0</v>
      </c>
      <c r="H275" s="982">
        <v>0</v>
      </c>
      <c r="I275" s="983" t="s">
        <v>1562</v>
      </c>
      <c r="J275" s="383"/>
    </row>
    <row r="276" spans="1:10" ht="13.2" x14ac:dyDescent="0.25">
      <c r="A276" s="170">
        <f t="shared" si="6"/>
        <v>712</v>
      </c>
      <c r="B276" s="620" t="s">
        <v>1562</v>
      </c>
      <c r="C276" s="981" t="s">
        <v>1562</v>
      </c>
      <c r="D276" s="982">
        <v>0</v>
      </c>
      <c r="E276" s="982">
        <v>0</v>
      </c>
      <c r="F276" s="982">
        <v>0</v>
      </c>
      <c r="G276" s="982">
        <v>0</v>
      </c>
      <c r="H276" s="982">
        <v>0</v>
      </c>
      <c r="I276" s="983" t="s">
        <v>1562</v>
      </c>
      <c r="J276" s="383"/>
    </row>
    <row r="277" spans="1:10" ht="13.2" x14ac:dyDescent="0.25">
      <c r="A277" s="170">
        <f t="shared" si="6"/>
        <v>713</v>
      </c>
      <c r="B277" s="549" t="s">
        <v>563</v>
      </c>
      <c r="C277" s="539"/>
      <c r="D277" s="540"/>
      <c r="E277" s="218"/>
      <c r="F277" s="218"/>
      <c r="G277" s="218"/>
      <c r="H277" s="218"/>
      <c r="I277" s="383"/>
      <c r="J277" s="383"/>
    </row>
    <row r="278" spans="1:10" ht="13.2" x14ac:dyDescent="0.25">
      <c r="A278" s="103"/>
      <c r="B278" s="542"/>
      <c r="C278" s="543"/>
      <c r="D278" s="544"/>
      <c r="E278" s="217"/>
      <c r="F278" s="217"/>
      <c r="G278" s="217"/>
      <c r="H278" s="217"/>
      <c r="I278" s="222"/>
      <c r="J278" s="222"/>
    </row>
    <row r="279" spans="1:10" ht="13.2" x14ac:dyDescent="0.25">
      <c r="A279" s="103"/>
      <c r="B279" s="548"/>
      <c r="C279" s="84" t="s">
        <v>394</v>
      </c>
      <c r="D279" s="84" t="s">
        <v>378</v>
      </c>
      <c r="E279" s="84" t="s">
        <v>379</v>
      </c>
      <c r="F279" s="84" t="s">
        <v>380</v>
      </c>
      <c r="G279" s="84" t="s">
        <v>381</v>
      </c>
      <c r="H279" s="84" t="s">
        <v>382</v>
      </c>
      <c r="I279" s="343" t="s">
        <v>198</v>
      </c>
      <c r="J279" s="213"/>
    </row>
    <row r="280" spans="1:10" ht="13.2" x14ac:dyDescent="0.25">
      <c r="A280" s="103">
        <v>800</v>
      </c>
      <c r="B280" s="213"/>
      <c r="C280" s="468" t="s">
        <v>1806</v>
      </c>
      <c r="D280" s="968">
        <v>0</v>
      </c>
      <c r="E280" s="968">
        <v>0</v>
      </c>
      <c r="F280" s="968">
        <v>0</v>
      </c>
      <c r="G280" s="968">
        <v>0</v>
      </c>
      <c r="H280" s="968">
        <v>0</v>
      </c>
      <c r="I280" s="230" t="str">
        <f>"Sum of Above Lines beginning on Line "&amp;A264&amp;""</f>
        <v>Sum of Above Lines beginning on Line 700</v>
      </c>
      <c r="J280" s="213"/>
    </row>
    <row r="281" spans="1:10" ht="13.2" x14ac:dyDescent="0.25">
      <c r="A281" s="103"/>
      <c r="B281" s="213"/>
      <c r="C281" s="468"/>
      <c r="D281" s="469"/>
      <c r="E281" s="469"/>
      <c r="F281" s="469"/>
      <c r="G281" s="469"/>
      <c r="H281" s="469"/>
      <c r="I281" s="230"/>
      <c r="J281" s="213"/>
    </row>
    <row r="282" spans="1:10" ht="13.2" x14ac:dyDescent="0.25">
      <c r="A282" s="103">
        <f>A280+1</f>
        <v>801</v>
      </c>
      <c r="B282" s="213"/>
      <c r="C282" s="468" t="s">
        <v>1807</v>
      </c>
      <c r="D282" s="968">
        <v>0</v>
      </c>
      <c r="E282" s="968">
        <v>0</v>
      </c>
      <c r="F282" s="968">
        <v>0</v>
      </c>
      <c r="G282" s="968">
        <v>0</v>
      </c>
      <c r="H282" s="968">
        <v>0</v>
      </c>
      <c r="I282" s="535" t="str">
        <f>"Line "&amp;A260&amp;" + Line "&amp;A280&amp;""</f>
        <v>Line 650 + Line 800</v>
      </c>
      <c r="J282" s="213"/>
    </row>
    <row r="283" spans="1:10" ht="13.2" x14ac:dyDescent="0.25">
      <c r="A283" s="552">
        <f>+A282+1</f>
        <v>802</v>
      </c>
      <c r="B283" s="608"/>
      <c r="C283" s="608" t="s">
        <v>1845</v>
      </c>
      <c r="D283" s="1012"/>
      <c r="E283" s="1012"/>
      <c r="F283" s="1012"/>
      <c r="G283" s="976" t="s">
        <v>2690</v>
      </c>
      <c r="H283" s="976" t="s">
        <v>2690</v>
      </c>
      <c r="I283" s="734" t="str">
        <f>"27-Allocators Lines "&amp;'27-Allocators'!A28&amp;" and "&amp;'27-Allocators'!A15&amp;" respectively."</f>
        <v>27-Allocators Lines 22 and 9 respectively.</v>
      </c>
      <c r="J283" s="213"/>
    </row>
    <row r="284" spans="1:10" ht="13.2" x14ac:dyDescent="0.25">
      <c r="A284" s="552">
        <f>+A283+1</f>
        <v>803</v>
      </c>
      <c r="B284" s="608"/>
      <c r="C284" s="608" t="s">
        <v>1849</v>
      </c>
      <c r="D284" s="968">
        <v>0</v>
      </c>
      <c r="E284" s="623"/>
      <c r="F284" s="968">
        <v>0</v>
      </c>
      <c r="G284" s="968">
        <v>0</v>
      </c>
      <c r="H284" s="968">
        <v>0</v>
      </c>
      <c r="I284" s="535" t="str">
        <f>"Line "&amp;A282&amp;" * Line "&amp;A283&amp;" for Cols 5 and 6.  Col. 4 100% ISO."</f>
        <v>Line 801 * Line 802 for Cols 5 and 6.  Col. 4 100% ISO.</v>
      </c>
      <c r="J284" s="213"/>
    </row>
    <row r="285" spans="1:10" ht="13.2" x14ac:dyDescent="0.25">
      <c r="A285" s="103"/>
      <c r="B285" s="213"/>
      <c r="C285" s="625" t="s">
        <v>1848</v>
      </c>
      <c r="D285" s="469"/>
      <c r="E285" s="469"/>
      <c r="F285" s="469"/>
      <c r="G285" s="469"/>
      <c r="H285" s="469"/>
      <c r="I285" s="535"/>
      <c r="J285" s="215"/>
    </row>
    <row r="286" spans="1:10" ht="13.2" x14ac:dyDescent="0.25">
      <c r="A286" s="103"/>
      <c r="B286" s="213"/>
      <c r="C286" s="468"/>
      <c r="D286" s="469"/>
      <c r="E286" s="469"/>
      <c r="F286" s="469"/>
      <c r="G286" s="469"/>
      <c r="H286" s="469"/>
      <c r="I286" s="535"/>
      <c r="J286" s="213"/>
    </row>
    <row r="287" spans="1:10" x14ac:dyDescent="0.3">
      <c r="A287" s="103">
        <f>A284+1</f>
        <v>804</v>
      </c>
      <c r="C287" s="608" t="s">
        <v>1833</v>
      </c>
      <c r="D287" s="982">
        <v>0</v>
      </c>
      <c r="E287" s="627" t="str">
        <f>"Must match amount on Line "&amp;A282&amp;", Col. 2"</f>
        <v>Must match amount on Line 801, Col. 2</v>
      </c>
      <c r="F287" s="623"/>
      <c r="G287" s="623"/>
      <c r="H287" s="623"/>
      <c r="I287" s="230" t="s">
        <v>1355</v>
      </c>
    </row>
    <row r="288" spans="1:10" x14ac:dyDescent="0.3">
      <c r="A288" s="466"/>
      <c r="B288" s="553"/>
      <c r="C288" s="553"/>
      <c r="D288" s="553"/>
      <c r="E288" s="553"/>
      <c r="F288" s="553"/>
      <c r="G288" s="553"/>
      <c r="H288" s="553"/>
      <c r="I288" s="470"/>
      <c r="J288" s="553"/>
    </row>
    <row r="289" spans="2:10" x14ac:dyDescent="0.3">
      <c r="B289"/>
      <c r="C289" s="222" t="s">
        <v>2280</v>
      </c>
      <c r="D289" s="222"/>
      <c r="E289" s="222"/>
      <c r="F289" s="222"/>
      <c r="G289" s="222"/>
      <c r="J289"/>
    </row>
    <row r="290" spans="2:10" x14ac:dyDescent="0.3">
      <c r="B290"/>
      <c r="C290" s="222" t="s">
        <v>2281</v>
      </c>
      <c r="D290" s="222"/>
      <c r="E290" s="222"/>
      <c r="F290" s="222"/>
      <c r="G290" s="222"/>
      <c r="J290"/>
    </row>
    <row r="291" spans="2:10" x14ac:dyDescent="0.3">
      <c r="B291"/>
      <c r="C291" s="222"/>
      <c r="D291" s="222"/>
      <c r="E291" s="222"/>
      <c r="F291" s="222"/>
      <c r="G291" s="222"/>
      <c r="J291"/>
    </row>
    <row r="292" spans="2:10" x14ac:dyDescent="0.3">
      <c r="B292"/>
      <c r="C292" s="222" t="s">
        <v>2282</v>
      </c>
      <c r="D292" s="222"/>
      <c r="E292" s="222"/>
      <c r="F292" s="222"/>
      <c r="G292" s="222"/>
      <c r="J292"/>
    </row>
    <row r="293" spans="2:10" x14ac:dyDescent="0.3">
      <c r="B293"/>
      <c r="C293" s="222" t="s">
        <v>2283</v>
      </c>
      <c r="D293" s="222"/>
      <c r="E293" s="222"/>
      <c r="F293" s="222"/>
      <c r="G293" s="222"/>
      <c r="J293"/>
    </row>
    <row r="294" spans="2:10" x14ac:dyDescent="0.3">
      <c r="B294"/>
      <c r="C294" s="222" t="s">
        <v>2284</v>
      </c>
      <c r="D294" s="222"/>
      <c r="E294" s="222"/>
      <c r="F294" s="222"/>
      <c r="G294" s="222"/>
      <c r="J294"/>
    </row>
    <row r="295" spans="2:10" x14ac:dyDescent="0.3">
      <c r="B295"/>
      <c r="C295" s="13"/>
      <c r="D295" s="13"/>
      <c r="E295" s="103" t="s">
        <v>188</v>
      </c>
      <c r="F295" s="13"/>
      <c r="G295" s="899" t="s">
        <v>73</v>
      </c>
      <c r="J295"/>
    </row>
    <row r="296" spans="2:10" x14ac:dyDescent="0.3">
      <c r="B296"/>
      <c r="C296" s="13"/>
      <c r="D296" s="13"/>
      <c r="E296" s="113" t="s">
        <v>189</v>
      </c>
      <c r="F296" s="13"/>
      <c r="G296" s="113" t="s">
        <v>190</v>
      </c>
      <c r="J296"/>
    </row>
    <row r="297" spans="2:10" ht="14.4" x14ac:dyDescent="0.3">
      <c r="B297"/>
      <c r="C297" s="902" t="s">
        <v>2285</v>
      </c>
      <c r="D297" s="941"/>
      <c r="E297" s="468" t="s">
        <v>313</v>
      </c>
      <c r="F297" s="941"/>
      <c r="G297" s="982">
        <v>0</v>
      </c>
      <c r="I297" s="634"/>
      <c r="J297"/>
    </row>
    <row r="298" spans="2:10" ht="14.4" x14ac:dyDescent="0.3">
      <c r="B298"/>
      <c r="C298" s="465" t="s">
        <v>2286</v>
      </c>
      <c r="D298" s="941"/>
      <c r="E298" s="468" t="s">
        <v>2287</v>
      </c>
      <c r="F298" s="941"/>
      <c r="G298" s="982">
        <v>0</v>
      </c>
      <c r="I298" s="634"/>
      <c r="J298"/>
    </row>
    <row r="299" spans="2:10" ht="14.4" x14ac:dyDescent="0.3">
      <c r="B299"/>
      <c r="C299" s="465" t="s">
        <v>2288</v>
      </c>
      <c r="D299" s="941"/>
      <c r="E299" s="468" t="s">
        <v>2289</v>
      </c>
      <c r="F299" s="941"/>
      <c r="G299" s="982">
        <v>0</v>
      </c>
      <c r="I299" s="634"/>
      <c r="J299"/>
    </row>
    <row r="300" spans="2:10" ht="14.4" x14ac:dyDescent="0.3">
      <c r="B300"/>
      <c r="C300" s="902" t="s">
        <v>2290</v>
      </c>
      <c r="D300" s="941"/>
      <c r="E300" s="468" t="s">
        <v>2291</v>
      </c>
      <c r="F300" s="941"/>
      <c r="G300" s="968">
        <v>0</v>
      </c>
      <c r="J300"/>
    </row>
    <row r="301" spans="2:10" x14ac:dyDescent="0.3">
      <c r="B301"/>
      <c r="C301" s="105" t="s">
        <v>2292</v>
      </c>
      <c r="D301" s="13"/>
      <c r="E301" s="595" t="s">
        <v>2293</v>
      </c>
      <c r="F301" s="13"/>
      <c r="G301" s="970" t="s">
        <v>2690</v>
      </c>
      <c r="J301"/>
    </row>
    <row r="302" spans="2:10" x14ac:dyDescent="0.3">
      <c r="B302"/>
      <c r="C302" s="926" t="s">
        <v>2294</v>
      </c>
      <c r="D302" s="635"/>
      <c r="E302" s="635"/>
      <c r="F302" s="635"/>
      <c r="G302" s="635"/>
      <c r="J302"/>
    </row>
    <row r="303" spans="2:10" x14ac:dyDescent="0.3">
      <c r="B303"/>
      <c r="C303" s="13"/>
      <c r="D303" s="13"/>
      <c r="E303" s="103" t="s">
        <v>188</v>
      </c>
      <c r="F303" s="13"/>
      <c r="G303" s="899" t="s">
        <v>73</v>
      </c>
      <c r="J303"/>
    </row>
    <row r="304" spans="2:10" x14ac:dyDescent="0.3">
      <c r="B304"/>
      <c r="C304" s="13"/>
      <c r="D304" s="13"/>
      <c r="E304" s="113" t="s">
        <v>189</v>
      </c>
      <c r="F304" s="13"/>
      <c r="G304" s="113" t="s">
        <v>190</v>
      </c>
      <c r="J304"/>
    </row>
    <row r="305" spans="2:10" ht="14.4" x14ac:dyDescent="0.3">
      <c r="B305"/>
      <c r="C305" s="465" t="s">
        <v>2295</v>
      </c>
      <c r="D305" s="941"/>
      <c r="E305" s="468" t="s">
        <v>34</v>
      </c>
      <c r="F305" s="941"/>
      <c r="G305" s="982">
        <v>0</v>
      </c>
      <c r="I305" s="634"/>
      <c r="J305"/>
    </row>
    <row r="306" spans="2:10" ht="14.4" x14ac:dyDescent="0.3">
      <c r="B306"/>
      <c r="C306" s="465" t="s">
        <v>2296</v>
      </c>
      <c r="D306" s="941"/>
      <c r="E306" s="468" t="s">
        <v>2297</v>
      </c>
      <c r="F306" s="941"/>
      <c r="G306" s="982">
        <v>0</v>
      </c>
      <c r="J306"/>
    </row>
    <row r="307" spans="2:10" ht="14.4" x14ac:dyDescent="0.3">
      <c r="B307"/>
      <c r="C307" s="465" t="s">
        <v>2298</v>
      </c>
      <c r="D307" s="941"/>
      <c r="E307" s="468" t="s">
        <v>2299</v>
      </c>
      <c r="F307" s="941"/>
      <c r="G307" s="982">
        <v>0</v>
      </c>
      <c r="I307" s="634"/>
      <c r="J307"/>
    </row>
    <row r="308" spans="2:10" ht="14.4" x14ac:dyDescent="0.3">
      <c r="B308"/>
      <c r="C308" s="465" t="s">
        <v>2300</v>
      </c>
      <c r="D308" s="941"/>
      <c r="E308" s="468" t="s">
        <v>2301</v>
      </c>
      <c r="F308" s="941"/>
      <c r="G308" s="968">
        <v>0</v>
      </c>
      <c r="H308" s="635"/>
      <c r="I308" s="635"/>
      <c r="J308" s="13"/>
    </row>
    <row r="309" spans="2:10" x14ac:dyDescent="0.3">
      <c r="B309"/>
      <c r="C309" s="465" t="s">
        <v>2302</v>
      </c>
      <c r="D309" s="13"/>
      <c r="E309" s="595" t="s">
        <v>2303</v>
      </c>
      <c r="F309" s="13"/>
      <c r="G309" s="970" t="s">
        <v>2690</v>
      </c>
      <c r="H309" s="635"/>
      <c r="I309" s="635"/>
      <c r="J309" s="13"/>
    </row>
    <row r="310" spans="2:10" ht="13.2" x14ac:dyDescent="0.25">
      <c r="B310"/>
      <c r="C310" s="222" t="s">
        <v>2535</v>
      </c>
      <c r="D310" s="222"/>
      <c r="E310" s="222"/>
      <c r="F310" s="222"/>
      <c r="G310" s="222"/>
      <c r="H310" s="222"/>
      <c r="I310" s="222"/>
      <c r="J310" s="468"/>
    </row>
    <row r="311" spans="2:10" ht="13.2" x14ac:dyDescent="0.25">
      <c r="B311"/>
      <c r="C311" s="222" t="s">
        <v>2437</v>
      </c>
      <c r="D311" s="222"/>
      <c r="E311" s="222"/>
      <c r="F311" s="222"/>
      <c r="G311" s="222"/>
      <c r="H311" s="222"/>
      <c r="I311" s="222"/>
      <c r="J311" s="468"/>
    </row>
    <row r="312" spans="2:10" ht="13.2" x14ac:dyDescent="0.25">
      <c r="B312"/>
      <c r="C312" s="222" t="s">
        <v>2438</v>
      </c>
      <c r="D312" s="222"/>
      <c r="E312" s="222"/>
      <c r="F312" s="222"/>
      <c r="G312" s="222"/>
      <c r="H312" s="222"/>
      <c r="I312" s="222"/>
      <c r="J312" s="468"/>
    </row>
    <row r="313" spans="2:10" ht="13.2" x14ac:dyDescent="0.25">
      <c r="B313"/>
      <c r="C313" s="222" t="s">
        <v>2536</v>
      </c>
      <c r="D313" s="222"/>
      <c r="E313" s="222"/>
      <c r="F313" s="222"/>
      <c r="G313" s="222"/>
      <c r="H313" s="222"/>
      <c r="I313" s="222"/>
      <c r="J313" s="468"/>
    </row>
    <row r="314" spans="2:10" x14ac:dyDescent="0.3">
      <c r="C314" s="468" t="s">
        <v>2537</v>
      </c>
      <c r="D314" s="468"/>
      <c r="E314" s="468"/>
      <c r="F314" s="468"/>
      <c r="G314" s="468"/>
      <c r="H314" s="468"/>
      <c r="I314" s="468"/>
      <c r="J314" s="222"/>
    </row>
    <row r="317" spans="2:10" ht="15.6" x14ac:dyDescent="0.3">
      <c r="C317" s="599"/>
    </row>
  </sheetData>
  <protectedRanges>
    <protectedRange password="F1C4" sqref="D19:E22 F19 E14:E18 D13:D14 D16:D17 B7:C29 E23 J31:J34 D24:F29" name="AAReport1_23_1_1_2"/>
    <protectedRange password="F1C4" sqref="D18" name="AAReport1_23_1_1_1_1"/>
    <protectedRange password="F1C4" sqref="B30:H71 B78:H110 C111:H111 D141 B117:H130 B147:H166 D175 B183:H222 B229:H257 B264:H276 D287 G305:G307 G297:G299" name="AAReport1_23_1_1"/>
  </protectedRanges>
  <phoneticPr fontId="9" type="noConversion"/>
  <conditionalFormatting sqref="B277:B278 D277:D278 B223 D223">
    <cfRule type="expression" dxfId="7" priority="5" stopIfTrue="1">
      <formula>Formulas</formula>
    </cfRule>
  </conditionalFormatting>
  <conditionalFormatting sqref="C277:C278 C223">
    <cfRule type="expression" dxfId="6" priority="3" stopIfTrue="1">
      <formula>#REF!&lt;&gt;""</formula>
    </cfRule>
  </conditionalFormatting>
  <pageMargins left="0.75" right="0.75" top="1" bottom="1" header="0.5" footer="0.5"/>
  <pageSetup scale="62" orientation="landscape" cellComments="asDisplayed" r:id="rId1"/>
  <headerFooter alignWithMargins="0">
    <oddHeader xml:space="preserve">&amp;C&amp;"Arial,Bold"Schedule 9
ADIT&amp;"Arial,Regular"
</oddHeader>
    <oddFooter>&amp;R&amp;A</oddFooter>
  </headerFooter>
  <rowBreaks count="6" manualBreakCount="6">
    <brk id="23" max="16383" man="1"/>
    <brk id="72" max="16383" man="1"/>
    <brk id="114" max="16383" man="1"/>
    <brk id="168" max="16383" man="1"/>
    <brk id="223" max="16383" man="1"/>
    <brk id="27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8"/>
  <sheetViews>
    <sheetView zoomScale="85" zoomScaleNormal="85" workbookViewId="0"/>
  </sheetViews>
  <sheetFormatPr defaultRowHeight="13.2" x14ac:dyDescent="0.25"/>
  <cols>
    <col min="1" max="1" width="4.6640625" style="13" customWidth="1"/>
    <col min="2" max="2" width="12.6640625" customWidth="1"/>
    <col min="3" max="3" width="8.6640625" customWidth="1"/>
    <col min="4" max="4" width="15.109375" bestFit="1" customWidth="1"/>
    <col min="5" max="5" width="18.6640625" customWidth="1"/>
    <col min="6" max="6" width="16.109375" customWidth="1"/>
    <col min="7" max="7" width="13.44140625" customWidth="1"/>
    <col min="8" max="8" width="13.5546875" bestFit="1" customWidth="1"/>
    <col min="9" max="9" width="17.109375" customWidth="1"/>
    <col min="10" max="10" width="15.44140625" customWidth="1"/>
    <col min="11" max="11" width="17.33203125" customWidth="1"/>
    <col min="12" max="12" width="14.6640625" style="13" bestFit="1" customWidth="1"/>
    <col min="13" max="13" width="13.109375" bestFit="1" customWidth="1"/>
  </cols>
  <sheetData>
    <row r="1" spans="1:12" x14ac:dyDescent="0.25">
      <c r="A1" s="43" t="s">
        <v>594</v>
      </c>
      <c r="K1" s="1"/>
    </row>
    <row r="2" spans="1:12" x14ac:dyDescent="0.25">
      <c r="A2" s="43"/>
      <c r="K2" s="1"/>
    </row>
    <row r="3" spans="1:12" x14ac:dyDescent="0.25">
      <c r="A3" s="43"/>
      <c r="B3" s="466" t="s">
        <v>1042</v>
      </c>
      <c r="K3" s="1"/>
    </row>
    <row r="4" spans="1:12" x14ac:dyDescent="0.25">
      <c r="B4" s="466" t="s">
        <v>598</v>
      </c>
      <c r="K4" s="1"/>
      <c r="L4" s="468"/>
    </row>
    <row r="5" spans="1:12" x14ac:dyDescent="0.25">
      <c r="B5" s="466"/>
      <c r="K5" s="1"/>
    </row>
    <row r="6" spans="1:12" x14ac:dyDescent="0.25">
      <c r="A6" s="468"/>
      <c r="B6" s="1" t="s">
        <v>1368</v>
      </c>
      <c r="K6" s="1"/>
    </row>
    <row r="7" spans="1:12" x14ac:dyDescent="0.25">
      <c r="A7" s="468"/>
      <c r="B7" s="1"/>
      <c r="D7" s="84" t="s">
        <v>394</v>
      </c>
      <c r="E7" s="84" t="s">
        <v>378</v>
      </c>
      <c r="F7" s="84" t="s">
        <v>379</v>
      </c>
      <c r="G7" s="84" t="s">
        <v>380</v>
      </c>
      <c r="H7" s="84" t="s">
        <v>381</v>
      </c>
      <c r="I7" s="84" t="s">
        <v>382</v>
      </c>
      <c r="J7" s="335"/>
      <c r="K7" s="1"/>
      <c r="L7" s="335"/>
    </row>
    <row r="8" spans="1:12" x14ac:dyDescent="0.25">
      <c r="D8" s="467" t="s">
        <v>1077</v>
      </c>
      <c r="J8" s="13"/>
      <c r="K8" s="13"/>
    </row>
    <row r="9" spans="1:12" x14ac:dyDescent="0.25">
      <c r="D9" s="485" t="s">
        <v>601</v>
      </c>
      <c r="J9" s="13"/>
      <c r="K9" s="13"/>
    </row>
    <row r="10" spans="1:12" x14ac:dyDescent="0.25">
      <c r="B10" s="577"/>
      <c r="J10" s="13"/>
      <c r="K10" s="13"/>
    </row>
    <row r="11" spans="1:12" x14ac:dyDescent="0.25">
      <c r="B11" s="577"/>
      <c r="D11" s="577" t="s">
        <v>19</v>
      </c>
      <c r="F11" s="577" t="s">
        <v>374</v>
      </c>
      <c r="G11" s="577" t="s">
        <v>377</v>
      </c>
      <c r="H11" s="577"/>
      <c r="I11" s="577"/>
      <c r="J11" s="103"/>
      <c r="K11" s="466"/>
    </row>
    <row r="12" spans="1:12" x14ac:dyDescent="0.25">
      <c r="A12" s="879" t="s">
        <v>360</v>
      </c>
      <c r="B12" s="636" t="s">
        <v>211</v>
      </c>
      <c r="C12" s="636" t="s">
        <v>212</v>
      </c>
      <c r="D12" s="3" t="s">
        <v>596</v>
      </c>
      <c r="E12" s="3" t="s">
        <v>249</v>
      </c>
      <c r="F12" s="3" t="s">
        <v>375</v>
      </c>
      <c r="G12" s="3" t="s">
        <v>376</v>
      </c>
      <c r="H12" s="3" t="s">
        <v>2693</v>
      </c>
      <c r="I12" s="3" t="s">
        <v>599</v>
      </c>
      <c r="J12" s="113"/>
      <c r="K12" s="466"/>
    </row>
    <row r="13" spans="1:12" x14ac:dyDescent="0.25">
      <c r="A13" s="103">
        <v>1</v>
      </c>
      <c r="B13" s="637" t="s">
        <v>199</v>
      </c>
      <c r="C13" s="979" t="s">
        <v>1562</v>
      </c>
      <c r="D13" s="968">
        <v>0</v>
      </c>
      <c r="E13" s="977">
        <v>0</v>
      </c>
      <c r="F13" s="977">
        <v>0</v>
      </c>
      <c r="G13" s="977">
        <v>0</v>
      </c>
      <c r="H13" s="977">
        <v>0</v>
      </c>
      <c r="I13" s="977">
        <v>0</v>
      </c>
      <c r="J13" s="638"/>
    </row>
    <row r="14" spans="1:12" x14ac:dyDescent="0.25">
      <c r="A14" s="103">
        <f>A13+1</f>
        <v>2</v>
      </c>
      <c r="B14" s="637" t="s">
        <v>200</v>
      </c>
      <c r="C14" s="979" t="s">
        <v>1562</v>
      </c>
      <c r="D14" s="968">
        <v>0</v>
      </c>
      <c r="E14" s="977">
        <v>0</v>
      </c>
      <c r="F14" s="977">
        <v>0</v>
      </c>
      <c r="G14" s="977">
        <v>0</v>
      </c>
      <c r="H14" s="977">
        <v>0</v>
      </c>
      <c r="I14" s="977">
        <v>0</v>
      </c>
      <c r="J14" s="638"/>
    </row>
    <row r="15" spans="1:12" x14ac:dyDescent="0.25">
      <c r="A15" s="103">
        <f t="shared" ref="A15:A26" si="0">A14+1</f>
        <v>3</v>
      </c>
      <c r="B15" s="639" t="s">
        <v>201</v>
      </c>
      <c r="C15" s="979" t="s">
        <v>1562</v>
      </c>
      <c r="D15" s="968">
        <v>0</v>
      </c>
      <c r="E15" s="977">
        <v>0</v>
      </c>
      <c r="F15" s="977">
        <v>0</v>
      </c>
      <c r="G15" s="977">
        <v>0</v>
      </c>
      <c r="H15" s="977">
        <v>0</v>
      </c>
      <c r="I15" s="977">
        <v>0</v>
      </c>
      <c r="J15" s="638"/>
    </row>
    <row r="16" spans="1:12" x14ac:dyDescent="0.25">
      <c r="A16" s="103">
        <f t="shared" si="0"/>
        <v>4</v>
      </c>
      <c r="B16" s="639" t="s">
        <v>214</v>
      </c>
      <c r="C16" s="979" t="s">
        <v>1562</v>
      </c>
      <c r="D16" s="968">
        <v>0</v>
      </c>
      <c r="E16" s="977">
        <v>0</v>
      </c>
      <c r="F16" s="977">
        <v>0</v>
      </c>
      <c r="G16" s="977">
        <v>0</v>
      </c>
      <c r="H16" s="977">
        <v>0</v>
      </c>
      <c r="I16" s="977">
        <v>0</v>
      </c>
      <c r="J16" s="638"/>
    </row>
    <row r="17" spans="1:11" x14ac:dyDescent="0.25">
      <c r="A17" s="103">
        <f t="shared" si="0"/>
        <v>5</v>
      </c>
      <c r="B17" s="637" t="s">
        <v>202</v>
      </c>
      <c r="C17" s="979" t="s">
        <v>1562</v>
      </c>
      <c r="D17" s="968">
        <v>0</v>
      </c>
      <c r="E17" s="977">
        <v>0</v>
      </c>
      <c r="F17" s="977">
        <v>0</v>
      </c>
      <c r="G17" s="977">
        <v>0</v>
      </c>
      <c r="H17" s="977">
        <v>0</v>
      </c>
      <c r="I17" s="977">
        <v>0</v>
      </c>
      <c r="J17" s="638"/>
    </row>
    <row r="18" spans="1:11" x14ac:dyDescent="0.25">
      <c r="A18" s="103">
        <f t="shared" si="0"/>
        <v>6</v>
      </c>
      <c r="B18" s="639" t="s">
        <v>203</v>
      </c>
      <c r="C18" s="979" t="s">
        <v>1562</v>
      </c>
      <c r="D18" s="968">
        <v>0</v>
      </c>
      <c r="E18" s="977">
        <v>0</v>
      </c>
      <c r="F18" s="977">
        <v>0</v>
      </c>
      <c r="G18" s="977">
        <v>0</v>
      </c>
      <c r="H18" s="977">
        <v>0</v>
      </c>
      <c r="I18" s="977">
        <v>0</v>
      </c>
      <c r="J18" s="638"/>
    </row>
    <row r="19" spans="1:11" x14ac:dyDescent="0.25">
      <c r="A19" s="103">
        <f t="shared" si="0"/>
        <v>7</v>
      </c>
      <c r="B19" s="639" t="s">
        <v>204</v>
      </c>
      <c r="C19" s="979" t="s">
        <v>1562</v>
      </c>
      <c r="D19" s="968">
        <v>0</v>
      </c>
      <c r="E19" s="977">
        <v>0</v>
      </c>
      <c r="F19" s="977">
        <v>0</v>
      </c>
      <c r="G19" s="977">
        <v>0</v>
      </c>
      <c r="H19" s="977">
        <v>0</v>
      </c>
      <c r="I19" s="977">
        <v>0</v>
      </c>
      <c r="J19" s="638"/>
    </row>
    <row r="20" spans="1:11" x14ac:dyDescent="0.25">
      <c r="A20" s="103">
        <f t="shared" si="0"/>
        <v>8</v>
      </c>
      <c r="B20" s="637" t="s">
        <v>205</v>
      </c>
      <c r="C20" s="979" t="s">
        <v>1562</v>
      </c>
      <c r="D20" s="968">
        <v>0</v>
      </c>
      <c r="E20" s="977">
        <v>0</v>
      </c>
      <c r="F20" s="977">
        <v>0</v>
      </c>
      <c r="G20" s="977">
        <v>0</v>
      </c>
      <c r="H20" s="977">
        <v>0</v>
      </c>
      <c r="I20" s="977">
        <v>0</v>
      </c>
      <c r="J20" s="638"/>
    </row>
    <row r="21" spans="1:11" x14ac:dyDescent="0.25">
      <c r="A21" s="103">
        <f t="shared" si="0"/>
        <v>9</v>
      </c>
      <c r="B21" s="639" t="s">
        <v>206</v>
      </c>
      <c r="C21" s="979" t="s">
        <v>1562</v>
      </c>
      <c r="D21" s="968">
        <v>0</v>
      </c>
      <c r="E21" s="977">
        <v>0</v>
      </c>
      <c r="F21" s="977">
        <v>0</v>
      </c>
      <c r="G21" s="977">
        <v>0</v>
      </c>
      <c r="H21" s="977">
        <v>0</v>
      </c>
      <c r="I21" s="977">
        <v>0</v>
      </c>
      <c r="J21" s="638"/>
    </row>
    <row r="22" spans="1:11" x14ac:dyDescent="0.25">
      <c r="A22" s="103">
        <f t="shared" si="0"/>
        <v>10</v>
      </c>
      <c r="B22" s="639" t="s">
        <v>207</v>
      </c>
      <c r="C22" s="979" t="s">
        <v>1562</v>
      </c>
      <c r="D22" s="968">
        <v>0</v>
      </c>
      <c r="E22" s="977">
        <v>0</v>
      </c>
      <c r="F22" s="977">
        <v>0</v>
      </c>
      <c r="G22" s="977">
        <v>0</v>
      </c>
      <c r="H22" s="977">
        <v>0</v>
      </c>
      <c r="I22" s="977">
        <v>0</v>
      </c>
      <c r="J22" s="638"/>
    </row>
    <row r="23" spans="1:11" x14ac:dyDescent="0.25">
      <c r="A23" s="103">
        <f t="shared" si="0"/>
        <v>11</v>
      </c>
      <c r="B23" s="637" t="s">
        <v>208</v>
      </c>
      <c r="C23" s="979" t="s">
        <v>1562</v>
      </c>
      <c r="D23" s="968">
        <v>0</v>
      </c>
      <c r="E23" s="977">
        <v>0</v>
      </c>
      <c r="F23" s="977">
        <v>0</v>
      </c>
      <c r="G23" s="977">
        <v>0</v>
      </c>
      <c r="H23" s="977">
        <v>0</v>
      </c>
      <c r="I23" s="977">
        <v>0</v>
      </c>
      <c r="J23" s="638"/>
    </row>
    <row r="24" spans="1:11" x14ac:dyDescent="0.25">
      <c r="A24" s="103">
        <f t="shared" si="0"/>
        <v>12</v>
      </c>
      <c r="B24" s="637" t="s">
        <v>209</v>
      </c>
      <c r="C24" s="979" t="s">
        <v>1562</v>
      </c>
      <c r="D24" s="968">
        <v>0</v>
      </c>
      <c r="E24" s="977">
        <v>0</v>
      </c>
      <c r="F24" s="977">
        <v>0</v>
      </c>
      <c r="G24" s="977">
        <v>0</v>
      </c>
      <c r="H24" s="977">
        <v>0</v>
      </c>
      <c r="I24" s="977">
        <v>0</v>
      </c>
      <c r="J24" s="638"/>
    </row>
    <row r="25" spans="1:11" ht="15" x14ac:dyDescent="0.4">
      <c r="A25" s="103">
        <f t="shared" si="0"/>
        <v>13</v>
      </c>
      <c r="B25" s="637" t="s">
        <v>199</v>
      </c>
      <c r="C25" s="979" t="s">
        <v>1562</v>
      </c>
      <c r="D25" s="969">
        <v>0</v>
      </c>
      <c r="E25" s="978">
        <v>0</v>
      </c>
      <c r="F25" s="978">
        <v>0</v>
      </c>
      <c r="G25" s="978">
        <v>0</v>
      </c>
      <c r="H25" s="978">
        <v>0</v>
      </c>
      <c r="I25" s="978">
        <v>0</v>
      </c>
      <c r="J25" s="638"/>
    </row>
    <row r="26" spans="1:11" x14ac:dyDescent="0.25">
      <c r="A26" s="103">
        <f t="shared" si="0"/>
        <v>14</v>
      </c>
      <c r="B26" s="637"/>
      <c r="C26" s="640" t="s">
        <v>597</v>
      </c>
      <c r="D26" s="968">
        <v>0</v>
      </c>
      <c r="E26" s="968">
        <v>0</v>
      </c>
      <c r="F26" s="968">
        <v>0</v>
      </c>
      <c r="G26" s="968">
        <v>0</v>
      </c>
      <c r="H26" s="968">
        <v>0</v>
      </c>
      <c r="I26" s="968">
        <v>0</v>
      </c>
      <c r="J26" s="638"/>
      <c r="K26" s="638"/>
    </row>
    <row r="27" spans="1:11" x14ac:dyDescent="0.25">
      <c r="A27" s="103"/>
      <c r="B27" s="637"/>
      <c r="C27" s="640"/>
      <c r="D27" s="523"/>
      <c r="E27" s="523"/>
      <c r="F27" s="523"/>
      <c r="G27" s="523"/>
      <c r="H27" s="523"/>
      <c r="I27" s="638"/>
      <c r="J27" s="470"/>
      <c r="K27" s="638"/>
    </row>
    <row r="28" spans="1:11" x14ac:dyDescent="0.25">
      <c r="A28" s="103"/>
      <c r="B28" s="637"/>
      <c r="C28" s="640"/>
      <c r="D28" s="84" t="s">
        <v>383</v>
      </c>
      <c r="E28" s="84" t="s">
        <v>595</v>
      </c>
      <c r="F28" s="84" t="s">
        <v>1043</v>
      </c>
      <c r="G28" s="84" t="s">
        <v>1059</v>
      </c>
      <c r="H28" s="84" t="s">
        <v>1062</v>
      </c>
      <c r="I28" s="84" t="s">
        <v>1080</v>
      </c>
      <c r="J28" s="470"/>
      <c r="K28" s="638"/>
    </row>
    <row r="29" spans="1:11" x14ac:dyDescent="0.25">
      <c r="A29" s="103"/>
      <c r="B29" s="637"/>
      <c r="C29" s="640"/>
      <c r="E29" s="336" t="s">
        <v>1081</v>
      </c>
      <c r="F29" s="336"/>
      <c r="G29" s="336"/>
      <c r="H29" s="523"/>
      <c r="I29" s="638"/>
      <c r="J29" s="470"/>
      <c r="K29" s="638"/>
    </row>
    <row r="30" spans="1:11" x14ac:dyDescent="0.25">
      <c r="B30" s="577" t="s">
        <v>359</v>
      </c>
      <c r="D30" s="577" t="s">
        <v>1078</v>
      </c>
      <c r="E30" s="577" t="s">
        <v>1082</v>
      </c>
      <c r="F30" s="336"/>
      <c r="G30" s="336"/>
      <c r="H30" s="523"/>
      <c r="I30" s="638"/>
      <c r="J30" s="470"/>
      <c r="K30" s="638"/>
    </row>
    <row r="31" spans="1:11" x14ac:dyDescent="0.25">
      <c r="B31" s="577"/>
      <c r="D31" s="577" t="s">
        <v>473</v>
      </c>
      <c r="E31" s="577" t="s">
        <v>473</v>
      </c>
      <c r="F31" s="336" t="s">
        <v>1084</v>
      </c>
      <c r="G31" s="336" t="s">
        <v>1085</v>
      </c>
      <c r="H31" s="523"/>
      <c r="I31" s="638"/>
      <c r="J31" s="638"/>
      <c r="K31" s="638"/>
    </row>
    <row r="32" spans="1:11" x14ac:dyDescent="0.25">
      <c r="A32" s="879" t="s">
        <v>360</v>
      </c>
      <c r="B32" s="636" t="s">
        <v>211</v>
      </c>
      <c r="C32" s="636" t="s">
        <v>212</v>
      </c>
      <c r="D32" s="3" t="s">
        <v>1079</v>
      </c>
      <c r="E32" s="3" t="s">
        <v>1079</v>
      </c>
      <c r="F32" s="337" t="s">
        <v>1083</v>
      </c>
      <c r="G32" s="337" t="s">
        <v>1086</v>
      </c>
      <c r="H32" s="338"/>
      <c r="I32" s="338"/>
      <c r="J32" s="638"/>
      <c r="K32" s="638"/>
    </row>
    <row r="33" spans="1:11" x14ac:dyDescent="0.25">
      <c r="A33" s="103">
        <f>+A26+1</f>
        <v>15</v>
      </c>
      <c r="B33" s="637" t="s">
        <v>199</v>
      </c>
      <c r="C33" s="979" t="s">
        <v>1562</v>
      </c>
      <c r="D33" s="977">
        <v>0</v>
      </c>
      <c r="E33" s="977">
        <v>0</v>
      </c>
      <c r="F33" s="977">
        <v>0</v>
      </c>
      <c r="G33" s="977">
        <v>0</v>
      </c>
      <c r="H33" s="641" t="s">
        <v>86</v>
      </c>
      <c r="I33" s="641" t="s">
        <v>86</v>
      </c>
      <c r="J33" s="638"/>
      <c r="K33" s="638"/>
    </row>
    <row r="34" spans="1:11" x14ac:dyDescent="0.25">
      <c r="A34" s="103">
        <f>A33+1</f>
        <v>16</v>
      </c>
      <c r="B34" s="637" t="s">
        <v>200</v>
      </c>
      <c r="C34" s="979" t="s">
        <v>1562</v>
      </c>
      <c r="D34" s="977">
        <v>0</v>
      </c>
      <c r="E34" s="977">
        <v>0</v>
      </c>
      <c r="F34" s="977">
        <v>0</v>
      </c>
      <c r="G34" s="977">
        <v>0</v>
      </c>
      <c r="H34" s="641" t="s">
        <v>86</v>
      </c>
      <c r="I34" s="641" t="s">
        <v>86</v>
      </c>
      <c r="J34" s="638"/>
      <c r="K34" s="638"/>
    </row>
    <row r="35" spans="1:11" x14ac:dyDescent="0.25">
      <c r="A35" s="103">
        <f t="shared" ref="A35:A46" si="1">A34+1</f>
        <v>17</v>
      </c>
      <c r="B35" s="639" t="s">
        <v>201</v>
      </c>
      <c r="C35" s="979" t="s">
        <v>1562</v>
      </c>
      <c r="D35" s="977">
        <v>0</v>
      </c>
      <c r="E35" s="977">
        <v>0</v>
      </c>
      <c r="F35" s="977">
        <v>0</v>
      </c>
      <c r="G35" s="977">
        <v>0</v>
      </c>
      <c r="H35" s="641" t="s">
        <v>86</v>
      </c>
      <c r="I35" s="641" t="s">
        <v>86</v>
      </c>
      <c r="J35" s="638"/>
      <c r="K35" s="638"/>
    </row>
    <row r="36" spans="1:11" x14ac:dyDescent="0.25">
      <c r="A36" s="103">
        <f t="shared" si="1"/>
        <v>18</v>
      </c>
      <c r="B36" s="639" t="s">
        <v>214</v>
      </c>
      <c r="C36" s="979" t="s">
        <v>1562</v>
      </c>
      <c r="D36" s="977">
        <v>0</v>
      </c>
      <c r="E36" s="977">
        <v>0</v>
      </c>
      <c r="F36" s="977">
        <v>0</v>
      </c>
      <c r="G36" s="977">
        <v>0</v>
      </c>
      <c r="H36" s="641" t="s">
        <v>86</v>
      </c>
      <c r="I36" s="641" t="s">
        <v>86</v>
      </c>
      <c r="J36" s="638"/>
      <c r="K36" s="638"/>
    </row>
    <row r="37" spans="1:11" x14ac:dyDescent="0.25">
      <c r="A37" s="103">
        <f t="shared" si="1"/>
        <v>19</v>
      </c>
      <c r="B37" s="637" t="s">
        <v>202</v>
      </c>
      <c r="C37" s="979" t="s">
        <v>1562</v>
      </c>
      <c r="D37" s="977">
        <v>0</v>
      </c>
      <c r="E37" s="977">
        <v>0</v>
      </c>
      <c r="F37" s="977">
        <v>0</v>
      </c>
      <c r="G37" s="977">
        <v>0</v>
      </c>
      <c r="H37" s="641" t="s">
        <v>86</v>
      </c>
      <c r="I37" s="641" t="s">
        <v>86</v>
      </c>
      <c r="J37" s="638"/>
      <c r="K37" s="638"/>
    </row>
    <row r="38" spans="1:11" x14ac:dyDescent="0.25">
      <c r="A38" s="103">
        <f t="shared" si="1"/>
        <v>20</v>
      </c>
      <c r="B38" s="639" t="s">
        <v>203</v>
      </c>
      <c r="C38" s="979" t="s">
        <v>1562</v>
      </c>
      <c r="D38" s="977">
        <v>0</v>
      </c>
      <c r="E38" s="977">
        <v>0</v>
      </c>
      <c r="F38" s="977">
        <v>0</v>
      </c>
      <c r="G38" s="977">
        <v>0</v>
      </c>
      <c r="H38" s="641" t="s">
        <v>86</v>
      </c>
      <c r="I38" s="641" t="s">
        <v>86</v>
      </c>
      <c r="J38" s="638"/>
      <c r="K38" s="638"/>
    </row>
    <row r="39" spans="1:11" x14ac:dyDescent="0.25">
      <c r="A39" s="103">
        <f t="shared" si="1"/>
        <v>21</v>
      </c>
      <c r="B39" s="639" t="s">
        <v>204</v>
      </c>
      <c r="C39" s="979" t="s">
        <v>1562</v>
      </c>
      <c r="D39" s="977">
        <v>0</v>
      </c>
      <c r="E39" s="977">
        <v>0</v>
      </c>
      <c r="F39" s="977">
        <v>0</v>
      </c>
      <c r="G39" s="977">
        <v>0</v>
      </c>
      <c r="H39" s="641" t="s">
        <v>86</v>
      </c>
      <c r="I39" s="641" t="s">
        <v>86</v>
      </c>
      <c r="J39" s="638"/>
      <c r="K39" s="638"/>
    </row>
    <row r="40" spans="1:11" x14ac:dyDescent="0.25">
      <c r="A40" s="103">
        <f t="shared" si="1"/>
        <v>22</v>
      </c>
      <c r="B40" s="637" t="s">
        <v>205</v>
      </c>
      <c r="C40" s="979" t="s">
        <v>1562</v>
      </c>
      <c r="D40" s="977">
        <v>0</v>
      </c>
      <c r="E40" s="977">
        <v>0</v>
      </c>
      <c r="F40" s="977">
        <v>0</v>
      </c>
      <c r="G40" s="977">
        <v>0</v>
      </c>
      <c r="H40" s="641" t="s">
        <v>86</v>
      </c>
      <c r="I40" s="641" t="s">
        <v>86</v>
      </c>
      <c r="J40" s="638"/>
      <c r="K40" s="638"/>
    </row>
    <row r="41" spans="1:11" x14ac:dyDescent="0.25">
      <c r="A41" s="103">
        <f t="shared" si="1"/>
        <v>23</v>
      </c>
      <c r="B41" s="639" t="s">
        <v>206</v>
      </c>
      <c r="C41" s="979" t="s">
        <v>1562</v>
      </c>
      <c r="D41" s="977">
        <v>0</v>
      </c>
      <c r="E41" s="977">
        <v>0</v>
      </c>
      <c r="F41" s="977">
        <v>0</v>
      </c>
      <c r="G41" s="977">
        <v>0</v>
      </c>
      <c r="H41" s="641" t="s">
        <v>86</v>
      </c>
      <c r="I41" s="641" t="s">
        <v>86</v>
      </c>
      <c r="J41" s="638"/>
      <c r="K41" s="638"/>
    </row>
    <row r="42" spans="1:11" x14ac:dyDescent="0.25">
      <c r="A42" s="103">
        <f t="shared" si="1"/>
        <v>24</v>
      </c>
      <c r="B42" s="639" t="s">
        <v>207</v>
      </c>
      <c r="C42" s="979" t="s">
        <v>1562</v>
      </c>
      <c r="D42" s="977">
        <v>0</v>
      </c>
      <c r="E42" s="977">
        <v>0</v>
      </c>
      <c r="F42" s="977">
        <v>0</v>
      </c>
      <c r="G42" s="977">
        <v>0</v>
      </c>
      <c r="H42" s="641" t="s">
        <v>86</v>
      </c>
      <c r="I42" s="641" t="s">
        <v>86</v>
      </c>
      <c r="J42" s="638"/>
      <c r="K42" s="638"/>
    </row>
    <row r="43" spans="1:11" x14ac:dyDescent="0.25">
      <c r="A43" s="103">
        <f t="shared" si="1"/>
        <v>25</v>
      </c>
      <c r="B43" s="637" t="s">
        <v>208</v>
      </c>
      <c r="C43" s="979" t="s">
        <v>1562</v>
      </c>
      <c r="D43" s="977">
        <v>0</v>
      </c>
      <c r="E43" s="977">
        <v>0</v>
      </c>
      <c r="F43" s="977">
        <v>0</v>
      </c>
      <c r="G43" s="977">
        <v>0</v>
      </c>
      <c r="H43" s="641" t="s">
        <v>86</v>
      </c>
      <c r="I43" s="641" t="s">
        <v>86</v>
      </c>
      <c r="J43" s="638"/>
      <c r="K43" s="638"/>
    </row>
    <row r="44" spans="1:11" x14ac:dyDescent="0.25">
      <c r="A44" s="103">
        <f t="shared" si="1"/>
        <v>26</v>
      </c>
      <c r="B44" s="637" t="s">
        <v>209</v>
      </c>
      <c r="C44" s="979" t="s">
        <v>1562</v>
      </c>
      <c r="D44" s="977">
        <v>0</v>
      </c>
      <c r="E44" s="977">
        <v>0</v>
      </c>
      <c r="F44" s="977">
        <v>0</v>
      </c>
      <c r="G44" s="977">
        <v>0</v>
      </c>
      <c r="H44" s="641" t="s">
        <v>86</v>
      </c>
      <c r="I44" s="641" t="s">
        <v>86</v>
      </c>
      <c r="J44" s="638"/>
      <c r="K44" s="638"/>
    </row>
    <row r="45" spans="1:11" ht="15" x14ac:dyDescent="0.4">
      <c r="A45" s="103">
        <f t="shared" si="1"/>
        <v>27</v>
      </c>
      <c r="B45" s="637" t="s">
        <v>199</v>
      </c>
      <c r="C45" s="979" t="s">
        <v>1562</v>
      </c>
      <c r="D45" s="978">
        <v>0</v>
      </c>
      <c r="E45" s="978">
        <v>0</v>
      </c>
      <c r="F45" s="978">
        <v>0</v>
      </c>
      <c r="G45" s="978">
        <v>0</v>
      </c>
      <c r="H45" s="641" t="s">
        <v>86</v>
      </c>
      <c r="I45" s="641" t="s">
        <v>86</v>
      </c>
      <c r="J45" s="638"/>
      <c r="K45" s="638"/>
    </row>
    <row r="46" spans="1:11" x14ac:dyDescent="0.25">
      <c r="A46" s="103">
        <f t="shared" si="1"/>
        <v>28</v>
      </c>
      <c r="B46" s="637"/>
      <c r="C46" s="640" t="s">
        <v>597</v>
      </c>
      <c r="D46" s="968">
        <v>0</v>
      </c>
      <c r="E46" s="968">
        <v>0</v>
      </c>
      <c r="F46" s="968">
        <v>0</v>
      </c>
      <c r="G46" s="968">
        <v>0</v>
      </c>
      <c r="H46" s="968">
        <v>0</v>
      </c>
      <c r="I46" s="968">
        <v>0</v>
      </c>
      <c r="J46" s="638"/>
      <c r="K46" s="638"/>
    </row>
    <row r="48" spans="1:11" x14ac:dyDescent="0.25">
      <c r="B48" s="642" t="s">
        <v>2321</v>
      </c>
    </row>
    <row r="49" spans="1:13" x14ac:dyDescent="0.25">
      <c r="B49" s="642"/>
      <c r="D49" s="667" t="s">
        <v>394</v>
      </c>
      <c r="E49" s="667" t="s">
        <v>378</v>
      </c>
      <c r="F49" s="667" t="s">
        <v>379</v>
      </c>
      <c r="G49" s="667" t="s">
        <v>380</v>
      </c>
      <c r="H49" s="667" t="s">
        <v>381</v>
      </c>
      <c r="I49" s="667" t="s">
        <v>382</v>
      </c>
      <c r="J49" s="667" t="s">
        <v>383</v>
      </c>
      <c r="K49" s="667" t="s">
        <v>595</v>
      </c>
    </row>
    <row r="50" spans="1:13" s="668" customFormat="1" x14ac:dyDescent="0.25">
      <c r="A50" s="836"/>
      <c r="D50" s="467" t="s">
        <v>235</v>
      </c>
      <c r="E50" s="467" t="s">
        <v>235</v>
      </c>
      <c r="F50" s="467" t="s">
        <v>235</v>
      </c>
      <c r="G50" s="467" t="s">
        <v>235</v>
      </c>
      <c r="H50" s="467" t="s">
        <v>235</v>
      </c>
      <c r="I50" s="467" t="s">
        <v>235</v>
      </c>
      <c r="J50" s="467" t="s">
        <v>235</v>
      </c>
      <c r="K50" s="467" t="s">
        <v>235</v>
      </c>
      <c r="L50" s="836"/>
    </row>
    <row r="51" spans="1:13" x14ac:dyDescent="0.25">
      <c r="G51" s="577" t="s">
        <v>2322</v>
      </c>
      <c r="K51" s="669"/>
    </row>
    <row r="52" spans="1:13" x14ac:dyDescent="0.25">
      <c r="A52" s="669"/>
      <c r="B52" s="669"/>
      <c r="C52" s="669"/>
      <c r="D52" s="669" t="s">
        <v>217</v>
      </c>
      <c r="E52" s="669" t="s">
        <v>2305</v>
      </c>
      <c r="F52" s="669" t="s">
        <v>2323</v>
      </c>
      <c r="G52" s="669" t="s">
        <v>215</v>
      </c>
      <c r="H52" s="669" t="s">
        <v>2324</v>
      </c>
      <c r="I52" s="670" t="s">
        <v>2325</v>
      </c>
      <c r="J52" s="669" t="s">
        <v>217</v>
      </c>
      <c r="K52" s="669" t="s">
        <v>18</v>
      </c>
    </row>
    <row r="53" spans="1:13" x14ac:dyDescent="0.25">
      <c r="A53" s="879" t="s">
        <v>360</v>
      </c>
      <c r="B53" s="636" t="s">
        <v>211</v>
      </c>
      <c r="C53" s="636" t="s">
        <v>212</v>
      </c>
      <c r="D53" s="667" t="s">
        <v>2326</v>
      </c>
      <c r="E53" s="667" t="s">
        <v>2306</v>
      </c>
      <c r="F53" s="667" t="s">
        <v>2327</v>
      </c>
      <c r="G53" s="667" t="s">
        <v>2328</v>
      </c>
      <c r="H53" s="667" t="s">
        <v>2329</v>
      </c>
      <c r="I53" s="667" t="s">
        <v>2330</v>
      </c>
      <c r="J53" s="667" t="s">
        <v>2331</v>
      </c>
      <c r="K53" s="3" t="s">
        <v>2332</v>
      </c>
    </row>
    <row r="54" spans="1:13" x14ac:dyDescent="0.25">
      <c r="A54" s="103">
        <f>A46+1</f>
        <v>29</v>
      </c>
      <c r="B54" s="637" t="s">
        <v>199</v>
      </c>
      <c r="C54" s="979" t="s">
        <v>1562</v>
      </c>
      <c r="D54" s="676" t="s">
        <v>86</v>
      </c>
      <c r="E54" s="676" t="s">
        <v>86</v>
      </c>
      <c r="F54" s="676" t="s">
        <v>86</v>
      </c>
      <c r="G54" s="676" t="s">
        <v>86</v>
      </c>
      <c r="H54" s="676" t="s">
        <v>86</v>
      </c>
      <c r="I54" s="676" t="s">
        <v>86</v>
      </c>
      <c r="J54" s="968">
        <v>0</v>
      </c>
      <c r="K54" s="676" t="s">
        <v>86</v>
      </c>
    </row>
    <row r="55" spans="1:13" x14ac:dyDescent="0.25">
      <c r="A55" s="103">
        <f>A54+1</f>
        <v>30</v>
      </c>
      <c r="B55" s="637" t="s">
        <v>200</v>
      </c>
      <c r="C55" s="979" t="s">
        <v>1562</v>
      </c>
      <c r="D55" s="968">
        <v>0</v>
      </c>
      <c r="E55" s="968">
        <v>0</v>
      </c>
      <c r="F55" s="968">
        <v>0</v>
      </c>
      <c r="G55" s="968">
        <v>0</v>
      </c>
      <c r="H55" s="968">
        <v>0</v>
      </c>
      <c r="I55" s="968">
        <v>0</v>
      </c>
      <c r="J55" s="968">
        <v>0</v>
      </c>
      <c r="K55" s="968">
        <v>0</v>
      </c>
      <c r="L55" s="834"/>
      <c r="M55" s="6"/>
    </row>
    <row r="56" spans="1:13" x14ac:dyDescent="0.25">
      <c r="A56" s="103">
        <f t="shared" ref="A56:A79" si="2">A55+1</f>
        <v>31</v>
      </c>
      <c r="B56" s="639" t="s">
        <v>201</v>
      </c>
      <c r="C56" s="979" t="s">
        <v>1562</v>
      </c>
      <c r="D56" s="968">
        <v>0</v>
      </c>
      <c r="E56" s="968">
        <v>0</v>
      </c>
      <c r="F56" s="968">
        <v>0</v>
      </c>
      <c r="G56" s="968">
        <v>0</v>
      </c>
      <c r="H56" s="968">
        <v>0</v>
      </c>
      <c r="I56" s="968">
        <v>0</v>
      </c>
      <c r="J56" s="968">
        <v>0</v>
      </c>
      <c r="K56" s="968">
        <v>0</v>
      </c>
      <c r="L56" s="834"/>
      <c r="M56" s="6"/>
    </row>
    <row r="57" spans="1:13" x14ac:dyDescent="0.25">
      <c r="A57" s="103">
        <f t="shared" si="2"/>
        <v>32</v>
      </c>
      <c r="B57" s="639" t="s">
        <v>214</v>
      </c>
      <c r="C57" s="979" t="s">
        <v>1562</v>
      </c>
      <c r="D57" s="968">
        <v>0</v>
      </c>
      <c r="E57" s="968">
        <v>0</v>
      </c>
      <c r="F57" s="968">
        <v>0</v>
      </c>
      <c r="G57" s="968">
        <v>0</v>
      </c>
      <c r="H57" s="968">
        <v>0</v>
      </c>
      <c r="I57" s="968">
        <v>0</v>
      </c>
      <c r="J57" s="968">
        <v>0</v>
      </c>
      <c r="K57" s="968">
        <v>0</v>
      </c>
      <c r="L57" s="834"/>
      <c r="M57" s="6"/>
    </row>
    <row r="58" spans="1:13" x14ac:dyDescent="0.25">
      <c r="A58" s="103">
        <f t="shared" si="2"/>
        <v>33</v>
      </c>
      <c r="B58" s="637" t="s">
        <v>202</v>
      </c>
      <c r="C58" s="979" t="s">
        <v>1562</v>
      </c>
      <c r="D58" s="968">
        <v>0</v>
      </c>
      <c r="E58" s="968">
        <v>0</v>
      </c>
      <c r="F58" s="968">
        <v>0</v>
      </c>
      <c r="G58" s="968">
        <v>0</v>
      </c>
      <c r="H58" s="968">
        <v>0</v>
      </c>
      <c r="I58" s="968">
        <v>0</v>
      </c>
      <c r="J58" s="968">
        <v>0</v>
      </c>
      <c r="K58" s="968">
        <v>0</v>
      </c>
      <c r="L58" s="834"/>
      <c r="M58" s="6"/>
    </row>
    <row r="59" spans="1:13" x14ac:dyDescent="0.25">
      <c r="A59" s="103">
        <f t="shared" si="2"/>
        <v>34</v>
      </c>
      <c r="B59" s="639" t="s">
        <v>203</v>
      </c>
      <c r="C59" s="979" t="s">
        <v>1562</v>
      </c>
      <c r="D59" s="968">
        <v>0</v>
      </c>
      <c r="E59" s="968">
        <v>0</v>
      </c>
      <c r="F59" s="968">
        <v>0</v>
      </c>
      <c r="G59" s="968">
        <v>0</v>
      </c>
      <c r="H59" s="968">
        <v>0</v>
      </c>
      <c r="I59" s="968">
        <v>0</v>
      </c>
      <c r="J59" s="968">
        <v>0</v>
      </c>
      <c r="K59" s="968">
        <v>0</v>
      </c>
      <c r="L59" s="834"/>
      <c r="M59" s="6"/>
    </row>
    <row r="60" spans="1:13" x14ac:dyDescent="0.25">
      <c r="A60" s="103">
        <f t="shared" si="2"/>
        <v>35</v>
      </c>
      <c r="B60" s="639" t="s">
        <v>1662</v>
      </c>
      <c r="C60" s="979" t="s">
        <v>1562</v>
      </c>
      <c r="D60" s="968">
        <v>0</v>
      </c>
      <c r="E60" s="968">
        <v>0</v>
      </c>
      <c r="F60" s="968">
        <v>0</v>
      </c>
      <c r="G60" s="968">
        <v>0</v>
      </c>
      <c r="H60" s="968">
        <v>0</v>
      </c>
      <c r="I60" s="968">
        <v>0</v>
      </c>
      <c r="J60" s="968">
        <v>0</v>
      </c>
      <c r="K60" s="968">
        <v>0</v>
      </c>
      <c r="L60" s="834"/>
      <c r="M60" s="6"/>
    </row>
    <row r="61" spans="1:13" x14ac:dyDescent="0.25">
      <c r="A61" s="103">
        <f t="shared" si="2"/>
        <v>36</v>
      </c>
      <c r="B61" s="637" t="s">
        <v>205</v>
      </c>
      <c r="C61" s="979" t="s">
        <v>1562</v>
      </c>
      <c r="D61" s="968">
        <v>0</v>
      </c>
      <c r="E61" s="968">
        <v>0</v>
      </c>
      <c r="F61" s="968">
        <v>0</v>
      </c>
      <c r="G61" s="968">
        <v>0</v>
      </c>
      <c r="H61" s="968">
        <v>0</v>
      </c>
      <c r="I61" s="968">
        <v>0</v>
      </c>
      <c r="J61" s="968">
        <v>0</v>
      </c>
      <c r="K61" s="968">
        <v>0</v>
      </c>
      <c r="L61" s="834"/>
      <c r="M61" s="6"/>
    </row>
    <row r="62" spans="1:13" x14ac:dyDescent="0.25">
      <c r="A62" s="103">
        <f t="shared" si="2"/>
        <v>37</v>
      </c>
      <c r="B62" s="639" t="s">
        <v>206</v>
      </c>
      <c r="C62" s="979" t="s">
        <v>1562</v>
      </c>
      <c r="D62" s="968">
        <v>0</v>
      </c>
      <c r="E62" s="968">
        <v>0</v>
      </c>
      <c r="F62" s="968">
        <v>0</v>
      </c>
      <c r="G62" s="968">
        <v>0</v>
      </c>
      <c r="H62" s="968">
        <v>0</v>
      </c>
      <c r="I62" s="968">
        <v>0</v>
      </c>
      <c r="J62" s="968">
        <v>0</v>
      </c>
      <c r="K62" s="968">
        <v>0</v>
      </c>
      <c r="L62" s="834"/>
      <c r="M62" s="6"/>
    </row>
    <row r="63" spans="1:13" x14ac:dyDescent="0.25">
      <c r="A63" s="103">
        <f t="shared" si="2"/>
        <v>38</v>
      </c>
      <c r="B63" s="639" t="s">
        <v>207</v>
      </c>
      <c r="C63" s="979" t="s">
        <v>1562</v>
      </c>
      <c r="D63" s="968">
        <v>0</v>
      </c>
      <c r="E63" s="968">
        <v>0</v>
      </c>
      <c r="F63" s="968">
        <v>0</v>
      </c>
      <c r="G63" s="968">
        <v>0</v>
      </c>
      <c r="H63" s="968">
        <v>0</v>
      </c>
      <c r="I63" s="968">
        <v>0</v>
      </c>
      <c r="J63" s="968">
        <v>0</v>
      </c>
      <c r="K63" s="968">
        <v>0</v>
      </c>
      <c r="L63" s="834"/>
      <c r="M63" s="6"/>
    </row>
    <row r="64" spans="1:13" x14ac:dyDescent="0.25">
      <c r="A64" s="103">
        <f t="shared" si="2"/>
        <v>39</v>
      </c>
      <c r="B64" s="637" t="s">
        <v>210</v>
      </c>
      <c r="C64" s="979" t="s">
        <v>1562</v>
      </c>
      <c r="D64" s="968">
        <v>0</v>
      </c>
      <c r="E64" s="968">
        <v>0</v>
      </c>
      <c r="F64" s="968">
        <v>0</v>
      </c>
      <c r="G64" s="968">
        <v>0</v>
      </c>
      <c r="H64" s="968">
        <v>0</v>
      </c>
      <c r="I64" s="968">
        <v>0</v>
      </c>
      <c r="J64" s="968">
        <v>0</v>
      </c>
      <c r="K64" s="968">
        <v>0</v>
      </c>
      <c r="L64" s="834"/>
      <c r="M64" s="6"/>
    </row>
    <row r="65" spans="1:13" x14ac:dyDescent="0.25">
      <c r="A65" s="103">
        <f t="shared" si="2"/>
        <v>40</v>
      </c>
      <c r="B65" s="637" t="s">
        <v>209</v>
      </c>
      <c r="C65" s="979" t="s">
        <v>1562</v>
      </c>
      <c r="D65" s="968">
        <v>0</v>
      </c>
      <c r="E65" s="968">
        <v>0</v>
      </c>
      <c r="F65" s="968">
        <v>0</v>
      </c>
      <c r="G65" s="968">
        <v>0</v>
      </c>
      <c r="H65" s="968">
        <v>0</v>
      </c>
      <c r="I65" s="968">
        <v>0</v>
      </c>
      <c r="J65" s="968">
        <v>0</v>
      </c>
      <c r="K65" s="968">
        <v>0</v>
      </c>
      <c r="L65" s="834"/>
      <c r="M65" s="6"/>
    </row>
    <row r="66" spans="1:13" x14ac:dyDescent="0.25">
      <c r="A66" s="103">
        <f t="shared" si="2"/>
        <v>41</v>
      </c>
      <c r="B66" s="637" t="s">
        <v>199</v>
      </c>
      <c r="C66" s="979" t="s">
        <v>1562</v>
      </c>
      <c r="D66" s="968">
        <v>0</v>
      </c>
      <c r="E66" s="968">
        <v>0</v>
      </c>
      <c r="F66" s="968">
        <v>0</v>
      </c>
      <c r="G66" s="968">
        <v>0</v>
      </c>
      <c r="H66" s="968">
        <v>0</v>
      </c>
      <c r="I66" s="968">
        <v>0</v>
      </c>
      <c r="J66" s="968">
        <v>0</v>
      </c>
      <c r="K66" s="968">
        <v>0</v>
      </c>
      <c r="L66" s="834"/>
      <c r="M66" s="6"/>
    </row>
    <row r="67" spans="1:13" x14ac:dyDescent="0.25">
      <c r="A67" s="103">
        <f t="shared" si="2"/>
        <v>42</v>
      </c>
      <c r="B67" s="637" t="s">
        <v>200</v>
      </c>
      <c r="C67" s="979" t="s">
        <v>1562</v>
      </c>
      <c r="D67" s="968">
        <v>0</v>
      </c>
      <c r="E67" s="968">
        <v>0</v>
      </c>
      <c r="F67" s="968">
        <v>0</v>
      </c>
      <c r="G67" s="968">
        <v>0</v>
      </c>
      <c r="H67" s="968">
        <v>0</v>
      </c>
      <c r="I67" s="968">
        <v>0</v>
      </c>
      <c r="J67" s="968">
        <v>0</v>
      </c>
      <c r="K67" s="968">
        <v>0</v>
      </c>
      <c r="L67" s="834"/>
      <c r="M67" s="6"/>
    </row>
    <row r="68" spans="1:13" x14ac:dyDescent="0.25">
      <c r="A68" s="103">
        <f t="shared" si="2"/>
        <v>43</v>
      </c>
      <c r="B68" s="639" t="s">
        <v>201</v>
      </c>
      <c r="C68" s="979" t="s">
        <v>1562</v>
      </c>
      <c r="D68" s="968">
        <v>0</v>
      </c>
      <c r="E68" s="968">
        <v>0</v>
      </c>
      <c r="F68" s="968">
        <v>0</v>
      </c>
      <c r="G68" s="968">
        <v>0</v>
      </c>
      <c r="H68" s="968">
        <v>0</v>
      </c>
      <c r="I68" s="968">
        <v>0</v>
      </c>
      <c r="J68" s="968">
        <v>0</v>
      </c>
      <c r="K68" s="968">
        <v>0</v>
      </c>
      <c r="L68" s="834"/>
      <c r="M68" s="6"/>
    </row>
    <row r="69" spans="1:13" x14ac:dyDescent="0.25">
      <c r="A69" s="103">
        <f t="shared" si="2"/>
        <v>44</v>
      </c>
      <c r="B69" s="639" t="s">
        <v>214</v>
      </c>
      <c r="C69" s="979" t="s">
        <v>1562</v>
      </c>
      <c r="D69" s="968">
        <v>0</v>
      </c>
      <c r="E69" s="968">
        <v>0</v>
      </c>
      <c r="F69" s="968">
        <v>0</v>
      </c>
      <c r="G69" s="968">
        <v>0</v>
      </c>
      <c r="H69" s="968">
        <v>0</v>
      </c>
      <c r="I69" s="968">
        <v>0</v>
      </c>
      <c r="J69" s="968">
        <v>0</v>
      </c>
      <c r="K69" s="968">
        <v>0</v>
      </c>
      <c r="L69" s="834"/>
      <c r="M69" s="6"/>
    </row>
    <row r="70" spans="1:13" x14ac:dyDescent="0.25">
      <c r="A70" s="103">
        <f t="shared" si="2"/>
        <v>45</v>
      </c>
      <c r="B70" s="637" t="s">
        <v>202</v>
      </c>
      <c r="C70" s="979" t="s">
        <v>1562</v>
      </c>
      <c r="D70" s="968">
        <v>0</v>
      </c>
      <c r="E70" s="968">
        <v>0</v>
      </c>
      <c r="F70" s="968">
        <v>0</v>
      </c>
      <c r="G70" s="968">
        <v>0</v>
      </c>
      <c r="H70" s="968">
        <v>0</v>
      </c>
      <c r="I70" s="968">
        <v>0</v>
      </c>
      <c r="J70" s="968">
        <v>0</v>
      </c>
      <c r="K70" s="968">
        <v>0</v>
      </c>
      <c r="L70" s="834"/>
      <c r="M70" s="6"/>
    </row>
    <row r="71" spans="1:13" x14ac:dyDescent="0.25">
      <c r="A71" s="103">
        <f t="shared" si="2"/>
        <v>46</v>
      </c>
      <c r="B71" s="639" t="s">
        <v>203</v>
      </c>
      <c r="C71" s="979" t="s">
        <v>1562</v>
      </c>
      <c r="D71" s="968">
        <v>0</v>
      </c>
      <c r="E71" s="968">
        <v>0</v>
      </c>
      <c r="F71" s="968">
        <v>0</v>
      </c>
      <c r="G71" s="968">
        <v>0</v>
      </c>
      <c r="H71" s="968">
        <v>0</v>
      </c>
      <c r="I71" s="968">
        <v>0</v>
      </c>
      <c r="J71" s="968">
        <v>0</v>
      </c>
      <c r="K71" s="968">
        <v>0</v>
      </c>
      <c r="L71" s="834"/>
      <c r="M71" s="6"/>
    </row>
    <row r="72" spans="1:13" x14ac:dyDescent="0.25">
      <c r="A72" s="103">
        <f t="shared" si="2"/>
        <v>47</v>
      </c>
      <c r="B72" s="639" t="s">
        <v>1662</v>
      </c>
      <c r="C72" s="979" t="s">
        <v>1562</v>
      </c>
      <c r="D72" s="968">
        <v>0</v>
      </c>
      <c r="E72" s="968">
        <v>0</v>
      </c>
      <c r="F72" s="968">
        <v>0</v>
      </c>
      <c r="G72" s="968">
        <v>0</v>
      </c>
      <c r="H72" s="968">
        <v>0</v>
      </c>
      <c r="I72" s="968">
        <v>0</v>
      </c>
      <c r="J72" s="968">
        <v>0</v>
      </c>
      <c r="K72" s="968">
        <v>0</v>
      </c>
      <c r="L72" s="834"/>
      <c r="M72" s="6"/>
    </row>
    <row r="73" spans="1:13" x14ac:dyDescent="0.25">
      <c r="A73" s="103">
        <f t="shared" si="2"/>
        <v>48</v>
      </c>
      <c r="B73" s="637" t="s">
        <v>205</v>
      </c>
      <c r="C73" s="979" t="s">
        <v>1562</v>
      </c>
      <c r="D73" s="968">
        <v>0</v>
      </c>
      <c r="E73" s="968">
        <v>0</v>
      </c>
      <c r="F73" s="968">
        <v>0</v>
      </c>
      <c r="G73" s="968">
        <v>0</v>
      </c>
      <c r="H73" s="968">
        <v>0</v>
      </c>
      <c r="I73" s="968">
        <v>0</v>
      </c>
      <c r="J73" s="968">
        <v>0</v>
      </c>
      <c r="K73" s="968">
        <v>0</v>
      </c>
      <c r="L73" s="834"/>
      <c r="M73" s="6"/>
    </row>
    <row r="74" spans="1:13" x14ac:dyDescent="0.25">
      <c r="A74" s="103">
        <f t="shared" si="2"/>
        <v>49</v>
      </c>
      <c r="B74" s="639" t="s">
        <v>206</v>
      </c>
      <c r="C74" s="979" t="s">
        <v>1562</v>
      </c>
      <c r="D74" s="968">
        <v>0</v>
      </c>
      <c r="E74" s="968">
        <v>0</v>
      </c>
      <c r="F74" s="968">
        <v>0</v>
      </c>
      <c r="G74" s="968">
        <v>0</v>
      </c>
      <c r="H74" s="968">
        <v>0</v>
      </c>
      <c r="I74" s="968">
        <v>0</v>
      </c>
      <c r="J74" s="968">
        <v>0</v>
      </c>
      <c r="K74" s="968">
        <v>0</v>
      </c>
      <c r="L74" s="834"/>
      <c r="M74" s="6"/>
    </row>
    <row r="75" spans="1:13" x14ac:dyDescent="0.25">
      <c r="A75" s="103">
        <f t="shared" si="2"/>
        <v>50</v>
      </c>
      <c r="B75" s="639" t="s">
        <v>207</v>
      </c>
      <c r="C75" s="979" t="s">
        <v>1562</v>
      </c>
      <c r="D75" s="968">
        <v>0</v>
      </c>
      <c r="E75" s="968">
        <v>0</v>
      </c>
      <c r="F75" s="968">
        <v>0</v>
      </c>
      <c r="G75" s="968">
        <v>0</v>
      </c>
      <c r="H75" s="968">
        <v>0</v>
      </c>
      <c r="I75" s="968">
        <v>0</v>
      </c>
      <c r="J75" s="968">
        <v>0</v>
      </c>
      <c r="K75" s="968">
        <v>0</v>
      </c>
      <c r="L75" s="834"/>
      <c r="M75" s="6"/>
    </row>
    <row r="76" spans="1:13" x14ac:dyDescent="0.25">
      <c r="A76" s="103">
        <f t="shared" si="2"/>
        <v>51</v>
      </c>
      <c r="B76" s="639" t="s">
        <v>210</v>
      </c>
      <c r="C76" s="979" t="s">
        <v>1562</v>
      </c>
      <c r="D76" s="968">
        <v>0</v>
      </c>
      <c r="E76" s="968">
        <v>0</v>
      </c>
      <c r="F76" s="968">
        <v>0</v>
      </c>
      <c r="G76" s="968">
        <v>0</v>
      </c>
      <c r="H76" s="968">
        <v>0</v>
      </c>
      <c r="I76" s="968">
        <v>0</v>
      </c>
      <c r="J76" s="968">
        <v>0</v>
      </c>
      <c r="K76" s="968">
        <v>0</v>
      </c>
      <c r="L76" s="834"/>
      <c r="M76" s="6"/>
    </row>
    <row r="77" spans="1:13" x14ac:dyDescent="0.25">
      <c r="A77" s="103">
        <f t="shared" si="2"/>
        <v>52</v>
      </c>
      <c r="B77" s="639" t="s">
        <v>209</v>
      </c>
      <c r="C77" s="979" t="s">
        <v>1562</v>
      </c>
      <c r="D77" s="968">
        <v>0</v>
      </c>
      <c r="E77" s="968">
        <v>0</v>
      </c>
      <c r="F77" s="968">
        <v>0</v>
      </c>
      <c r="G77" s="968">
        <v>0</v>
      </c>
      <c r="H77" s="968">
        <v>0</v>
      </c>
      <c r="I77" s="968">
        <v>0</v>
      </c>
      <c r="J77" s="968">
        <v>0</v>
      </c>
      <c r="K77" s="968">
        <v>0</v>
      </c>
      <c r="L77" s="834"/>
      <c r="M77" s="6"/>
    </row>
    <row r="78" spans="1:13" ht="15" x14ac:dyDescent="0.4">
      <c r="A78" s="103">
        <f t="shared" si="2"/>
        <v>53</v>
      </c>
      <c r="B78" s="639" t="s">
        <v>199</v>
      </c>
      <c r="C78" s="979" t="s">
        <v>1562</v>
      </c>
      <c r="D78" s="968">
        <v>0</v>
      </c>
      <c r="E78" s="968">
        <v>0</v>
      </c>
      <c r="F78" s="968">
        <v>0</v>
      </c>
      <c r="G78" s="968">
        <v>0</v>
      </c>
      <c r="H78" s="968">
        <v>0</v>
      </c>
      <c r="I78" s="968">
        <v>0</v>
      </c>
      <c r="J78" s="968">
        <v>0</v>
      </c>
      <c r="K78" s="969">
        <v>0</v>
      </c>
      <c r="L78" s="835"/>
      <c r="M78" s="6"/>
    </row>
    <row r="79" spans="1:13" x14ac:dyDescent="0.25">
      <c r="A79" s="103">
        <f t="shared" si="2"/>
        <v>54</v>
      </c>
      <c r="C79" s="671" t="s">
        <v>1837</v>
      </c>
      <c r="K79" s="985">
        <v>0</v>
      </c>
      <c r="L79" s="837"/>
    </row>
    <row r="81" spans="1:11" x14ac:dyDescent="0.25">
      <c r="B81" s="642" t="s">
        <v>2333</v>
      </c>
    </row>
    <row r="82" spans="1:11" s="672" customFormat="1" x14ac:dyDescent="0.25">
      <c r="B82" s="673" t="s">
        <v>2334</v>
      </c>
      <c r="D82" s="1113" t="s">
        <v>249</v>
      </c>
      <c r="E82" s="1113"/>
    </row>
    <row r="83" spans="1:11" s="667" customFormat="1" x14ac:dyDescent="0.25">
      <c r="D83" s="667" t="s">
        <v>394</v>
      </c>
      <c r="E83" s="667" t="s">
        <v>378</v>
      </c>
      <c r="F83" s="667" t="s">
        <v>379</v>
      </c>
      <c r="G83" s="667" t="s">
        <v>380</v>
      </c>
      <c r="H83" s="667" t="s">
        <v>381</v>
      </c>
      <c r="I83" s="667" t="s">
        <v>382</v>
      </c>
      <c r="J83" s="667" t="s">
        <v>383</v>
      </c>
      <c r="K83" s="667" t="s">
        <v>595</v>
      </c>
    </row>
    <row r="84" spans="1:11" s="672" customFormat="1" ht="25.95" customHeight="1" x14ac:dyDescent="0.25">
      <c r="D84" s="674"/>
      <c r="E84" s="675" t="s">
        <v>2584</v>
      </c>
      <c r="F84" s="676" t="s">
        <v>2335</v>
      </c>
      <c r="G84" s="475"/>
      <c r="H84" s="674"/>
      <c r="I84" s="675" t="s">
        <v>2585</v>
      </c>
      <c r="J84" s="675" t="s">
        <v>2336</v>
      </c>
      <c r="K84" s="675" t="s">
        <v>2337</v>
      </c>
    </row>
    <row r="85" spans="1:11" s="672" customFormat="1" x14ac:dyDescent="0.25">
      <c r="D85" s="674"/>
      <c r="E85" s="677"/>
      <c r="F85" s="677"/>
      <c r="G85" s="577" t="str">
        <f>G51</f>
        <v>Unloaded</v>
      </c>
      <c r="H85" s="674"/>
      <c r="I85" s="677"/>
      <c r="J85" s="677"/>
      <c r="K85" s="577"/>
    </row>
    <row r="86" spans="1:11" s="669" customFormat="1" x14ac:dyDescent="0.25">
      <c r="D86" s="669" t="str">
        <f>D$52</f>
        <v>Forecast</v>
      </c>
      <c r="E86" s="669" t="str">
        <f t="shared" ref="E86:J86" si="3">E$52</f>
        <v>Corporate</v>
      </c>
      <c r="F86" s="669" t="str">
        <f t="shared" si="3"/>
        <v xml:space="preserve">Total </v>
      </c>
      <c r="G86" s="577" t="str">
        <f>G52</f>
        <v>Total</v>
      </c>
      <c r="H86" s="669" t="str">
        <f t="shared" si="3"/>
        <v>Prior Period</v>
      </c>
      <c r="I86" s="669" t="str">
        <f t="shared" si="3"/>
        <v>Over Heads</v>
      </c>
      <c r="J86" s="669" t="str">
        <f t="shared" si="3"/>
        <v>Forecast</v>
      </c>
      <c r="K86" s="577" t="str">
        <f>K$52</f>
        <v>Forecast Period</v>
      </c>
    </row>
    <row r="87" spans="1:11" s="672" customFormat="1" x14ac:dyDescent="0.25">
      <c r="A87" s="879" t="s">
        <v>360</v>
      </c>
      <c r="B87" s="636" t="s">
        <v>211</v>
      </c>
      <c r="C87" s="636" t="s">
        <v>212</v>
      </c>
      <c r="D87" s="667" t="str">
        <f>D$53</f>
        <v>Expenditures</v>
      </c>
      <c r="E87" s="667" t="str">
        <f t="shared" ref="E87:J87" si="4">E$53</f>
        <v>Overheads</v>
      </c>
      <c r="F87" s="667" t="str">
        <f t="shared" si="4"/>
        <v>CWIP Exp</v>
      </c>
      <c r="G87" s="3" t="str">
        <f>G53</f>
        <v>Plant Adds</v>
      </c>
      <c r="H87" s="667" t="str">
        <f t="shared" si="4"/>
        <v>CWIP Closed</v>
      </c>
      <c r="I87" s="667" t="str">
        <f t="shared" si="4"/>
        <v>Closed to PIS</v>
      </c>
      <c r="J87" s="667" t="str">
        <f t="shared" si="4"/>
        <v>Period CWIP</v>
      </c>
      <c r="K87" s="667" t="str">
        <f>K$53</f>
        <v>Incremental CWIP</v>
      </c>
    </row>
    <row r="88" spans="1:11" s="672" customFormat="1" x14ac:dyDescent="0.25">
      <c r="A88" s="103">
        <f>A79+1</f>
        <v>55</v>
      </c>
      <c r="B88" s="637" t="s">
        <v>199</v>
      </c>
      <c r="C88" s="979" t="s">
        <v>1562</v>
      </c>
      <c r="D88" s="676" t="s">
        <v>86</v>
      </c>
      <c r="E88" s="676" t="s">
        <v>86</v>
      </c>
      <c r="F88" s="676" t="s">
        <v>86</v>
      </c>
      <c r="G88" s="676" t="s">
        <v>86</v>
      </c>
      <c r="H88" s="676" t="s">
        <v>86</v>
      </c>
      <c r="I88" s="676" t="s">
        <v>86</v>
      </c>
      <c r="J88" s="968">
        <v>0</v>
      </c>
      <c r="K88" s="676" t="s">
        <v>86</v>
      </c>
    </row>
    <row r="89" spans="1:11" s="672" customFormat="1" x14ac:dyDescent="0.25">
      <c r="A89" s="103">
        <f>A88+1</f>
        <v>56</v>
      </c>
      <c r="B89" s="637" t="s">
        <v>200</v>
      </c>
      <c r="C89" s="979" t="s">
        <v>1562</v>
      </c>
      <c r="D89" s="977">
        <v>0</v>
      </c>
      <c r="E89" s="968">
        <v>0</v>
      </c>
      <c r="F89" s="968">
        <v>0</v>
      </c>
      <c r="G89" s="977">
        <v>0</v>
      </c>
      <c r="H89" s="977">
        <v>0</v>
      </c>
      <c r="I89" s="968">
        <v>0</v>
      </c>
      <c r="J89" s="968">
        <v>0</v>
      </c>
      <c r="K89" s="968">
        <v>0</v>
      </c>
    </row>
    <row r="90" spans="1:11" s="672" customFormat="1" x14ac:dyDescent="0.25">
      <c r="A90" s="103">
        <f t="shared" ref="A90:A108" si="5">A89+1</f>
        <v>57</v>
      </c>
      <c r="B90" s="639" t="s">
        <v>201</v>
      </c>
      <c r="C90" s="979" t="s">
        <v>1562</v>
      </c>
      <c r="D90" s="977">
        <v>0</v>
      </c>
      <c r="E90" s="968">
        <v>0</v>
      </c>
      <c r="F90" s="968">
        <v>0</v>
      </c>
      <c r="G90" s="977">
        <v>0</v>
      </c>
      <c r="H90" s="977">
        <v>0</v>
      </c>
      <c r="I90" s="968">
        <v>0</v>
      </c>
      <c r="J90" s="968">
        <v>0</v>
      </c>
      <c r="K90" s="968">
        <v>0</v>
      </c>
    </row>
    <row r="91" spans="1:11" s="672" customFormat="1" x14ac:dyDescent="0.25">
      <c r="A91" s="103">
        <f t="shared" si="5"/>
        <v>58</v>
      </c>
      <c r="B91" s="639" t="s">
        <v>214</v>
      </c>
      <c r="C91" s="979" t="s">
        <v>1562</v>
      </c>
      <c r="D91" s="977">
        <v>0</v>
      </c>
      <c r="E91" s="968">
        <v>0</v>
      </c>
      <c r="F91" s="968">
        <v>0</v>
      </c>
      <c r="G91" s="977">
        <v>0</v>
      </c>
      <c r="H91" s="977">
        <v>0</v>
      </c>
      <c r="I91" s="968">
        <v>0</v>
      </c>
      <c r="J91" s="968">
        <v>0</v>
      </c>
      <c r="K91" s="968">
        <v>0</v>
      </c>
    </row>
    <row r="92" spans="1:11" s="672" customFormat="1" x14ac:dyDescent="0.25">
      <c r="A92" s="103">
        <f t="shared" si="5"/>
        <v>59</v>
      </c>
      <c r="B92" s="637" t="s">
        <v>202</v>
      </c>
      <c r="C92" s="979" t="s">
        <v>1562</v>
      </c>
      <c r="D92" s="977">
        <v>0</v>
      </c>
      <c r="E92" s="968">
        <v>0</v>
      </c>
      <c r="F92" s="968">
        <v>0</v>
      </c>
      <c r="G92" s="977">
        <v>0</v>
      </c>
      <c r="H92" s="977">
        <v>0</v>
      </c>
      <c r="I92" s="968">
        <v>0</v>
      </c>
      <c r="J92" s="968">
        <v>0</v>
      </c>
      <c r="K92" s="968">
        <v>0</v>
      </c>
    </row>
    <row r="93" spans="1:11" s="672" customFormat="1" x14ac:dyDescent="0.25">
      <c r="A93" s="103">
        <f t="shared" si="5"/>
        <v>60</v>
      </c>
      <c r="B93" s="639" t="s">
        <v>203</v>
      </c>
      <c r="C93" s="979" t="s">
        <v>1562</v>
      </c>
      <c r="D93" s="977">
        <v>0</v>
      </c>
      <c r="E93" s="968">
        <v>0</v>
      </c>
      <c r="F93" s="968">
        <v>0</v>
      </c>
      <c r="G93" s="977">
        <v>0</v>
      </c>
      <c r="H93" s="977">
        <v>0</v>
      </c>
      <c r="I93" s="968">
        <v>0</v>
      </c>
      <c r="J93" s="968">
        <v>0</v>
      </c>
      <c r="K93" s="968">
        <v>0</v>
      </c>
    </row>
    <row r="94" spans="1:11" s="672" customFormat="1" x14ac:dyDescent="0.25">
      <c r="A94" s="103">
        <f t="shared" si="5"/>
        <v>61</v>
      </c>
      <c r="B94" s="639" t="s">
        <v>1662</v>
      </c>
      <c r="C94" s="979" t="s">
        <v>1562</v>
      </c>
      <c r="D94" s="977">
        <v>0</v>
      </c>
      <c r="E94" s="968">
        <v>0</v>
      </c>
      <c r="F94" s="968">
        <v>0</v>
      </c>
      <c r="G94" s="977">
        <v>0</v>
      </c>
      <c r="H94" s="977">
        <v>0</v>
      </c>
      <c r="I94" s="968">
        <v>0</v>
      </c>
      <c r="J94" s="968">
        <v>0</v>
      </c>
      <c r="K94" s="968">
        <v>0</v>
      </c>
    </row>
    <row r="95" spans="1:11" s="672" customFormat="1" x14ac:dyDescent="0.25">
      <c r="A95" s="103">
        <f t="shared" si="5"/>
        <v>62</v>
      </c>
      <c r="B95" s="637" t="s">
        <v>205</v>
      </c>
      <c r="C95" s="979" t="s">
        <v>1562</v>
      </c>
      <c r="D95" s="977">
        <v>0</v>
      </c>
      <c r="E95" s="968">
        <v>0</v>
      </c>
      <c r="F95" s="968">
        <v>0</v>
      </c>
      <c r="G95" s="977">
        <v>0</v>
      </c>
      <c r="H95" s="977">
        <v>0</v>
      </c>
      <c r="I95" s="968">
        <v>0</v>
      </c>
      <c r="J95" s="968">
        <v>0</v>
      </c>
      <c r="K95" s="968">
        <v>0</v>
      </c>
    </row>
    <row r="96" spans="1:11" s="672" customFormat="1" x14ac:dyDescent="0.25">
      <c r="A96" s="103">
        <f t="shared" si="5"/>
        <v>63</v>
      </c>
      <c r="B96" s="639" t="s">
        <v>206</v>
      </c>
      <c r="C96" s="979" t="s">
        <v>1562</v>
      </c>
      <c r="D96" s="977">
        <v>0</v>
      </c>
      <c r="E96" s="968">
        <v>0</v>
      </c>
      <c r="F96" s="968">
        <v>0</v>
      </c>
      <c r="G96" s="977">
        <v>0</v>
      </c>
      <c r="H96" s="977">
        <v>0</v>
      </c>
      <c r="I96" s="968">
        <v>0</v>
      </c>
      <c r="J96" s="968">
        <v>0</v>
      </c>
      <c r="K96" s="968">
        <v>0</v>
      </c>
    </row>
    <row r="97" spans="1:11" s="672" customFormat="1" x14ac:dyDescent="0.25">
      <c r="A97" s="103">
        <f t="shared" si="5"/>
        <v>64</v>
      </c>
      <c r="B97" s="639" t="s">
        <v>207</v>
      </c>
      <c r="C97" s="979" t="s">
        <v>1562</v>
      </c>
      <c r="D97" s="977">
        <v>0</v>
      </c>
      <c r="E97" s="968">
        <v>0</v>
      </c>
      <c r="F97" s="968">
        <v>0</v>
      </c>
      <c r="G97" s="977">
        <v>0</v>
      </c>
      <c r="H97" s="977">
        <v>0</v>
      </c>
      <c r="I97" s="968">
        <v>0</v>
      </c>
      <c r="J97" s="968">
        <v>0</v>
      </c>
      <c r="K97" s="968">
        <v>0</v>
      </c>
    </row>
    <row r="98" spans="1:11" s="672" customFormat="1" x14ac:dyDescent="0.25">
      <c r="A98" s="103">
        <f t="shared" si="5"/>
        <v>65</v>
      </c>
      <c r="B98" s="637" t="s">
        <v>210</v>
      </c>
      <c r="C98" s="979" t="s">
        <v>1562</v>
      </c>
      <c r="D98" s="977">
        <v>0</v>
      </c>
      <c r="E98" s="968">
        <v>0</v>
      </c>
      <c r="F98" s="968">
        <v>0</v>
      </c>
      <c r="G98" s="977">
        <v>0</v>
      </c>
      <c r="H98" s="977">
        <v>0</v>
      </c>
      <c r="I98" s="968">
        <v>0</v>
      </c>
      <c r="J98" s="968">
        <v>0</v>
      </c>
      <c r="K98" s="968">
        <v>0</v>
      </c>
    </row>
    <row r="99" spans="1:11" s="672" customFormat="1" x14ac:dyDescent="0.25">
      <c r="A99" s="103">
        <f t="shared" si="5"/>
        <v>66</v>
      </c>
      <c r="B99" s="637" t="s">
        <v>209</v>
      </c>
      <c r="C99" s="979" t="s">
        <v>1562</v>
      </c>
      <c r="D99" s="977">
        <v>0</v>
      </c>
      <c r="E99" s="968">
        <v>0</v>
      </c>
      <c r="F99" s="968">
        <v>0</v>
      </c>
      <c r="G99" s="977">
        <v>0</v>
      </c>
      <c r="H99" s="977">
        <v>0</v>
      </c>
      <c r="I99" s="968">
        <v>0</v>
      </c>
      <c r="J99" s="968">
        <v>0</v>
      </c>
      <c r="K99" s="968">
        <v>0</v>
      </c>
    </row>
    <row r="100" spans="1:11" s="672" customFormat="1" x14ac:dyDescent="0.25">
      <c r="A100" s="103">
        <f t="shared" si="5"/>
        <v>67</v>
      </c>
      <c r="B100" s="637" t="s">
        <v>199</v>
      </c>
      <c r="C100" s="979" t="s">
        <v>1562</v>
      </c>
      <c r="D100" s="977">
        <v>0</v>
      </c>
      <c r="E100" s="968">
        <v>0</v>
      </c>
      <c r="F100" s="968">
        <v>0</v>
      </c>
      <c r="G100" s="977">
        <v>0</v>
      </c>
      <c r="H100" s="977">
        <v>0</v>
      </c>
      <c r="I100" s="968">
        <v>0</v>
      </c>
      <c r="J100" s="968">
        <v>0</v>
      </c>
      <c r="K100" s="968">
        <v>0</v>
      </c>
    </row>
    <row r="101" spans="1:11" s="672" customFormat="1" x14ac:dyDescent="0.25">
      <c r="A101" s="103">
        <f t="shared" si="5"/>
        <v>68</v>
      </c>
      <c r="B101" s="637" t="s">
        <v>200</v>
      </c>
      <c r="C101" s="979" t="s">
        <v>1562</v>
      </c>
      <c r="D101" s="977">
        <v>0</v>
      </c>
      <c r="E101" s="968">
        <v>0</v>
      </c>
      <c r="F101" s="968">
        <v>0</v>
      </c>
      <c r="G101" s="977">
        <v>0</v>
      </c>
      <c r="H101" s="977">
        <v>0</v>
      </c>
      <c r="I101" s="968">
        <v>0</v>
      </c>
      <c r="J101" s="968">
        <v>0</v>
      </c>
      <c r="K101" s="968">
        <v>0</v>
      </c>
    </row>
    <row r="102" spans="1:11" s="672" customFormat="1" x14ac:dyDescent="0.25">
      <c r="A102" s="103">
        <f t="shared" si="5"/>
        <v>69</v>
      </c>
      <c r="B102" s="639" t="s">
        <v>201</v>
      </c>
      <c r="C102" s="979" t="s">
        <v>1562</v>
      </c>
      <c r="D102" s="977">
        <v>0</v>
      </c>
      <c r="E102" s="968">
        <v>0</v>
      </c>
      <c r="F102" s="968">
        <v>0</v>
      </c>
      <c r="G102" s="977">
        <v>0</v>
      </c>
      <c r="H102" s="977">
        <v>0</v>
      </c>
      <c r="I102" s="968">
        <v>0</v>
      </c>
      <c r="J102" s="968">
        <v>0</v>
      </c>
      <c r="K102" s="968">
        <v>0</v>
      </c>
    </row>
    <row r="103" spans="1:11" s="672" customFormat="1" x14ac:dyDescent="0.25">
      <c r="A103" s="103">
        <f t="shared" si="5"/>
        <v>70</v>
      </c>
      <c r="B103" s="639" t="s">
        <v>214</v>
      </c>
      <c r="C103" s="979" t="s">
        <v>1562</v>
      </c>
      <c r="D103" s="977">
        <v>0</v>
      </c>
      <c r="E103" s="968">
        <v>0</v>
      </c>
      <c r="F103" s="968">
        <v>0</v>
      </c>
      <c r="G103" s="977">
        <v>0</v>
      </c>
      <c r="H103" s="977">
        <v>0</v>
      </c>
      <c r="I103" s="968">
        <v>0</v>
      </c>
      <c r="J103" s="968">
        <v>0</v>
      </c>
      <c r="K103" s="968">
        <v>0</v>
      </c>
    </row>
    <row r="104" spans="1:11" s="672" customFormat="1" x14ac:dyDescent="0.25">
      <c r="A104" s="103">
        <f t="shared" si="5"/>
        <v>71</v>
      </c>
      <c r="B104" s="637" t="s">
        <v>202</v>
      </c>
      <c r="C104" s="979" t="s">
        <v>1562</v>
      </c>
      <c r="D104" s="977">
        <v>0</v>
      </c>
      <c r="E104" s="968">
        <v>0</v>
      </c>
      <c r="F104" s="968">
        <v>0</v>
      </c>
      <c r="G104" s="977">
        <v>0</v>
      </c>
      <c r="H104" s="977">
        <v>0</v>
      </c>
      <c r="I104" s="968">
        <v>0</v>
      </c>
      <c r="J104" s="968">
        <v>0</v>
      </c>
      <c r="K104" s="968">
        <v>0</v>
      </c>
    </row>
    <row r="105" spans="1:11" s="672" customFormat="1" x14ac:dyDescent="0.25">
      <c r="A105" s="103">
        <f t="shared" si="5"/>
        <v>72</v>
      </c>
      <c r="B105" s="639" t="s">
        <v>203</v>
      </c>
      <c r="C105" s="979" t="s">
        <v>1562</v>
      </c>
      <c r="D105" s="977">
        <v>0</v>
      </c>
      <c r="E105" s="968">
        <v>0</v>
      </c>
      <c r="F105" s="968">
        <v>0</v>
      </c>
      <c r="G105" s="977">
        <v>0</v>
      </c>
      <c r="H105" s="977">
        <v>0</v>
      </c>
      <c r="I105" s="968">
        <v>0</v>
      </c>
      <c r="J105" s="968">
        <v>0</v>
      </c>
      <c r="K105" s="968">
        <v>0</v>
      </c>
    </row>
    <row r="106" spans="1:11" s="672" customFormat="1" x14ac:dyDescent="0.25">
      <c r="A106" s="103">
        <f t="shared" si="5"/>
        <v>73</v>
      </c>
      <c r="B106" s="639" t="s">
        <v>1662</v>
      </c>
      <c r="C106" s="979" t="s">
        <v>1562</v>
      </c>
      <c r="D106" s="977">
        <v>0</v>
      </c>
      <c r="E106" s="968">
        <v>0</v>
      </c>
      <c r="F106" s="968">
        <v>0</v>
      </c>
      <c r="G106" s="977">
        <v>0</v>
      </c>
      <c r="H106" s="977">
        <v>0</v>
      </c>
      <c r="I106" s="968">
        <v>0</v>
      </c>
      <c r="J106" s="968">
        <v>0</v>
      </c>
      <c r="K106" s="968">
        <v>0</v>
      </c>
    </row>
    <row r="107" spans="1:11" s="672" customFormat="1" x14ac:dyDescent="0.25">
      <c r="A107" s="103">
        <f t="shared" si="5"/>
        <v>74</v>
      </c>
      <c r="B107" s="637" t="s">
        <v>205</v>
      </c>
      <c r="C107" s="979" t="s">
        <v>1562</v>
      </c>
      <c r="D107" s="977">
        <v>0</v>
      </c>
      <c r="E107" s="968">
        <v>0</v>
      </c>
      <c r="F107" s="968">
        <v>0</v>
      </c>
      <c r="G107" s="977">
        <v>0</v>
      </c>
      <c r="H107" s="977">
        <v>0</v>
      </c>
      <c r="I107" s="968">
        <v>0</v>
      </c>
      <c r="J107" s="968">
        <v>0</v>
      </c>
      <c r="K107" s="968">
        <v>0</v>
      </c>
    </row>
    <row r="108" spans="1:11" s="672" customFormat="1" x14ac:dyDescent="0.25">
      <c r="A108" s="103">
        <f t="shared" si="5"/>
        <v>75</v>
      </c>
      <c r="B108" s="639" t="s">
        <v>206</v>
      </c>
      <c r="C108" s="979" t="s">
        <v>1562</v>
      </c>
      <c r="D108" s="977">
        <v>0</v>
      </c>
      <c r="E108" s="968">
        <v>0</v>
      </c>
      <c r="F108" s="968">
        <v>0</v>
      </c>
      <c r="G108" s="977">
        <v>0</v>
      </c>
      <c r="H108" s="977">
        <v>0</v>
      </c>
      <c r="I108" s="968">
        <v>0</v>
      </c>
      <c r="J108" s="968">
        <v>0</v>
      </c>
      <c r="K108" s="968">
        <v>0</v>
      </c>
    </row>
    <row r="109" spans="1:11" s="672" customFormat="1" x14ac:dyDescent="0.25">
      <c r="A109" s="103">
        <f>A108+1</f>
        <v>76</v>
      </c>
      <c r="B109" s="639" t="s">
        <v>207</v>
      </c>
      <c r="C109" s="979" t="s">
        <v>1562</v>
      </c>
      <c r="D109" s="977">
        <v>0</v>
      </c>
      <c r="E109" s="968">
        <v>0</v>
      </c>
      <c r="F109" s="968">
        <v>0</v>
      </c>
      <c r="G109" s="977">
        <v>0</v>
      </c>
      <c r="H109" s="977">
        <v>0</v>
      </c>
      <c r="I109" s="968">
        <v>0</v>
      </c>
      <c r="J109" s="968">
        <v>0</v>
      </c>
      <c r="K109" s="968">
        <v>0</v>
      </c>
    </row>
    <row r="110" spans="1:11" s="672" customFormat="1" x14ac:dyDescent="0.25">
      <c r="A110" s="103">
        <f t="shared" ref="A110:A113" si="6">A109+1</f>
        <v>77</v>
      </c>
      <c r="B110" s="639" t="s">
        <v>210</v>
      </c>
      <c r="C110" s="979" t="s">
        <v>1562</v>
      </c>
      <c r="D110" s="977">
        <v>0</v>
      </c>
      <c r="E110" s="968">
        <v>0</v>
      </c>
      <c r="F110" s="968">
        <v>0</v>
      </c>
      <c r="G110" s="977">
        <v>0</v>
      </c>
      <c r="H110" s="977">
        <v>0</v>
      </c>
      <c r="I110" s="968">
        <v>0</v>
      </c>
      <c r="J110" s="968">
        <v>0</v>
      </c>
      <c r="K110" s="968">
        <v>0</v>
      </c>
    </row>
    <row r="111" spans="1:11" s="672" customFormat="1" x14ac:dyDescent="0.25">
      <c r="A111" s="103">
        <f t="shared" si="6"/>
        <v>78</v>
      </c>
      <c r="B111" s="639" t="s">
        <v>209</v>
      </c>
      <c r="C111" s="979" t="s">
        <v>1562</v>
      </c>
      <c r="D111" s="977">
        <v>0</v>
      </c>
      <c r="E111" s="968">
        <v>0</v>
      </c>
      <c r="F111" s="968">
        <v>0</v>
      </c>
      <c r="G111" s="977">
        <v>0</v>
      </c>
      <c r="H111" s="977">
        <v>0</v>
      </c>
      <c r="I111" s="968">
        <v>0</v>
      </c>
      <c r="J111" s="968">
        <v>0</v>
      </c>
      <c r="K111" s="968">
        <v>0</v>
      </c>
    </row>
    <row r="112" spans="1:11" s="672" customFormat="1" ht="15" x14ac:dyDescent="0.4">
      <c r="A112" s="103">
        <f t="shared" si="6"/>
        <v>79</v>
      </c>
      <c r="B112" s="639" t="s">
        <v>199</v>
      </c>
      <c r="C112" s="979" t="s">
        <v>1562</v>
      </c>
      <c r="D112" s="977">
        <v>0</v>
      </c>
      <c r="E112" s="968">
        <v>0</v>
      </c>
      <c r="F112" s="968">
        <v>0</v>
      </c>
      <c r="G112" s="977">
        <v>0</v>
      </c>
      <c r="H112" s="977">
        <v>0</v>
      </c>
      <c r="I112" s="968">
        <v>0</v>
      </c>
      <c r="J112" s="968">
        <v>0</v>
      </c>
      <c r="K112" s="969">
        <v>0</v>
      </c>
    </row>
    <row r="113" spans="1:11" s="672" customFormat="1" x14ac:dyDescent="0.25">
      <c r="A113" s="103">
        <f t="shared" si="6"/>
        <v>80</v>
      </c>
      <c r="B113"/>
      <c r="C113" s="671" t="s">
        <v>1837</v>
      </c>
      <c r="D113"/>
      <c r="E113"/>
      <c r="F113"/>
      <c r="G113"/>
      <c r="H113"/>
      <c r="I113"/>
      <c r="J113"/>
      <c r="K113" s="985">
        <v>0</v>
      </c>
    </row>
    <row r="114" spans="1:11" s="672" customFormat="1" x14ac:dyDescent="0.25">
      <c r="A114" s="103"/>
      <c r="B114"/>
      <c r="C114" s="671"/>
      <c r="D114"/>
      <c r="E114"/>
      <c r="F114"/>
      <c r="G114"/>
      <c r="H114"/>
      <c r="I114"/>
      <c r="J114"/>
      <c r="K114" s="74"/>
    </row>
    <row r="115" spans="1:11" s="672" customFormat="1" x14ac:dyDescent="0.25">
      <c r="B115" s="673" t="s">
        <v>2338</v>
      </c>
      <c r="D115" s="1113" t="s">
        <v>2339</v>
      </c>
      <c r="E115" s="1113"/>
    </row>
    <row r="116" spans="1:11" s="672" customFormat="1" x14ac:dyDescent="0.25">
      <c r="A116" s="667"/>
      <c r="B116" s="667"/>
      <c r="C116" s="667"/>
      <c r="D116" s="667" t="s">
        <v>394</v>
      </c>
      <c r="E116" s="667" t="s">
        <v>378</v>
      </c>
      <c r="F116" s="667" t="s">
        <v>379</v>
      </c>
      <c r="G116" s="667" t="s">
        <v>380</v>
      </c>
      <c r="H116" s="667" t="s">
        <v>381</v>
      </c>
      <c r="I116" s="667" t="s">
        <v>382</v>
      </c>
      <c r="J116" s="667" t="s">
        <v>383</v>
      </c>
      <c r="K116" s="667" t="s">
        <v>595</v>
      </c>
    </row>
    <row r="117" spans="1:11" s="672" customFormat="1" ht="39.6" x14ac:dyDescent="0.25">
      <c r="D117" s="674"/>
      <c r="E117" s="675" t="s">
        <v>2584</v>
      </c>
      <c r="F117" s="676" t="s">
        <v>2335</v>
      </c>
      <c r="G117" s="475"/>
      <c r="H117" s="674"/>
      <c r="I117" s="675" t="s">
        <v>2585</v>
      </c>
      <c r="J117" s="675" t="s">
        <v>2336</v>
      </c>
      <c r="K117" s="675" t="s">
        <v>2337</v>
      </c>
    </row>
    <row r="118" spans="1:11" s="672" customFormat="1" x14ac:dyDescent="0.25">
      <c r="D118" s="674"/>
      <c r="E118" s="674"/>
      <c r="F118" s="674"/>
      <c r="G118" s="577" t="str">
        <f>G51</f>
        <v>Unloaded</v>
      </c>
      <c r="H118" s="674"/>
      <c r="I118" s="674"/>
    </row>
    <row r="119" spans="1:11" s="672" customFormat="1" x14ac:dyDescent="0.25">
      <c r="A119" s="669"/>
      <c r="B119" s="669"/>
      <c r="C119" s="669"/>
      <c r="D119" s="669" t="str">
        <f>D$52</f>
        <v>Forecast</v>
      </c>
      <c r="E119" s="669" t="str">
        <f t="shared" ref="E119:J119" si="7">E$52</f>
        <v>Corporate</v>
      </c>
      <c r="F119" s="669" t="str">
        <f t="shared" si="7"/>
        <v xml:space="preserve">Total </v>
      </c>
      <c r="G119" s="577" t="str">
        <f>G52</f>
        <v>Total</v>
      </c>
      <c r="H119" s="669" t="str">
        <f t="shared" si="7"/>
        <v>Prior Period</v>
      </c>
      <c r="I119" s="669" t="str">
        <f t="shared" si="7"/>
        <v>Over Heads</v>
      </c>
      <c r="J119" s="669" t="str">
        <f t="shared" si="7"/>
        <v>Forecast</v>
      </c>
      <c r="K119" s="577" t="str">
        <f>K$52</f>
        <v>Forecast Period</v>
      </c>
    </row>
    <row r="120" spans="1:11" s="672" customFormat="1" x14ac:dyDescent="0.25">
      <c r="A120" s="879" t="s">
        <v>360</v>
      </c>
      <c r="B120" s="636" t="s">
        <v>211</v>
      </c>
      <c r="C120" s="636" t="s">
        <v>212</v>
      </c>
      <c r="D120" s="667" t="str">
        <f>D$53</f>
        <v>Expenditures</v>
      </c>
      <c r="E120" s="667" t="str">
        <f t="shared" ref="E120:J120" si="8">E$53</f>
        <v>Overheads</v>
      </c>
      <c r="F120" s="667" t="str">
        <f t="shared" si="8"/>
        <v>CWIP Exp</v>
      </c>
      <c r="G120" s="3" t="str">
        <f>G53</f>
        <v>Plant Adds</v>
      </c>
      <c r="H120" s="667" t="str">
        <f t="shared" si="8"/>
        <v>CWIP Closed</v>
      </c>
      <c r="I120" s="667" t="str">
        <f t="shared" si="8"/>
        <v>Closed to PIS</v>
      </c>
      <c r="J120" s="667" t="str">
        <f t="shared" si="8"/>
        <v>Period CWIP</v>
      </c>
      <c r="K120" s="667" t="str">
        <f>K$53</f>
        <v>Incremental CWIP</v>
      </c>
    </row>
    <row r="121" spans="1:11" s="672" customFormat="1" x14ac:dyDescent="0.25">
      <c r="A121" s="103">
        <f>A113+1</f>
        <v>81</v>
      </c>
      <c r="B121" s="637" t="s">
        <v>199</v>
      </c>
      <c r="C121" s="979" t="s">
        <v>1562</v>
      </c>
      <c r="D121" s="676" t="s">
        <v>86</v>
      </c>
      <c r="E121" s="676" t="s">
        <v>86</v>
      </c>
      <c r="F121" s="676" t="s">
        <v>86</v>
      </c>
      <c r="G121" s="676" t="s">
        <v>86</v>
      </c>
      <c r="H121" s="676" t="s">
        <v>86</v>
      </c>
      <c r="I121" s="676" t="s">
        <v>86</v>
      </c>
      <c r="J121" s="61">
        <f>F25</f>
        <v>0</v>
      </c>
      <c r="K121" s="676" t="s">
        <v>86</v>
      </c>
    </row>
    <row r="122" spans="1:11" s="672" customFormat="1" x14ac:dyDescent="0.25">
      <c r="A122" s="103">
        <f>A121+1</f>
        <v>82</v>
      </c>
      <c r="B122" s="637" t="s">
        <v>200</v>
      </c>
      <c r="C122" s="979" t="s">
        <v>1562</v>
      </c>
      <c r="D122" s="977">
        <v>0</v>
      </c>
      <c r="E122" s="968">
        <v>0</v>
      </c>
      <c r="F122" s="968">
        <v>0</v>
      </c>
      <c r="G122" s="977">
        <v>0</v>
      </c>
      <c r="H122" s="977">
        <v>0</v>
      </c>
      <c r="I122" s="968">
        <v>0</v>
      </c>
      <c r="J122" s="968">
        <v>0</v>
      </c>
      <c r="K122" s="968">
        <v>0</v>
      </c>
    </row>
    <row r="123" spans="1:11" s="672" customFormat="1" x14ac:dyDescent="0.25">
      <c r="A123" s="103">
        <f t="shared" ref="A123:A146" si="9">A122+1</f>
        <v>83</v>
      </c>
      <c r="B123" s="639" t="s">
        <v>201</v>
      </c>
      <c r="C123" s="979" t="s">
        <v>1562</v>
      </c>
      <c r="D123" s="977">
        <v>0</v>
      </c>
      <c r="E123" s="968">
        <v>0</v>
      </c>
      <c r="F123" s="968">
        <v>0</v>
      </c>
      <c r="G123" s="977">
        <v>0</v>
      </c>
      <c r="H123" s="977">
        <v>0</v>
      </c>
      <c r="I123" s="968">
        <v>0</v>
      </c>
      <c r="J123" s="968">
        <v>0</v>
      </c>
      <c r="K123" s="968">
        <v>0</v>
      </c>
    </row>
    <row r="124" spans="1:11" s="672" customFormat="1" x14ac:dyDescent="0.25">
      <c r="A124" s="103">
        <f t="shared" si="9"/>
        <v>84</v>
      </c>
      <c r="B124" s="639" t="s">
        <v>214</v>
      </c>
      <c r="C124" s="979" t="s">
        <v>1562</v>
      </c>
      <c r="D124" s="977">
        <v>0</v>
      </c>
      <c r="E124" s="968">
        <v>0</v>
      </c>
      <c r="F124" s="968">
        <v>0</v>
      </c>
      <c r="G124" s="977">
        <v>0</v>
      </c>
      <c r="H124" s="977">
        <v>0</v>
      </c>
      <c r="I124" s="968">
        <v>0</v>
      </c>
      <c r="J124" s="968">
        <v>0</v>
      </c>
      <c r="K124" s="968">
        <v>0</v>
      </c>
    </row>
    <row r="125" spans="1:11" s="672" customFormat="1" x14ac:dyDescent="0.25">
      <c r="A125" s="103">
        <f t="shared" si="9"/>
        <v>85</v>
      </c>
      <c r="B125" s="637" t="s">
        <v>202</v>
      </c>
      <c r="C125" s="979" t="s">
        <v>1562</v>
      </c>
      <c r="D125" s="977">
        <v>0</v>
      </c>
      <c r="E125" s="968">
        <v>0</v>
      </c>
      <c r="F125" s="968">
        <v>0</v>
      </c>
      <c r="G125" s="977">
        <v>0</v>
      </c>
      <c r="H125" s="977">
        <v>0</v>
      </c>
      <c r="I125" s="968">
        <v>0</v>
      </c>
      <c r="J125" s="968">
        <v>0</v>
      </c>
      <c r="K125" s="968">
        <v>0</v>
      </c>
    </row>
    <row r="126" spans="1:11" s="672" customFormat="1" x14ac:dyDescent="0.25">
      <c r="A126" s="103">
        <f t="shared" si="9"/>
        <v>86</v>
      </c>
      <c r="B126" s="639" t="s">
        <v>203</v>
      </c>
      <c r="C126" s="979" t="s">
        <v>1562</v>
      </c>
      <c r="D126" s="977">
        <v>0</v>
      </c>
      <c r="E126" s="968">
        <v>0</v>
      </c>
      <c r="F126" s="968">
        <v>0</v>
      </c>
      <c r="G126" s="977">
        <v>0</v>
      </c>
      <c r="H126" s="977">
        <v>0</v>
      </c>
      <c r="I126" s="968">
        <v>0</v>
      </c>
      <c r="J126" s="968">
        <v>0</v>
      </c>
      <c r="K126" s="968">
        <v>0</v>
      </c>
    </row>
    <row r="127" spans="1:11" s="672" customFormat="1" x14ac:dyDescent="0.25">
      <c r="A127" s="103">
        <f t="shared" si="9"/>
        <v>87</v>
      </c>
      <c r="B127" s="639" t="s">
        <v>1662</v>
      </c>
      <c r="C127" s="979" t="s">
        <v>1562</v>
      </c>
      <c r="D127" s="977">
        <v>0</v>
      </c>
      <c r="E127" s="968">
        <v>0</v>
      </c>
      <c r="F127" s="968">
        <v>0</v>
      </c>
      <c r="G127" s="977">
        <v>0</v>
      </c>
      <c r="H127" s="977">
        <v>0</v>
      </c>
      <c r="I127" s="968">
        <v>0</v>
      </c>
      <c r="J127" s="968">
        <v>0</v>
      </c>
      <c r="K127" s="968">
        <v>0</v>
      </c>
    </row>
    <row r="128" spans="1:11" s="672" customFormat="1" x14ac:dyDescent="0.25">
      <c r="A128" s="103">
        <f t="shared" si="9"/>
        <v>88</v>
      </c>
      <c r="B128" s="637" t="s">
        <v>205</v>
      </c>
      <c r="C128" s="979" t="s">
        <v>1562</v>
      </c>
      <c r="D128" s="977">
        <v>0</v>
      </c>
      <c r="E128" s="968">
        <v>0</v>
      </c>
      <c r="F128" s="968">
        <v>0</v>
      </c>
      <c r="G128" s="977">
        <v>0</v>
      </c>
      <c r="H128" s="977">
        <v>0</v>
      </c>
      <c r="I128" s="968">
        <v>0</v>
      </c>
      <c r="J128" s="968">
        <v>0</v>
      </c>
      <c r="K128" s="968">
        <v>0</v>
      </c>
    </row>
    <row r="129" spans="1:11" s="672" customFormat="1" x14ac:dyDescent="0.25">
      <c r="A129" s="103">
        <f t="shared" si="9"/>
        <v>89</v>
      </c>
      <c r="B129" s="639" t="s">
        <v>206</v>
      </c>
      <c r="C129" s="979" t="s">
        <v>1562</v>
      </c>
      <c r="D129" s="977">
        <v>0</v>
      </c>
      <c r="E129" s="968">
        <v>0</v>
      </c>
      <c r="F129" s="968">
        <v>0</v>
      </c>
      <c r="G129" s="977">
        <v>0</v>
      </c>
      <c r="H129" s="977">
        <v>0</v>
      </c>
      <c r="I129" s="968">
        <v>0</v>
      </c>
      <c r="J129" s="968">
        <v>0</v>
      </c>
      <c r="K129" s="968">
        <v>0</v>
      </c>
    </row>
    <row r="130" spans="1:11" s="672" customFormat="1" x14ac:dyDescent="0.25">
      <c r="A130" s="103">
        <f t="shared" si="9"/>
        <v>90</v>
      </c>
      <c r="B130" s="639" t="s">
        <v>207</v>
      </c>
      <c r="C130" s="979" t="s">
        <v>1562</v>
      </c>
      <c r="D130" s="977">
        <v>0</v>
      </c>
      <c r="E130" s="968">
        <v>0</v>
      </c>
      <c r="F130" s="968">
        <v>0</v>
      </c>
      <c r="G130" s="977">
        <v>0</v>
      </c>
      <c r="H130" s="977">
        <v>0</v>
      </c>
      <c r="I130" s="968">
        <v>0</v>
      </c>
      <c r="J130" s="968">
        <v>0</v>
      </c>
      <c r="K130" s="968">
        <v>0</v>
      </c>
    </row>
    <row r="131" spans="1:11" s="672" customFormat="1" x14ac:dyDescent="0.25">
      <c r="A131" s="103">
        <f t="shared" si="9"/>
        <v>91</v>
      </c>
      <c r="B131" s="637" t="s">
        <v>210</v>
      </c>
      <c r="C131" s="979" t="s">
        <v>1562</v>
      </c>
      <c r="D131" s="977">
        <v>0</v>
      </c>
      <c r="E131" s="968">
        <v>0</v>
      </c>
      <c r="F131" s="968">
        <v>0</v>
      </c>
      <c r="G131" s="977">
        <v>0</v>
      </c>
      <c r="H131" s="977">
        <v>0</v>
      </c>
      <c r="I131" s="968">
        <v>0</v>
      </c>
      <c r="J131" s="968">
        <v>0</v>
      </c>
      <c r="K131" s="968">
        <v>0</v>
      </c>
    </row>
    <row r="132" spans="1:11" s="672" customFormat="1" x14ac:dyDescent="0.25">
      <c r="A132" s="103">
        <f t="shared" si="9"/>
        <v>92</v>
      </c>
      <c r="B132" s="637" t="s">
        <v>209</v>
      </c>
      <c r="C132" s="979" t="s">
        <v>1562</v>
      </c>
      <c r="D132" s="977">
        <v>0</v>
      </c>
      <c r="E132" s="968">
        <v>0</v>
      </c>
      <c r="F132" s="968">
        <v>0</v>
      </c>
      <c r="G132" s="977">
        <v>0</v>
      </c>
      <c r="H132" s="977">
        <v>0</v>
      </c>
      <c r="I132" s="968">
        <v>0</v>
      </c>
      <c r="J132" s="968">
        <v>0</v>
      </c>
      <c r="K132" s="968">
        <v>0</v>
      </c>
    </row>
    <row r="133" spans="1:11" s="672" customFormat="1" x14ac:dyDescent="0.25">
      <c r="A133" s="103">
        <f t="shared" si="9"/>
        <v>93</v>
      </c>
      <c r="B133" s="637" t="s">
        <v>199</v>
      </c>
      <c r="C133" s="979" t="s">
        <v>1562</v>
      </c>
      <c r="D133" s="977">
        <v>0</v>
      </c>
      <c r="E133" s="968">
        <v>0</v>
      </c>
      <c r="F133" s="968">
        <v>0</v>
      </c>
      <c r="G133" s="977">
        <v>0</v>
      </c>
      <c r="H133" s="977">
        <v>0</v>
      </c>
      <c r="I133" s="968">
        <v>0</v>
      </c>
      <c r="J133" s="968">
        <v>0</v>
      </c>
      <c r="K133" s="968">
        <v>0</v>
      </c>
    </row>
    <row r="134" spans="1:11" s="672" customFormat="1" x14ac:dyDescent="0.25">
      <c r="A134" s="103">
        <f t="shared" si="9"/>
        <v>94</v>
      </c>
      <c r="B134" s="637" t="s">
        <v>200</v>
      </c>
      <c r="C134" s="979" t="s">
        <v>1562</v>
      </c>
      <c r="D134" s="977">
        <v>0</v>
      </c>
      <c r="E134" s="968">
        <v>0</v>
      </c>
      <c r="F134" s="968">
        <v>0</v>
      </c>
      <c r="G134" s="977">
        <v>0</v>
      </c>
      <c r="H134" s="977">
        <v>0</v>
      </c>
      <c r="I134" s="968">
        <v>0</v>
      </c>
      <c r="J134" s="968">
        <v>0</v>
      </c>
      <c r="K134" s="968">
        <v>0</v>
      </c>
    </row>
    <row r="135" spans="1:11" s="672" customFormat="1" x14ac:dyDescent="0.25">
      <c r="A135" s="103">
        <f t="shared" si="9"/>
        <v>95</v>
      </c>
      <c r="B135" s="639" t="s">
        <v>201</v>
      </c>
      <c r="C135" s="979" t="s">
        <v>1562</v>
      </c>
      <c r="D135" s="977">
        <v>0</v>
      </c>
      <c r="E135" s="968">
        <v>0</v>
      </c>
      <c r="F135" s="968">
        <v>0</v>
      </c>
      <c r="G135" s="977">
        <v>0</v>
      </c>
      <c r="H135" s="977">
        <v>0</v>
      </c>
      <c r="I135" s="968">
        <v>0</v>
      </c>
      <c r="J135" s="968">
        <v>0</v>
      </c>
      <c r="K135" s="968">
        <v>0</v>
      </c>
    </row>
    <row r="136" spans="1:11" s="672" customFormat="1" x14ac:dyDescent="0.25">
      <c r="A136" s="103">
        <f t="shared" si="9"/>
        <v>96</v>
      </c>
      <c r="B136" s="639" t="s">
        <v>214</v>
      </c>
      <c r="C136" s="979" t="s">
        <v>1562</v>
      </c>
      <c r="D136" s="977">
        <v>0</v>
      </c>
      <c r="E136" s="968">
        <v>0</v>
      </c>
      <c r="F136" s="968">
        <v>0</v>
      </c>
      <c r="G136" s="977">
        <v>0</v>
      </c>
      <c r="H136" s="977">
        <v>0</v>
      </c>
      <c r="I136" s="968">
        <v>0</v>
      </c>
      <c r="J136" s="968">
        <v>0</v>
      </c>
      <c r="K136" s="968">
        <v>0</v>
      </c>
    </row>
    <row r="137" spans="1:11" s="672" customFormat="1" x14ac:dyDescent="0.25">
      <c r="A137" s="103">
        <f t="shared" si="9"/>
        <v>97</v>
      </c>
      <c r="B137" s="637" t="s">
        <v>202</v>
      </c>
      <c r="C137" s="979" t="s">
        <v>1562</v>
      </c>
      <c r="D137" s="977">
        <v>0</v>
      </c>
      <c r="E137" s="968">
        <v>0</v>
      </c>
      <c r="F137" s="968">
        <v>0</v>
      </c>
      <c r="G137" s="977">
        <v>0</v>
      </c>
      <c r="H137" s="977">
        <v>0</v>
      </c>
      <c r="I137" s="968">
        <v>0</v>
      </c>
      <c r="J137" s="968">
        <v>0</v>
      </c>
      <c r="K137" s="968">
        <v>0</v>
      </c>
    </row>
    <row r="138" spans="1:11" s="672" customFormat="1" x14ac:dyDescent="0.25">
      <c r="A138" s="103">
        <f t="shared" si="9"/>
        <v>98</v>
      </c>
      <c r="B138" s="639" t="s">
        <v>203</v>
      </c>
      <c r="C138" s="979" t="s">
        <v>1562</v>
      </c>
      <c r="D138" s="977">
        <v>0</v>
      </c>
      <c r="E138" s="968">
        <v>0</v>
      </c>
      <c r="F138" s="968">
        <v>0</v>
      </c>
      <c r="G138" s="977">
        <v>0</v>
      </c>
      <c r="H138" s="977">
        <v>0</v>
      </c>
      <c r="I138" s="968">
        <v>0</v>
      </c>
      <c r="J138" s="968">
        <v>0</v>
      </c>
      <c r="K138" s="968">
        <v>0</v>
      </c>
    </row>
    <row r="139" spans="1:11" s="672" customFormat="1" x14ac:dyDescent="0.25">
      <c r="A139" s="103">
        <f t="shared" si="9"/>
        <v>99</v>
      </c>
      <c r="B139" s="639" t="s">
        <v>1662</v>
      </c>
      <c r="C139" s="979" t="s">
        <v>1562</v>
      </c>
      <c r="D139" s="977">
        <v>0</v>
      </c>
      <c r="E139" s="968">
        <v>0</v>
      </c>
      <c r="F139" s="968">
        <v>0</v>
      </c>
      <c r="G139" s="977">
        <v>0</v>
      </c>
      <c r="H139" s="977">
        <v>0</v>
      </c>
      <c r="I139" s="968">
        <v>0</v>
      </c>
      <c r="J139" s="968">
        <v>0</v>
      </c>
      <c r="K139" s="968">
        <v>0</v>
      </c>
    </row>
    <row r="140" spans="1:11" s="672" customFormat="1" x14ac:dyDescent="0.25">
      <c r="A140" s="103">
        <f t="shared" si="9"/>
        <v>100</v>
      </c>
      <c r="B140" s="637" t="s">
        <v>205</v>
      </c>
      <c r="C140" s="979" t="s">
        <v>1562</v>
      </c>
      <c r="D140" s="977">
        <v>0</v>
      </c>
      <c r="E140" s="968">
        <v>0</v>
      </c>
      <c r="F140" s="968">
        <v>0</v>
      </c>
      <c r="G140" s="977">
        <v>0</v>
      </c>
      <c r="H140" s="977">
        <v>0</v>
      </c>
      <c r="I140" s="968">
        <v>0</v>
      </c>
      <c r="J140" s="968">
        <v>0</v>
      </c>
      <c r="K140" s="968">
        <v>0</v>
      </c>
    </row>
    <row r="141" spans="1:11" s="672" customFormat="1" x14ac:dyDescent="0.25">
      <c r="A141" s="103">
        <f t="shared" si="9"/>
        <v>101</v>
      </c>
      <c r="B141" s="639" t="s">
        <v>206</v>
      </c>
      <c r="C141" s="979" t="s">
        <v>1562</v>
      </c>
      <c r="D141" s="977">
        <v>0</v>
      </c>
      <c r="E141" s="968">
        <v>0</v>
      </c>
      <c r="F141" s="968">
        <v>0</v>
      </c>
      <c r="G141" s="977">
        <v>0</v>
      </c>
      <c r="H141" s="977">
        <v>0</v>
      </c>
      <c r="I141" s="968">
        <v>0</v>
      </c>
      <c r="J141" s="968">
        <v>0</v>
      </c>
      <c r="K141" s="968">
        <v>0</v>
      </c>
    </row>
    <row r="142" spans="1:11" s="672" customFormat="1" x14ac:dyDescent="0.25">
      <c r="A142" s="103">
        <f t="shared" si="9"/>
        <v>102</v>
      </c>
      <c r="B142" s="639" t="s">
        <v>207</v>
      </c>
      <c r="C142" s="979" t="s">
        <v>1562</v>
      </c>
      <c r="D142" s="977">
        <v>0</v>
      </c>
      <c r="E142" s="968">
        <v>0</v>
      </c>
      <c r="F142" s="968">
        <v>0</v>
      </c>
      <c r="G142" s="977">
        <v>0</v>
      </c>
      <c r="H142" s="977">
        <v>0</v>
      </c>
      <c r="I142" s="968">
        <v>0</v>
      </c>
      <c r="J142" s="968">
        <v>0</v>
      </c>
      <c r="K142" s="968">
        <v>0</v>
      </c>
    </row>
    <row r="143" spans="1:11" s="672" customFormat="1" x14ac:dyDescent="0.25">
      <c r="A143" s="103">
        <f t="shared" si="9"/>
        <v>103</v>
      </c>
      <c r="B143" s="639" t="s">
        <v>210</v>
      </c>
      <c r="C143" s="979" t="s">
        <v>1562</v>
      </c>
      <c r="D143" s="977">
        <v>0</v>
      </c>
      <c r="E143" s="968">
        <v>0</v>
      </c>
      <c r="F143" s="968">
        <v>0</v>
      </c>
      <c r="G143" s="977">
        <v>0</v>
      </c>
      <c r="H143" s="977">
        <v>0</v>
      </c>
      <c r="I143" s="968">
        <v>0</v>
      </c>
      <c r="J143" s="968">
        <v>0</v>
      </c>
      <c r="K143" s="968">
        <v>0</v>
      </c>
    </row>
    <row r="144" spans="1:11" s="672" customFormat="1" x14ac:dyDescent="0.25">
      <c r="A144" s="103">
        <f t="shared" si="9"/>
        <v>104</v>
      </c>
      <c r="B144" s="639" t="s">
        <v>209</v>
      </c>
      <c r="C144" s="979" t="s">
        <v>1562</v>
      </c>
      <c r="D144" s="977">
        <v>0</v>
      </c>
      <c r="E144" s="968">
        <v>0</v>
      </c>
      <c r="F144" s="968">
        <v>0</v>
      </c>
      <c r="G144" s="977">
        <v>0</v>
      </c>
      <c r="H144" s="977">
        <v>0</v>
      </c>
      <c r="I144" s="968">
        <v>0</v>
      </c>
      <c r="J144" s="968">
        <v>0</v>
      </c>
      <c r="K144" s="968">
        <v>0</v>
      </c>
    </row>
    <row r="145" spans="1:11" s="672" customFormat="1" ht="15" x14ac:dyDescent="0.4">
      <c r="A145" s="103">
        <f t="shared" si="9"/>
        <v>105</v>
      </c>
      <c r="B145" s="639" t="s">
        <v>199</v>
      </c>
      <c r="C145" s="979" t="s">
        <v>1562</v>
      </c>
      <c r="D145" s="977">
        <v>0</v>
      </c>
      <c r="E145" s="968">
        <v>0</v>
      </c>
      <c r="F145" s="968">
        <v>0</v>
      </c>
      <c r="G145" s="977">
        <v>0</v>
      </c>
      <c r="H145" s="977">
        <v>0</v>
      </c>
      <c r="I145" s="968">
        <v>0</v>
      </c>
      <c r="J145" s="968">
        <v>0</v>
      </c>
      <c r="K145" s="969">
        <v>0</v>
      </c>
    </row>
    <row r="146" spans="1:11" s="672" customFormat="1" x14ac:dyDescent="0.25">
      <c r="A146" s="103">
        <f t="shared" si="9"/>
        <v>106</v>
      </c>
      <c r="B146"/>
      <c r="C146" s="671" t="s">
        <v>1837</v>
      </c>
      <c r="D146"/>
      <c r="E146"/>
      <c r="F146"/>
      <c r="G146"/>
      <c r="H146"/>
      <c r="I146"/>
      <c r="J146"/>
      <c r="K146" s="985">
        <v>0</v>
      </c>
    </row>
    <row r="147" spans="1:11" s="672" customFormat="1" x14ac:dyDescent="0.25">
      <c r="A147" s="103"/>
      <c r="B147"/>
      <c r="C147" s="671"/>
      <c r="D147"/>
      <c r="E147"/>
      <c r="F147"/>
      <c r="G147"/>
      <c r="H147"/>
      <c r="I147"/>
      <c r="J147"/>
      <c r="K147" s="74"/>
    </row>
    <row r="148" spans="1:11" s="672" customFormat="1" x14ac:dyDescent="0.25">
      <c r="B148" s="673" t="s">
        <v>2340</v>
      </c>
      <c r="D148" s="1113" t="s">
        <v>2341</v>
      </c>
      <c r="E148" s="1113"/>
    </row>
    <row r="149" spans="1:11" s="672" customFormat="1" x14ac:dyDescent="0.25">
      <c r="D149" s="674"/>
      <c r="E149" s="674"/>
      <c r="F149" s="674"/>
      <c r="G149" s="577" t="str">
        <f>G51</f>
        <v>Unloaded</v>
      </c>
      <c r="H149" s="674"/>
      <c r="I149" s="674"/>
    </row>
    <row r="150" spans="1:11" s="672" customFormat="1" x14ac:dyDescent="0.25">
      <c r="A150" s="669"/>
      <c r="B150" s="669"/>
      <c r="C150" s="669"/>
      <c r="D150" s="669" t="str">
        <f>D$52</f>
        <v>Forecast</v>
      </c>
      <c r="E150" s="669" t="str">
        <f t="shared" ref="E150:J150" si="10">E$52</f>
        <v>Corporate</v>
      </c>
      <c r="F150" s="669" t="str">
        <f t="shared" si="10"/>
        <v xml:space="preserve">Total </v>
      </c>
      <c r="G150" s="577" t="str">
        <f>G52</f>
        <v>Total</v>
      </c>
      <c r="H150" s="669" t="str">
        <f t="shared" si="10"/>
        <v>Prior Period</v>
      </c>
      <c r="I150" s="669" t="str">
        <f t="shared" si="10"/>
        <v>Over Heads</v>
      </c>
      <c r="J150" s="669" t="str">
        <f t="shared" si="10"/>
        <v>Forecast</v>
      </c>
      <c r="K150" s="577" t="str">
        <f>K$52</f>
        <v>Forecast Period</v>
      </c>
    </row>
    <row r="151" spans="1:11" s="672" customFormat="1" x14ac:dyDescent="0.25">
      <c r="A151" s="879" t="s">
        <v>360</v>
      </c>
      <c r="B151" s="636" t="s">
        <v>211</v>
      </c>
      <c r="C151" s="636" t="s">
        <v>212</v>
      </c>
      <c r="D151" s="667" t="str">
        <f>D$53</f>
        <v>Expenditures</v>
      </c>
      <c r="E151" s="667" t="str">
        <f t="shared" ref="E151:J151" si="11">E$53</f>
        <v>Overheads</v>
      </c>
      <c r="F151" s="667" t="str">
        <f t="shared" si="11"/>
        <v>CWIP Exp</v>
      </c>
      <c r="G151" s="3" t="str">
        <f>G53</f>
        <v>Plant Adds</v>
      </c>
      <c r="H151" s="667" t="str">
        <f t="shared" si="11"/>
        <v>CWIP Closed</v>
      </c>
      <c r="I151" s="667" t="str">
        <f t="shared" si="11"/>
        <v>Closed to PIS</v>
      </c>
      <c r="J151" s="667" t="str">
        <f t="shared" si="11"/>
        <v>Period CWIP</v>
      </c>
      <c r="K151" s="667" t="str">
        <f>K$53</f>
        <v>Incremental CWIP</v>
      </c>
    </row>
    <row r="152" spans="1:11" s="672" customFormat="1" x14ac:dyDescent="0.25">
      <c r="A152" s="103">
        <f>A146+1</f>
        <v>107</v>
      </c>
      <c r="B152" s="637" t="s">
        <v>199</v>
      </c>
      <c r="C152" s="979" t="s">
        <v>1562</v>
      </c>
      <c r="D152" s="676" t="s">
        <v>86</v>
      </c>
      <c r="E152" s="676" t="s">
        <v>86</v>
      </c>
      <c r="F152" s="676" t="s">
        <v>86</v>
      </c>
      <c r="G152" s="676" t="s">
        <v>86</v>
      </c>
      <c r="H152" s="676" t="s">
        <v>86</v>
      </c>
      <c r="I152" s="676" t="s">
        <v>86</v>
      </c>
      <c r="J152" s="61">
        <f>G25</f>
        <v>0</v>
      </c>
      <c r="K152" s="676" t="s">
        <v>86</v>
      </c>
    </row>
    <row r="153" spans="1:11" s="672" customFormat="1" x14ac:dyDescent="0.25">
      <c r="A153" s="103">
        <f>A152+1</f>
        <v>108</v>
      </c>
      <c r="B153" s="637" t="s">
        <v>200</v>
      </c>
      <c r="C153" s="979" t="s">
        <v>1562</v>
      </c>
      <c r="D153" s="977">
        <v>0</v>
      </c>
      <c r="E153" s="968">
        <v>0</v>
      </c>
      <c r="F153" s="968">
        <v>0</v>
      </c>
      <c r="G153" s="977">
        <v>0</v>
      </c>
      <c r="H153" s="977">
        <v>0</v>
      </c>
      <c r="I153" s="968">
        <v>0</v>
      </c>
      <c r="J153" s="968">
        <v>0</v>
      </c>
      <c r="K153" s="968">
        <v>0</v>
      </c>
    </row>
    <row r="154" spans="1:11" s="672" customFormat="1" x14ac:dyDescent="0.25">
      <c r="A154" s="103">
        <f t="shared" ref="A154:A177" si="12">A153+1</f>
        <v>109</v>
      </c>
      <c r="B154" s="639" t="s">
        <v>201</v>
      </c>
      <c r="C154" s="979" t="s">
        <v>1562</v>
      </c>
      <c r="D154" s="977">
        <v>0</v>
      </c>
      <c r="E154" s="968">
        <v>0</v>
      </c>
      <c r="F154" s="968">
        <v>0</v>
      </c>
      <c r="G154" s="977">
        <v>0</v>
      </c>
      <c r="H154" s="977">
        <v>0</v>
      </c>
      <c r="I154" s="968">
        <v>0</v>
      </c>
      <c r="J154" s="968">
        <v>0</v>
      </c>
      <c r="K154" s="968">
        <v>0</v>
      </c>
    </row>
    <row r="155" spans="1:11" s="672" customFormat="1" x14ac:dyDescent="0.25">
      <c r="A155" s="103">
        <f t="shared" si="12"/>
        <v>110</v>
      </c>
      <c r="B155" s="639" t="s">
        <v>214</v>
      </c>
      <c r="C155" s="979" t="s">
        <v>1562</v>
      </c>
      <c r="D155" s="977">
        <v>0</v>
      </c>
      <c r="E155" s="968">
        <v>0</v>
      </c>
      <c r="F155" s="968">
        <v>0</v>
      </c>
      <c r="G155" s="977">
        <v>0</v>
      </c>
      <c r="H155" s="977">
        <v>0</v>
      </c>
      <c r="I155" s="968">
        <v>0</v>
      </c>
      <c r="J155" s="968">
        <v>0</v>
      </c>
      <c r="K155" s="968">
        <v>0</v>
      </c>
    </row>
    <row r="156" spans="1:11" s="672" customFormat="1" x14ac:dyDescent="0.25">
      <c r="A156" s="103">
        <f t="shared" si="12"/>
        <v>111</v>
      </c>
      <c r="B156" s="637" t="s">
        <v>202</v>
      </c>
      <c r="C156" s="979" t="s">
        <v>1562</v>
      </c>
      <c r="D156" s="977">
        <v>0</v>
      </c>
      <c r="E156" s="968">
        <v>0</v>
      </c>
      <c r="F156" s="968">
        <v>0</v>
      </c>
      <c r="G156" s="977">
        <v>0</v>
      </c>
      <c r="H156" s="977">
        <v>0</v>
      </c>
      <c r="I156" s="968">
        <v>0</v>
      </c>
      <c r="J156" s="968">
        <v>0</v>
      </c>
      <c r="K156" s="968">
        <v>0</v>
      </c>
    </row>
    <row r="157" spans="1:11" s="672" customFormat="1" x14ac:dyDescent="0.25">
      <c r="A157" s="103">
        <f t="shared" si="12"/>
        <v>112</v>
      </c>
      <c r="B157" s="639" t="s">
        <v>203</v>
      </c>
      <c r="C157" s="979" t="s">
        <v>1562</v>
      </c>
      <c r="D157" s="977">
        <v>0</v>
      </c>
      <c r="E157" s="968">
        <v>0</v>
      </c>
      <c r="F157" s="968">
        <v>0</v>
      </c>
      <c r="G157" s="977">
        <v>0</v>
      </c>
      <c r="H157" s="977">
        <v>0</v>
      </c>
      <c r="I157" s="968">
        <v>0</v>
      </c>
      <c r="J157" s="968">
        <v>0</v>
      </c>
      <c r="K157" s="968">
        <v>0</v>
      </c>
    </row>
    <row r="158" spans="1:11" s="672" customFormat="1" x14ac:dyDescent="0.25">
      <c r="A158" s="103">
        <f t="shared" si="12"/>
        <v>113</v>
      </c>
      <c r="B158" s="639" t="s">
        <v>1662</v>
      </c>
      <c r="C158" s="979" t="s">
        <v>1562</v>
      </c>
      <c r="D158" s="977">
        <v>0</v>
      </c>
      <c r="E158" s="968">
        <v>0</v>
      </c>
      <c r="F158" s="968">
        <v>0</v>
      </c>
      <c r="G158" s="977">
        <v>0</v>
      </c>
      <c r="H158" s="977">
        <v>0</v>
      </c>
      <c r="I158" s="968">
        <v>0</v>
      </c>
      <c r="J158" s="968">
        <v>0</v>
      </c>
      <c r="K158" s="968">
        <v>0</v>
      </c>
    </row>
    <row r="159" spans="1:11" s="672" customFormat="1" x14ac:dyDescent="0.25">
      <c r="A159" s="103">
        <f t="shared" si="12"/>
        <v>114</v>
      </c>
      <c r="B159" s="637" t="s">
        <v>205</v>
      </c>
      <c r="C159" s="979" t="s">
        <v>1562</v>
      </c>
      <c r="D159" s="977">
        <v>0</v>
      </c>
      <c r="E159" s="968">
        <v>0</v>
      </c>
      <c r="F159" s="968">
        <v>0</v>
      </c>
      <c r="G159" s="977">
        <v>0</v>
      </c>
      <c r="H159" s="977">
        <v>0</v>
      </c>
      <c r="I159" s="968">
        <v>0</v>
      </c>
      <c r="J159" s="968">
        <v>0</v>
      </c>
      <c r="K159" s="968">
        <v>0</v>
      </c>
    </row>
    <row r="160" spans="1:11" s="672" customFormat="1" x14ac:dyDescent="0.25">
      <c r="A160" s="103">
        <f t="shared" si="12"/>
        <v>115</v>
      </c>
      <c r="B160" s="639" t="s">
        <v>206</v>
      </c>
      <c r="C160" s="979" t="s">
        <v>1562</v>
      </c>
      <c r="D160" s="977">
        <v>0</v>
      </c>
      <c r="E160" s="968">
        <v>0</v>
      </c>
      <c r="F160" s="968">
        <v>0</v>
      </c>
      <c r="G160" s="977">
        <v>0</v>
      </c>
      <c r="H160" s="977">
        <v>0</v>
      </c>
      <c r="I160" s="968">
        <v>0</v>
      </c>
      <c r="J160" s="968">
        <v>0</v>
      </c>
      <c r="K160" s="968">
        <v>0</v>
      </c>
    </row>
    <row r="161" spans="1:11" s="672" customFormat="1" x14ac:dyDescent="0.25">
      <c r="A161" s="103">
        <f t="shared" si="12"/>
        <v>116</v>
      </c>
      <c r="B161" s="639" t="s">
        <v>207</v>
      </c>
      <c r="C161" s="979" t="s">
        <v>1562</v>
      </c>
      <c r="D161" s="977">
        <v>0</v>
      </c>
      <c r="E161" s="968">
        <v>0</v>
      </c>
      <c r="F161" s="968">
        <v>0</v>
      </c>
      <c r="G161" s="977">
        <v>0</v>
      </c>
      <c r="H161" s="977">
        <v>0</v>
      </c>
      <c r="I161" s="968">
        <v>0</v>
      </c>
      <c r="J161" s="968">
        <v>0</v>
      </c>
      <c r="K161" s="968">
        <v>0</v>
      </c>
    </row>
    <row r="162" spans="1:11" s="672" customFormat="1" x14ac:dyDescent="0.25">
      <c r="A162" s="103">
        <f t="shared" si="12"/>
        <v>117</v>
      </c>
      <c r="B162" s="637" t="s">
        <v>210</v>
      </c>
      <c r="C162" s="979" t="s">
        <v>1562</v>
      </c>
      <c r="D162" s="977">
        <v>0</v>
      </c>
      <c r="E162" s="968">
        <v>0</v>
      </c>
      <c r="F162" s="968">
        <v>0</v>
      </c>
      <c r="G162" s="977">
        <v>0</v>
      </c>
      <c r="H162" s="977">
        <v>0</v>
      </c>
      <c r="I162" s="968">
        <v>0</v>
      </c>
      <c r="J162" s="968">
        <v>0</v>
      </c>
      <c r="K162" s="968">
        <v>0</v>
      </c>
    </row>
    <row r="163" spans="1:11" s="672" customFormat="1" x14ac:dyDescent="0.25">
      <c r="A163" s="103">
        <f t="shared" si="12"/>
        <v>118</v>
      </c>
      <c r="B163" s="637" t="s">
        <v>209</v>
      </c>
      <c r="C163" s="979" t="s">
        <v>1562</v>
      </c>
      <c r="D163" s="977">
        <v>0</v>
      </c>
      <c r="E163" s="968">
        <v>0</v>
      </c>
      <c r="F163" s="968">
        <v>0</v>
      </c>
      <c r="G163" s="977">
        <v>0</v>
      </c>
      <c r="H163" s="977">
        <v>0</v>
      </c>
      <c r="I163" s="968">
        <v>0</v>
      </c>
      <c r="J163" s="968">
        <v>0</v>
      </c>
      <c r="K163" s="968">
        <v>0</v>
      </c>
    </row>
    <row r="164" spans="1:11" s="672" customFormat="1" x14ac:dyDescent="0.25">
      <c r="A164" s="103">
        <f t="shared" si="12"/>
        <v>119</v>
      </c>
      <c r="B164" s="637" t="s">
        <v>199</v>
      </c>
      <c r="C164" s="979" t="s">
        <v>1562</v>
      </c>
      <c r="D164" s="977">
        <v>0</v>
      </c>
      <c r="E164" s="968">
        <v>0</v>
      </c>
      <c r="F164" s="968">
        <v>0</v>
      </c>
      <c r="G164" s="977">
        <v>0</v>
      </c>
      <c r="H164" s="977">
        <v>0</v>
      </c>
      <c r="I164" s="968">
        <v>0</v>
      </c>
      <c r="J164" s="968">
        <v>0</v>
      </c>
      <c r="K164" s="968">
        <v>0</v>
      </c>
    </row>
    <row r="165" spans="1:11" s="672" customFormat="1" x14ac:dyDescent="0.25">
      <c r="A165" s="103">
        <f t="shared" si="12"/>
        <v>120</v>
      </c>
      <c r="B165" s="637" t="s">
        <v>200</v>
      </c>
      <c r="C165" s="979" t="s">
        <v>1562</v>
      </c>
      <c r="D165" s="977">
        <v>0</v>
      </c>
      <c r="E165" s="968">
        <v>0</v>
      </c>
      <c r="F165" s="968">
        <v>0</v>
      </c>
      <c r="G165" s="977">
        <v>0</v>
      </c>
      <c r="H165" s="977">
        <v>0</v>
      </c>
      <c r="I165" s="968">
        <v>0</v>
      </c>
      <c r="J165" s="968">
        <v>0</v>
      </c>
      <c r="K165" s="968">
        <v>0</v>
      </c>
    </row>
    <row r="166" spans="1:11" s="672" customFormat="1" x14ac:dyDescent="0.25">
      <c r="A166" s="103">
        <f t="shared" si="12"/>
        <v>121</v>
      </c>
      <c r="B166" s="639" t="s">
        <v>201</v>
      </c>
      <c r="C166" s="979" t="s">
        <v>1562</v>
      </c>
      <c r="D166" s="977">
        <v>0</v>
      </c>
      <c r="E166" s="968">
        <v>0</v>
      </c>
      <c r="F166" s="968">
        <v>0</v>
      </c>
      <c r="G166" s="977">
        <v>0</v>
      </c>
      <c r="H166" s="977">
        <v>0</v>
      </c>
      <c r="I166" s="968">
        <v>0</v>
      </c>
      <c r="J166" s="968">
        <v>0</v>
      </c>
      <c r="K166" s="968">
        <v>0</v>
      </c>
    </row>
    <row r="167" spans="1:11" s="672" customFormat="1" x14ac:dyDescent="0.25">
      <c r="A167" s="103">
        <f t="shared" si="12"/>
        <v>122</v>
      </c>
      <c r="B167" s="639" t="s">
        <v>214</v>
      </c>
      <c r="C167" s="979" t="s">
        <v>1562</v>
      </c>
      <c r="D167" s="977">
        <v>0</v>
      </c>
      <c r="E167" s="968">
        <v>0</v>
      </c>
      <c r="F167" s="968">
        <v>0</v>
      </c>
      <c r="G167" s="977">
        <v>0</v>
      </c>
      <c r="H167" s="977">
        <v>0</v>
      </c>
      <c r="I167" s="968">
        <v>0</v>
      </c>
      <c r="J167" s="968">
        <v>0</v>
      </c>
      <c r="K167" s="968">
        <v>0</v>
      </c>
    </row>
    <row r="168" spans="1:11" s="672" customFormat="1" x14ac:dyDescent="0.25">
      <c r="A168" s="103">
        <f t="shared" si="12"/>
        <v>123</v>
      </c>
      <c r="B168" s="637" t="s">
        <v>202</v>
      </c>
      <c r="C168" s="979" t="s">
        <v>1562</v>
      </c>
      <c r="D168" s="977">
        <v>0</v>
      </c>
      <c r="E168" s="968">
        <v>0</v>
      </c>
      <c r="F168" s="968">
        <v>0</v>
      </c>
      <c r="G168" s="977">
        <v>0</v>
      </c>
      <c r="H168" s="977">
        <v>0</v>
      </c>
      <c r="I168" s="968">
        <v>0</v>
      </c>
      <c r="J168" s="968">
        <v>0</v>
      </c>
      <c r="K168" s="968">
        <v>0</v>
      </c>
    </row>
    <row r="169" spans="1:11" s="672" customFormat="1" x14ac:dyDescent="0.25">
      <c r="A169" s="103">
        <f t="shared" si="12"/>
        <v>124</v>
      </c>
      <c r="B169" s="639" t="s">
        <v>203</v>
      </c>
      <c r="C169" s="979" t="s">
        <v>1562</v>
      </c>
      <c r="D169" s="977">
        <v>0</v>
      </c>
      <c r="E169" s="968">
        <v>0</v>
      </c>
      <c r="F169" s="968">
        <v>0</v>
      </c>
      <c r="G169" s="977">
        <v>0</v>
      </c>
      <c r="H169" s="977">
        <v>0</v>
      </c>
      <c r="I169" s="968">
        <v>0</v>
      </c>
      <c r="J169" s="968">
        <v>0</v>
      </c>
      <c r="K169" s="968">
        <v>0</v>
      </c>
    </row>
    <row r="170" spans="1:11" s="672" customFormat="1" x14ac:dyDescent="0.25">
      <c r="A170" s="103">
        <f t="shared" si="12"/>
        <v>125</v>
      </c>
      <c r="B170" s="639" t="s">
        <v>1662</v>
      </c>
      <c r="C170" s="979" t="s">
        <v>1562</v>
      </c>
      <c r="D170" s="977">
        <v>0</v>
      </c>
      <c r="E170" s="968">
        <v>0</v>
      </c>
      <c r="F170" s="968">
        <v>0</v>
      </c>
      <c r="G170" s="977">
        <v>0</v>
      </c>
      <c r="H170" s="977">
        <v>0</v>
      </c>
      <c r="I170" s="968">
        <v>0</v>
      </c>
      <c r="J170" s="968">
        <v>0</v>
      </c>
      <c r="K170" s="968">
        <v>0</v>
      </c>
    </row>
    <row r="171" spans="1:11" s="672" customFormat="1" x14ac:dyDescent="0.25">
      <c r="A171" s="103">
        <f t="shared" si="12"/>
        <v>126</v>
      </c>
      <c r="B171" s="637" t="s">
        <v>205</v>
      </c>
      <c r="C171" s="979" t="s">
        <v>1562</v>
      </c>
      <c r="D171" s="977">
        <v>0</v>
      </c>
      <c r="E171" s="968">
        <v>0</v>
      </c>
      <c r="F171" s="968">
        <v>0</v>
      </c>
      <c r="G171" s="977">
        <v>0</v>
      </c>
      <c r="H171" s="977">
        <v>0</v>
      </c>
      <c r="I171" s="968">
        <v>0</v>
      </c>
      <c r="J171" s="968">
        <v>0</v>
      </c>
      <c r="K171" s="968">
        <v>0</v>
      </c>
    </row>
    <row r="172" spans="1:11" s="672" customFormat="1" x14ac:dyDescent="0.25">
      <c r="A172" s="103">
        <f t="shared" si="12"/>
        <v>127</v>
      </c>
      <c r="B172" s="639" t="s">
        <v>206</v>
      </c>
      <c r="C172" s="979" t="s">
        <v>1562</v>
      </c>
      <c r="D172" s="977">
        <v>0</v>
      </c>
      <c r="E172" s="968">
        <v>0</v>
      </c>
      <c r="F172" s="968">
        <v>0</v>
      </c>
      <c r="G172" s="977">
        <v>0</v>
      </c>
      <c r="H172" s="977">
        <v>0</v>
      </c>
      <c r="I172" s="968">
        <v>0</v>
      </c>
      <c r="J172" s="968">
        <v>0</v>
      </c>
      <c r="K172" s="968">
        <v>0</v>
      </c>
    </row>
    <row r="173" spans="1:11" s="672" customFormat="1" x14ac:dyDescent="0.25">
      <c r="A173" s="103">
        <f t="shared" si="12"/>
        <v>128</v>
      </c>
      <c r="B173" s="639" t="s">
        <v>207</v>
      </c>
      <c r="C173" s="979" t="s">
        <v>1562</v>
      </c>
      <c r="D173" s="977">
        <v>0</v>
      </c>
      <c r="E173" s="968">
        <v>0</v>
      </c>
      <c r="F173" s="968">
        <v>0</v>
      </c>
      <c r="G173" s="977">
        <v>0</v>
      </c>
      <c r="H173" s="977">
        <v>0</v>
      </c>
      <c r="I173" s="968">
        <v>0</v>
      </c>
      <c r="J173" s="968">
        <v>0</v>
      </c>
      <c r="K173" s="968">
        <v>0</v>
      </c>
    </row>
    <row r="174" spans="1:11" s="672" customFormat="1" x14ac:dyDescent="0.25">
      <c r="A174" s="103">
        <f t="shared" si="12"/>
        <v>129</v>
      </c>
      <c r="B174" s="639" t="s">
        <v>210</v>
      </c>
      <c r="C174" s="979" t="s">
        <v>1562</v>
      </c>
      <c r="D174" s="977">
        <v>0</v>
      </c>
      <c r="E174" s="968">
        <v>0</v>
      </c>
      <c r="F174" s="968">
        <v>0</v>
      </c>
      <c r="G174" s="977">
        <v>0</v>
      </c>
      <c r="H174" s="977">
        <v>0</v>
      </c>
      <c r="I174" s="968">
        <v>0</v>
      </c>
      <c r="J174" s="968">
        <v>0</v>
      </c>
      <c r="K174" s="968">
        <v>0</v>
      </c>
    </row>
    <row r="175" spans="1:11" s="672" customFormat="1" x14ac:dyDescent="0.25">
      <c r="A175" s="103">
        <f t="shared" si="12"/>
        <v>130</v>
      </c>
      <c r="B175" s="639" t="s">
        <v>209</v>
      </c>
      <c r="C175" s="979" t="s">
        <v>1562</v>
      </c>
      <c r="D175" s="977">
        <v>0</v>
      </c>
      <c r="E175" s="968">
        <v>0</v>
      </c>
      <c r="F175" s="968">
        <v>0</v>
      </c>
      <c r="G175" s="977">
        <v>0</v>
      </c>
      <c r="H175" s="977">
        <v>0</v>
      </c>
      <c r="I175" s="968">
        <v>0</v>
      </c>
      <c r="J175" s="968">
        <v>0</v>
      </c>
      <c r="K175" s="968">
        <v>0</v>
      </c>
    </row>
    <row r="176" spans="1:11" s="672" customFormat="1" ht="15" x14ac:dyDescent="0.4">
      <c r="A176" s="103">
        <f t="shared" si="12"/>
        <v>131</v>
      </c>
      <c r="B176" s="639" t="s">
        <v>199</v>
      </c>
      <c r="C176" s="979" t="s">
        <v>1562</v>
      </c>
      <c r="D176" s="977">
        <v>0</v>
      </c>
      <c r="E176" s="968">
        <v>0</v>
      </c>
      <c r="F176" s="968">
        <v>0</v>
      </c>
      <c r="G176" s="977">
        <v>0</v>
      </c>
      <c r="H176" s="977">
        <v>0</v>
      </c>
      <c r="I176" s="968">
        <v>0</v>
      </c>
      <c r="J176" s="968">
        <v>0</v>
      </c>
      <c r="K176" s="969">
        <v>0</v>
      </c>
    </row>
    <row r="177" spans="1:11" s="672" customFormat="1" x14ac:dyDescent="0.25">
      <c r="A177" s="103">
        <f t="shared" si="12"/>
        <v>132</v>
      </c>
      <c r="B177"/>
      <c r="C177" s="671" t="s">
        <v>1837</v>
      </c>
      <c r="D177"/>
      <c r="E177"/>
      <c r="F177"/>
      <c r="G177"/>
      <c r="H177"/>
      <c r="I177"/>
      <c r="J177"/>
      <c r="K177" s="985">
        <v>0</v>
      </c>
    </row>
    <row r="178" spans="1:11" s="672" customFormat="1" x14ac:dyDescent="0.25">
      <c r="A178" s="103"/>
      <c r="B178"/>
      <c r="C178" s="671"/>
      <c r="D178"/>
      <c r="E178"/>
      <c r="F178"/>
      <c r="G178"/>
      <c r="H178"/>
      <c r="I178"/>
      <c r="J178"/>
      <c r="K178" s="74"/>
    </row>
    <row r="179" spans="1:11" s="672" customFormat="1" x14ac:dyDescent="0.25">
      <c r="B179" s="673" t="s">
        <v>2342</v>
      </c>
      <c r="D179" s="1113" t="s">
        <v>2693</v>
      </c>
      <c r="E179" s="1113"/>
    </row>
    <row r="180" spans="1:11" s="672" customFormat="1" x14ac:dyDescent="0.25">
      <c r="A180" s="667"/>
      <c r="B180" s="667"/>
      <c r="C180" s="667"/>
      <c r="D180" s="667" t="s">
        <v>394</v>
      </c>
      <c r="E180" s="667" t="s">
        <v>378</v>
      </c>
      <c r="F180" s="667" t="s">
        <v>379</v>
      </c>
      <c r="G180" s="667" t="s">
        <v>380</v>
      </c>
      <c r="H180" s="667" t="s">
        <v>381</v>
      </c>
      <c r="I180" s="667" t="s">
        <v>382</v>
      </c>
      <c r="J180" s="667" t="s">
        <v>383</v>
      </c>
      <c r="K180" s="667" t="s">
        <v>595</v>
      </c>
    </row>
    <row r="181" spans="1:11" s="672" customFormat="1" ht="39.6" x14ac:dyDescent="0.25">
      <c r="D181" s="674"/>
      <c r="E181" s="675" t="s">
        <v>2584</v>
      </c>
      <c r="F181" s="676" t="s">
        <v>2335</v>
      </c>
      <c r="G181" s="475"/>
      <c r="H181" s="674"/>
      <c r="I181" s="675" t="s">
        <v>2585</v>
      </c>
      <c r="J181" s="675" t="s">
        <v>2336</v>
      </c>
      <c r="K181" s="675" t="s">
        <v>2337</v>
      </c>
    </row>
    <row r="182" spans="1:11" s="672" customFormat="1" x14ac:dyDescent="0.25">
      <c r="D182" s="674"/>
      <c r="E182" s="675"/>
      <c r="F182" s="676"/>
      <c r="G182" s="4" t="str">
        <f>G51</f>
        <v>Unloaded</v>
      </c>
      <c r="H182" s="674"/>
      <c r="I182" s="675"/>
      <c r="J182" s="675"/>
      <c r="K182" s="675"/>
    </row>
    <row r="183" spans="1:11" s="672" customFormat="1" x14ac:dyDescent="0.25">
      <c r="A183" s="669"/>
      <c r="B183" s="669"/>
      <c r="C183" s="669"/>
      <c r="D183" s="669" t="str">
        <f>D$52</f>
        <v>Forecast</v>
      </c>
      <c r="E183" s="669" t="str">
        <f t="shared" ref="E183:J183" si="13">E$52</f>
        <v>Corporate</v>
      </c>
      <c r="F183" s="669" t="str">
        <f t="shared" si="13"/>
        <v xml:space="preserve">Total </v>
      </c>
      <c r="G183" s="4" t="str">
        <f>G52</f>
        <v>Total</v>
      </c>
      <c r="H183" s="669" t="str">
        <f t="shared" si="13"/>
        <v>Prior Period</v>
      </c>
      <c r="I183" s="669" t="str">
        <f t="shared" si="13"/>
        <v>Over Heads</v>
      </c>
      <c r="J183" s="669" t="str">
        <f t="shared" si="13"/>
        <v>Forecast</v>
      </c>
      <c r="K183" s="577" t="str">
        <f>K$52</f>
        <v>Forecast Period</v>
      </c>
    </row>
    <row r="184" spans="1:11" s="672" customFormat="1" x14ac:dyDescent="0.25">
      <c r="A184" s="879" t="s">
        <v>360</v>
      </c>
      <c r="B184" s="636" t="s">
        <v>211</v>
      </c>
      <c r="C184" s="636" t="s">
        <v>212</v>
      </c>
      <c r="D184" s="667" t="str">
        <f>D$53</f>
        <v>Expenditures</v>
      </c>
      <c r="E184" s="667" t="str">
        <f t="shared" ref="E184:J184" si="14">E$53</f>
        <v>Overheads</v>
      </c>
      <c r="F184" s="667" t="str">
        <f t="shared" si="14"/>
        <v>CWIP Exp</v>
      </c>
      <c r="G184" s="84" t="str">
        <f>G53</f>
        <v>Plant Adds</v>
      </c>
      <c r="H184" s="667" t="str">
        <f t="shared" si="14"/>
        <v>CWIP Closed</v>
      </c>
      <c r="I184" s="667" t="str">
        <f t="shared" si="14"/>
        <v>Closed to PIS</v>
      </c>
      <c r="J184" s="667" t="str">
        <f t="shared" si="14"/>
        <v>Period CWIP</v>
      </c>
      <c r="K184" s="667" t="str">
        <f>K$53</f>
        <v>Incremental CWIP</v>
      </c>
    </row>
    <row r="185" spans="1:11" s="672" customFormat="1" x14ac:dyDescent="0.25">
      <c r="A185" s="103">
        <f>A177+1</f>
        <v>133</v>
      </c>
      <c r="B185" s="637" t="s">
        <v>199</v>
      </c>
      <c r="C185" s="979" t="s">
        <v>1562</v>
      </c>
      <c r="D185" s="676" t="s">
        <v>86</v>
      </c>
      <c r="E185" s="676" t="s">
        <v>86</v>
      </c>
      <c r="F185" s="676" t="s">
        <v>86</v>
      </c>
      <c r="G185" s="676" t="s">
        <v>86</v>
      </c>
      <c r="H185" s="676" t="s">
        <v>86</v>
      </c>
      <c r="I185" s="676" t="s">
        <v>86</v>
      </c>
      <c r="J185" s="61">
        <f>H25</f>
        <v>0</v>
      </c>
      <c r="K185" s="676" t="s">
        <v>86</v>
      </c>
    </row>
    <row r="186" spans="1:11" s="672" customFormat="1" x14ac:dyDescent="0.25">
      <c r="A186" s="103">
        <f>A185+1</f>
        <v>134</v>
      </c>
      <c r="B186" s="637" t="s">
        <v>200</v>
      </c>
      <c r="C186" s="979" t="s">
        <v>1562</v>
      </c>
      <c r="D186" s="977">
        <v>0</v>
      </c>
      <c r="E186" s="968">
        <v>0</v>
      </c>
      <c r="F186" s="968">
        <v>0</v>
      </c>
      <c r="G186" s="977">
        <v>0</v>
      </c>
      <c r="H186" s="977">
        <v>0</v>
      </c>
      <c r="I186" s="968">
        <v>0</v>
      </c>
      <c r="J186" s="968">
        <v>0</v>
      </c>
      <c r="K186" s="968">
        <v>0</v>
      </c>
    </row>
    <row r="187" spans="1:11" s="672" customFormat="1" x14ac:dyDescent="0.25">
      <c r="A187" s="103">
        <f t="shared" ref="A187:A210" si="15">A186+1</f>
        <v>135</v>
      </c>
      <c r="B187" s="639" t="s">
        <v>201</v>
      </c>
      <c r="C187" s="979" t="s">
        <v>1562</v>
      </c>
      <c r="D187" s="977">
        <v>0</v>
      </c>
      <c r="E187" s="968">
        <v>0</v>
      </c>
      <c r="F187" s="968">
        <v>0</v>
      </c>
      <c r="G187" s="977">
        <v>0</v>
      </c>
      <c r="H187" s="977">
        <v>0</v>
      </c>
      <c r="I187" s="968">
        <v>0</v>
      </c>
      <c r="J187" s="968">
        <v>0</v>
      </c>
      <c r="K187" s="968">
        <v>0</v>
      </c>
    </row>
    <row r="188" spans="1:11" s="672" customFormat="1" x14ac:dyDescent="0.25">
      <c r="A188" s="103">
        <f t="shared" si="15"/>
        <v>136</v>
      </c>
      <c r="B188" s="639" t="s">
        <v>214</v>
      </c>
      <c r="C188" s="979" t="s">
        <v>1562</v>
      </c>
      <c r="D188" s="977">
        <v>0</v>
      </c>
      <c r="E188" s="968">
        <v>0</v>
      </c>
      <c r="F188" s="968">
        <v>0</v>
      </c>
      <c r="G188" s="977">
        <v>0</v>
      </c>
      <c r="H188" s="977">
        <v>0</v>
      </c>
      <c r="I188" s="968">
        <v>0</v>
      </c>
      <c r="J188" s="968">
        <v>0</v>
      </c>
      <c r="K188" s="968">
        <v>0</v>
      </c>
    </row>
    <row r="189" spans="1:11" s="672" customFormat="1" x14ac:dyDescent="0.25">
      <c r="A189" s="103">
        <f t="shared" si="15"/>
        <v>137</v>
      </c>
      <c r="B189" s="637" t="s">
        <v>202</v>
      </c>
      <c r="C189" s="979" t="s">
        <v>1562</v>
      </c>
      <c r="D189" s="977">
        <v>0</v>
      </c>
      <c r="E189" s="968">
        <v>0</v>
      </c>
      <c r="F189" s="968">
        <v>0</v>
      </c>
      <c r="G189" s="977">
        <v>0</v>
      </c>
      <c r="H189" s="977">
        <v>0</v>
      </c>
      <c r="I189" s="968">
        <v>0</v>
      </c>
      <c r="J189" s="968">
        <v>0</v>
      </c>
      <c r="K189" s="968">
        <v>0</v>
      </c>
    </row>
    <row r="190" spans="1:11" s="672" customFormat="1" x14ac:dyDescent="0.25">
      <c r="A190" s="103">
        <f t="shared" si="15"/>
        <v>138</v>
      </c>
      <c r="B190" s="639" t="s">
        <v>203</v>
      </c>
      <c r="C190" s="979" t="s">
        <v>1562</v>
      </c>
      <c r="D190" s="977">
        <v>0</v>
      </c>
      <c r="E190" s="968">
        <v>0</v>
      </c>
      <c r="F190" s="968">
        <v>0</v>
      </c>
      <c r="G190" s="977">
        <v>0</v>
      </c>
      <c r="H190" s="977">
        <v>0</v>
      </c>
      <c r="I190" s="968">
        <v>0</v>
      </c>
      <c r="J190" s="968">
        <v>0</v>
      </c>
      <c r="K190" s="968">
        <v>0</v>
      </c>
    </row>
    <row r="191" spans="1:11" s="672" customFormat="1" x14ac:dyDescent="0.25">
      <c r="A191" s="103">
        <f t="shared" si="15"/>
        <v>139</v>
      </c>
      <c r="B191" s="639" t="s">
        <v>1662</v>
      </c>
      <c r="C191" s="979" t="s">
        <v>1562</v>
      </c>
      <c r="D191" s="977">
        <v>0</v>
      </c>
      <c r="E191" s="968">
        <v>0</v>
      </c>
      <c r="F191" s="968">
        <v>0</v>
      </c>
      <c r="G191" s="977">
        <v>0</v>
      </c>
      <c r="H191" s="977">
        <v>0</v>
      </c>
      <c r="I191" s="968">
        <v>0</v>
      </c>
      <c r="J191" s="968">
        <v>0</v>
      </c>
      <c r="K191" s="968">
        <v>0</v>
      </c>
    </row>
    <row r="192" spans="1:11" s="672" customFormat="1" x14ac:dyDescent="0.25">
      <c r="A192" s="103">
        <f t="shared" si="15"/>
        <v>140</v>
      </c>
      <c r="B192" s="637" t="s">
        <v>205</v>
      </c>
      <c r="C192" s="979" t="s">
        <v>1562</v>
      </c>
      <c r="D192" s="977">
        <v>0</v>
      </c>
      <c r="E192" s="968">
        <v>0</v>
      </c>
      <c r="F192" s="968">
        <v>0</v>
      </c>
      <c r="G192" s="977">
        <v>0</v>
      </c>
      <c r="H192" s="977">
        <v>0</v>
      </c>
      <c r="I192" s="968">
        <v>0</v>
      </c>
      <c r="J192" s="968">
        <v>0</v>
      </c>
      <c r="K192" s="968">
        <v>0</v>
      </c>
    </row>
    <row r="193" spans="1:11" s="672" customFormat="1" x14ac:dyDescent="0.25">
      <c r="A193" s="103">
        <f t="shared" si="15"/>
        <v>141</v>
      </c>
      <c r="B193" s="639" t="s">
        <v>206</v>
      </c>
      <c r="C193" s="979" t="s">
        <v>1562</v>
      </c>
      <c r="D193" s="977">
        <v>0</v>
      </c>
      <c r="E193" s="968">
        <v>0</v>
      </c>
      <c r="F193" s="968">
        <v>0</v>
      </c>
      <c r="G193" s="977">
        <v>0</v>
      </c>
      <c r="H193" s="977">
        <v>0</v>
      </c>
      <c r="I193" s="968">
        <v>0</v>
      </c>
      <c r="J193" s="968">
        <v>0</v>
      </c>
      <c r="K193" s="968">
        <v>0</v>
      </c>
    </row>
    <row r="194" spans="1:11" s="672" customFormat="1" x14ac:dyDescent="0.25">
      <c r="A194" s="103">
        <f t="shared" si="15"/>
        <v>142</v>
      </c>
      <c r="B194" s="639" t="s">
        <v>207</v>
      </c>
      <c r="C194" s="979" t="s">
        <v>1562</v>
      </c>
      <c r="D194" s="977">
        <v>0</v>
      </c>
      <c r="E194" s="968">
        <v>0</v>
      </c>
      <c r="F194" s="968">
        <v>0</v>
      </c>
      <c r="G194" s="977">
        <v>0</v>
      </c>
      <c r="H194" s="977">
        <v>0</v>
      </c>
      <c r="I194" s="968">
        <v>0</v>
      </c>
      <c r="J194" s="968">
        <v>0</v>
      </c>
      <c r="K194" s="968">
        <v>0</v>
      </c>
    </row>
    <row r="195" spans="1:11" s="672" customFormat="1" x14ac:dyDescent="0.25">
      <c r="A195" s="103">
        <f t="shared" si="15"/>
        <v>143</v>
      </c>
      <c r="B195" s="637" t="s">
        <v>210</v>
      </c>
      <c r="C195" s="979" t="s">
        <v>1562</v>
      </c>
      <c r="D195" s="977">
        <v>0</v>
      </c>
      <c r="E195" s="968">
        <v>0</v>
      </c>
      <c r="F195" s="968">
        <v>0</v>
      </c>
      <c r="G195" s="977">
        <v>0</v>
      </c>
      <c r="H195" s="977">
        <v>0</v>
      </c>
      <c r="I195" s="968">
        <v>0</v>
      </c>
      <c r="J195" s="968">
        <v>0</v>
      </c>
      <c r="K195" s="968">
        <v>0</v>
      </c>
    </row>
    <row r="196" spans="1:11" s="672" customFormat="1" x14ac:dyDescent="0.25">
      <c r="A196" s="103">
        <f t="shared" si="15"/>
        <v>144</v>
      </c>
      <c r="B196" s="637" t="s">
        <v>209</v>
      </c>
      <c r="C196" s="979" t="s">
        <v>1562</v>
      </c>
      <c r="D196" s="977">
        <v>0</v>
      </c>
      <c r="E196" s="968">
        <v>0</v>
      </c>
      <c r="F196" s="968">
        <v>0</v>
      </c>
      <c r="G196" s="977">
        <v>0</v>
      </c>
      <c r="H196" s="977">
        <v>0</v>
      </c>
      <c r="I196" s="968">
        <v>0</v>
      </c>
      <c r="J196" s="968">
        <v>0</v>
      </c>
      <c r="K196" s="968">
        <v>0</v>
      </c>
    </row>
    <row r="197" spans="1:11" s="672" customFormat="1" x14ac:dyDescent="0.25">
      <c r="A197" s="103">
        <f t="shared" si="15"/>
        <v>145</v>
      </c>
      <c r="B197" s="637" t="s">
        <v>199</v>
      </c>
      <c r="C197" s="979" t="s">
        <v>1562</v>
      </c>
      <c r="D197" s="977">
        <v>0</v>
      </c>
      <c r="E197" s="968">
        <v>0</v>
      </c>
      <c r="F197" s="968">
        <v>0</v>
      </c>
      <c r="G197" s="977">
        <v>0</v>
      </c>
      <c r="H197" s="977">
        <v>0</v>
      </c>
      <c r="I197" s="968">
        <v>0</v>
      </c>
      <c r="J197" s="968">
        <v>0</v>
      </c>
      <c r="K197" s="968">
        <v>0</v>
      </c>
    </row>
    <row r="198" spans="1:11" s="672" customFormat="1" x14ac:dyDescent="0.25">
      <c r="A198" s="103">
        <f t="shared" si="15"/>
        <v>146</v>
      </c>
      <c r="B198" s="637" t="s">
        <v>200</v>
      </c>
      <c r="C198" s="979" t="s">
        <v>1562</v>
      </c>
      <c r="D198" s="977">
        <v>0</v>
      </c>
      <c r="E198" s="968">
        <v>0</v>
      </c>
      <c r="F198" s="968">
        <v>0</v>
      </c>
      <c r="G198" s="977">
        <v>0</v>
      </c>
      <c r="H198" s="977">
        <v>0</v>
      </c>
      <c r="I198" s="968">
        <v>0</v>
      </c>
      <c r="J198" s="968">
        <v>0</v>
      </c>
      <c r="K198" s="968">
        <v>0</v>
      </c>
    </row>
    <row r="199" spans="1:11" s="672" customFormat="1" x14ac:dyDescent="0.25">
      <c r="A199" s="103">
        <f t="shared" si="15"/>
        <v>147</v>
      </c>
      <c r="B199" s="639" t="s">
        <v>201</v>
      </c>
      <c r="C199" s="979" t="s">
        <v>1562</v>
      </c>
      <c r="D199" s="977">
        <v>0</v>
      </c>
      <c r="E199" s="968">
        <v>0</v>
      </c>
      <c r="F199" s="968">
        <v>0</v>
      </c>
      <c r="G199" s="977">
        <v>0</v>
      </c>
      <c r="H199" s="977">
        <v>0</v>
      </c>
      <c r="I199" s="968">
        <v>0</v>
      </c>
      <c r="J199" s="968">
        <v>0</v>
      </c>
      <c r="K199" s="968">
        <v>0</v>
      </c>
    </row>
    <row r="200" spans="1:11" s="672" customFormat="1" x14ac:dyDescent="0.25">
      <c r="A200" s="103">
        <f t="shared" si="15"/>
        <v>148</v>
      </c>
      <c r="B200" s="639" t="s">
        <v>214</v>
      </c>
      <c r="C200" s="979" t="s">
        <v>1562</v>
      </c>
      <c r="D200" s="977">
        <v>0</v>
      </c>
      <c r="E200" s="968">
        <v>0</v>
      </c>
      <c r="F200" s="968">
        <v>0</v>
      </c>
      <c r="G200" s="977">
        <v>0</v>
      </c>
      <c r="H200" s="977">
        <v>0</v>
      </c>
      <c r="I200" s="968">
        <v>0</v>
      </c>
      <c r="J200" s="968">
        <v>0</v>
      </c>
      <c r="K200" s="968">
        <v>0</v>
      </c>
    </row>
    <row r="201" spans="1:11" s="672" customFormat="1" x14ac:dyDescent="0.25">
      <c r="A201" s="103">
        <f t="shared" si="15"/>
        <v>149</v>
      </c>
      <c r="B201" s="637" t="s">
        <v>202</v>
      </c>
      <c r="C201" s="979" t="s">
        <v>1562</v>
      </c>
      <c r="D201" s="977">
        <v>0</v>
      </c>
      <c r="E201" s="968">
        <v>0</v>
      </c>
      <c r="F201" s="968">
        <v>0</v>
      </c>
      <c r="G201" s="977">
        <v>0</v>
      </c>
      <c r="H201" s="977">
        <v>0</v>
      </c>
      <c r="I201" s="968">
        <v>0</v>
      </c>
      <c r="J201" s="968">
        <v>0</v>
      </c>
      <c r="K201" s="968">
        <v>0</v>
      </c>
    </row>
    <row r="202" spans="1:11" s="672" customFormat="1" x14ac:dyDescent="0.25">
      <c r="A202" s="103">
        <f t="shared" si="15"/>
        <v>150</v>
      </c>
      <c r="B202" s="639" t="s">
        <v>203</v>
      </c>
      <c r="C202" s="979" t="s">
        <v>1562</v>
      </c>
      <c r="D202" s="977">
        <v>0</v>
      </c>
      <c r="E202" s="968">
        <v>0</v>
      </c>
      <c r="F202" s="968">
        <v>0</v>
      </c>
      <c r="G202" s="977">
        <v>0</v>
      </c>
      <c r="H202" s="977">
        <v>0</v>
      </c>
      <c r="I202" s="968">
        <v>0</v>
      </c>
      <c r="J202" s="968">
        <v>0</v>
      </c>
      <c r="K202" s="968">
        <v>0</v>
      </c>
    </row>
    <row r="203" spans="1:11" s="672" customFormat="1" x14ac:dyDescent="0.25">
      <c r="A203" s="103">
        <f t="shared" si="15"/>
        <v>151</v>
      </c>
      <c r="B203" s="639" t="s">
        <v>1662</v>
      </c>
      <c r="C203" s="979" t="s">
        <v>1562</v>
      </c>
      <c r="D203" s="977">
        <v>0</v>
      </c>
      <c r="E203" s="968">
        <v>0</v>
      </c>
      <c r="F203" s="968">
        <v>0</v>
      </c>
      <c r="G203" s="977">
        <v>0</v>
      </c>
      <c r="H203" s="977">
        <v>0</v>
      </c>
      <c r="I203" s="968">
        <v>0</v>
      </c>
      <c r="J203" s="968">
        <v>0</v>
      </c>
      <c r="K203" s="968">
        <v>0</v>
      </c>
    </row>
    <row r="204" spans="1:11" s="672" customFormat="1" x14ac:dyDescent="0.25">
      <c r="A204" s="103">
        <f t="shared" si="15"/>
        <v>152</v>
      </c>
      <c r="B204" s="637" t="s">
        <v>205</v>
      </c>
      <c r="C204" s="979" t="s">
        <v>1562</v>
      </c>
      <c r="D204" s="977">
        <v>0</v>
      </c>
      <c r="E204" s="968">
        <v>0</v>
      </c>
      <c r="F204" s="968">
        <v>0</v>
      </c>
      <c r="G204" s="977">
        <v>0</v>
      </c>
      <c r="H204" s="977">
        <v>0</v>
      </c>
      <c r="I204" s="968">
        <v>0</v>
      </c>
      <c r="J204" s="968">
        <v>0</v>
      </c>
      <c r="K204" s="968">
        <v>0</v>
      </c>
    </row>
    <row r="205" spans="1:11" s="672" customFormat="1" x14ac:dyDescent="0.25">
      <c r="A205" s="103">
        <f t="shared" si="15"/>
        <v>153</v>
      </c>
      <c r="B205" s="639" t="s">
        <v>206</v>
      </c>
      <c r="C205" s="979" t="s">
        <v>1562</v>
      </c>
      <c r="D205" s="977">
        <v>0</v>
      </c>
      <c r="E205" s="968">
        <v>0</v>
      </c>
      <c r="F205" s="968">
        <v>0</v>
      </c>
      <c r="G205" s="977">
        <v>0</v>
      </c>
      <c r="H205" s="977">
        <v>0</v>
      </c>
      <c r="I205" s="968">
        <v>0</v>
      </c>
      <c r="J205" s="968">
        <v>0</v>
      </c>
      <c r="K205" s="968">
        <v>0</v>
      </c>
    </row>
    <row r="206" spans="1:11" s="672" customFormat="1" x14ac:dyDescent="0.25">
      <c r="A206" s="103">
        <f t="shared" si="15"/>
        <v>154</v>
      </c>
      <c r="B206" s="639" t="s">
        <v>207</v>
      </c>
      <c r="C206" s="979" t="s">
        <v>1562</v>
      </c>
      <c r="D206" s="977">
        <v>0</v>
      </c>
      <c r="E206" s="968">
        <v>0</v>
      </c>
      <c r="F206" s="968">
        <v>0</v>
      </c>
      <c r="G206" s="977">
        <v>0</v>
      </c>
      <c r="H206" s="977">
        <v>0</v>
      </c>
      <c r="I206" s="968">
        <v>0</v>
      </c>
      <c r="J206" s="968">
        <v>0</v>
      </c>
      <c r="K206" s="968">
        <v>0</v>
      </c>
    </row>
    <row r="207" spans="1:11" s="672" customFormat="1" x14ac:dyDescent="0.25">
      <c r="A207" s="103">
        <f t="shared" si="15"/>
        <v>155</v>
      </c>
      <c r="B207" s="639" t="s">
        <v>210</v>
      </c>
      <c r="C207" s="979" t="s">
        <v>1562</v>
      </c>
      <c r="D207" s="977">
        <v>0</v>
      </c>
      <c r="E207" s="968">
        <v>0</v>
      </c>
      <c r="F207" s="968">
        <v>0</v>
      </c>
      <c r="G207" s="977">
        <v>0</v>
      </c>
      <c r="H207" s="977">
        <v>0</v>
      </c>
      <c r="I207" s="968">
        <v>0</v>
      </c>
      <c r="J207" s="968">
        <v>0</v>
      </c>
      <c r="K207" s="968">
        <v>0</v>
      </c>
    </row>
    <row r="208" spans="1:11" s="672" customFormat="1" x14ac:dyDescent="0.25">
      <c r="A208" s="103">
        <f t="shared" si="15"/>
        <v>156</v>
      </c>
      <c r="B208" s="639" t="s">
        <v>209</v>
      </c>
      <c r="C208" s="979" t="s">
        <v>1562</v>
      </c>
      <c r="D208" s="977">
        <v>0</v>
      </c>
      <c r="E208" s="968">
        <v>0</v>
      </c>
      <c r="F208" s="968">
        <v>0</v>
      </c>
      <c r="G208" s="977">
        <v>0</v>
      </c>
      <c r="H208" s="977">
        <v>0</v>
      </c>
      <c r="I208" s="968">
        <v>0</v>
      </c>
      <c r="J208" s="968">
        <v>0</v>
      </c>
      <c r="K208" s="968">
        <v>0</v>
      </c>
    </row>
    <row r="209" spans="1:11" s="672" customFormat="1" ht="15" x14ac:dyDescent="0.4">
      <c r="A209" s="103">
        <f t="shared" si="15"/>
        <v>157</v>
      </c>
      <c r="B209" s="639" t="s">
        <v>199</v>
      </c>
      <c r="C209" s="979" t="s">
        <v>1562</v>
      </c>
      <c r="D209" s="977">
        <v>0</v>
      </c>
      <c r="E209" s="968">
        <v>0</v>
      </c>
      <c r="F209" s="968">
        <v>0</v>
      </c>
      <c r="G209" s="977">
        <v>0</v>
      </c>
      <c r="H209" s="977">
        <v>0</v>
      </c>
      <c r="I209" s="968">
        <v>0</v>
      </c>
      <c r="J209" s="968">
        <v>0</v>
      </c>
      <c r="K209" s="969">
        <v>0</v>
      </c>
    </row>
    <row r="210" spans="1:11" s="672" customFormat="1" x14ac:dyDescent="0.25">
      <c r="A210" s="103">
        <f t="shared" si="15"/>
        <v>158</v>
      </c>
      <c r="B210"/>
      <c r="C210" s="671" t="s">
        <v>1837</v>
      </c>
      <c r="D210"/>
      <c r="E210"/>
      <c r="F210"/>
      <c r="G210"/>
      <c r="H210"/>
      <c r="I210"/>
      <c r="J210"/>
      <c r="K210" s="985">
        <v>0</v>
      </c>
    </row>
    <row r="211" spans="1:11" s="672" customFormat="1" x14ac:dyDescent="0.25">
      <c r="A211" s="103"/>
      <c r="B211"/>
      <c r="C211" s="671"/>
      <c r="D211"/>
      <c r="E211"/>
      <c r="F211"/>
      <c r="G211"/>
      <c r="H211"/>
      <c r="I211"/>
      <c r="J211"/>
      <c r="K211" s="74"/>
    </row>
    <row r="212" spans="1:11" s="672" customFormat="1" x14ac:dyDescent="0.25">
      <c r="B212" s="673" t="s">
        <v>2343</v>
      </c>
      <c r="D212" s="1113" t="s">
        <v>599</v>
      </c>
      <c r="E212" s="1113"/>
    </row>
    <row r="213" spans="1:11" s="672" customFormat="1" x14ac:dyDescent="0.25">
      <c r="D213" s="674"/>
      <c r="E213" s="674"/>
      <c r="F213" s="674"/>
      <c r="G213" s="577" t="str">
        <f>G51</f>
        <v>Unloaded</v>
      </c>
      <c r="H213" s="674"/>
      <c r="I213" s="674"/>
    </row>
    <row r="214" spans="1:11" s="672" customFormat="1" x14ac:dyDescent="0.25">
      <c r="A214" s="669"/>
      <c r="B214" s="669"/>
      <c r="C214" s="669"/>
      <c r="D214" s="669" t="str">
        <f>D$52</f>
        <v>Forecast</v>
      </c>
      <c r="E214" s="669" t="str">
        <f t="shared" ref="E214:J214" si="16">E$52</f>
        <v>Corporate</v>
      </c>
      <c r="F214" s="669" t="str">
        <f t="shared" si="16"/>
        <v xml:space="preserve">Total </v>
      </c>
      <c r="G214" s="577" t="str">
        <f>G52</f>
        <v>Total</v>
      </c>
      <c r="H214" s="669" t="str">
        <f t="shared" si="16"/>
        <v>Prior Period</v>
      </c>
      <c r="I214" s="669" t="str">
        <f t="shared" si="16"/>
        <v>Over Heads</v>
      </c>
      <c r="J214" s="669" t="str">
        <f t="shared" si="16"/>
        <v>Forecast</v>
      </c>
      <c r="K214" s="577" t="str">
        <f>K$52</f>
        <v>Forecast Period</v>
      </c>
    </row>
    <row r="215" spans="1:11" s="672" customFormat="1" x14ac:dyDescent="0.25">
      <c r="A215" s="879" t="s">
        <v>360</v>
      </c>
      <c r="B215" s="636" t="s">
        <v>211</v>
      </c>
      <c r="C215" s="636" t="s">
        <v>212</v>
      </c>
      <c r="D215" s="667" t="str">
        <f>D$53</f>
        <v>Expenditures</v>
      </c>
      <c r="E215" s="667" t="str">
        <f t="shared" ref="E215:J215" si="17">E$53</f>
        <v>Overheads</v>
      </c>
      <c r="F215" s="667" t="str">
        <f t="shared" si="17"/>
        <v>CWIP Exp</v>
      </c>
      <c r="G215" s="3" t="str">
        <f>G53</f>
        <v>Plant Adds</v>
      </c>
      <c r="H215" s="667" t="str">
        <f t="shared" si="17"/>
        <v>CWIP Closed</v>
      </c>
      <c r="I215" s="667" t="str">
        <f t="shared" si="17"/>
        <v>Closed to PIS</v>
      </c>
      <c r="J215" s="667" t="str">
        <f t="shared" si="17"/>
        <v>Period CWIP</v>
      </c>
      <c r="K215" s="667" t="str">
        <f>K$53</f>
        <v>Incremental CWIP</v>
      </c>
    </row>
    <row r="216" spans="1:11" s="672" customFormat="1" x14ac:dyDescent="0.25">
      <c r="A216" s="103">
        <f>A210+1</f>
        <v>159</v>
      </c>
      <c r="B216" s="637" t="s">
        <v>199</v>
      </c>
      <c r="C216" s="979" t="s">
        <v>1562</v>
      </c>
      <c r="D216" s="676" t="s">
        <v>86</v>
      </c>
      <c r="E216" s="676" t="s">
        <v>86</v>
      </c>
      <c r="F216" s="676" t="s">
        <v>86</v>
      </c>
      <c r="G216" s="676" t="s">
        <v>86</v>
      </c>
      <c r="H216" s="676" t="s">
        <v>86</v>
      </c>
      <c r="I216" s="676" t="s">
        <v>86</v>
      </c>
      <c r="J216" s="61">
        <f>I25</f>
        <v>0</v>
      </c>
      <c r="K216" s="676" t="s">
        <v>86</v>
      </c>
    </row>
    <row r="217" spans="1:11" s="672" customFormat="1" x14ac:dyDescent="0.25">
      <c r="A217" s="103">
        <f>A216+1</f>
        <v>160</v>
      </c>
      <c r="B217" s="637" t="s">
        <v>200</v>
      </c>
      <c r="C217" s="979" t="s">
        <v>1562</v>
      </c>
      <c r="D217" s="977">
        <v>0</v>
      </c>
      <c r="E217" s="968">
        <v>0</v>
      </c>
      <c r="F217" s="968">
        <v>0</v>
      </c>
      <c r="G217" s="977">
        <v>0</v>
      </c>
      <c r="H217" s="977">
        <v>0</v>
      </c>
      <c r="I217" s="968">
        <v>0</v>
      </c>
      <c r="J217" s="968">
        <v>0</v>
      </c>
      <c r="K217" s="968">
        <v>0</v>
      </c>
    </row>
    <row r="218" spans="1:11" s="672" customFormat="1" x14ac:dyDescent="0.25">
      <c r="A218" s="103">
        <f t="shared" ref="A218:A241" si="18">A217+1</f>
        <v>161</v>
      </c>
      <c r="B218" s="639" t="s">
        <v>201</v>
      </c>
      <c r="C218" s="979" t="s">
        <v>1562</v>
      </c>
      <c r="D218" s="977">
        <v>0</v>
      </c>
      <c r="E218" s="968">
        <v>0</v>
      </c>
      <c r="F218" s="968">
        <v>0</v>
      </c>
      <c r="G218" s="977">
        <v>0</v>
      </c>
      <c r="H218" s="977">
        <v>0</v>
      </c>
      <c r="I218" s="968">
        <v>0</v>
      </c>
      <c r="J218" s="968">
        <v>0</v>
      </c>
      <c r="K218" s="968">
        <v>0</v>
      </c>
    </row>
    <row r="219" spans="1:11" s="672" customFormat="1" x14ac:dyDescent="0.25">
      <c r="A219" s="103">
        <f t="shared" si="18"/>
        <v>162</v>
      </c>
      <c r="B219" s="639" t="s">
        <v>214</v>
      </c>
      <c r="C219" s="979" t="s">
        <v>1562</v>
      </c>
      <c r="D219" s="977">
        <v>0</v>
      </c>
      <c r="E219" s="968">
        <v>0</v>
      </c>
      <c r="F219" s="968">
        <v>0</v>
      </c>
      <c r="G219" s="977">
        <v>0</v>
      </c>
      <c r="H219" s="977">
        <v>0</v>
      </c>
      <c r="I219" s="968">
        <v>0</v>
      </c>
      <c r="J219" s="968">
        <v>0</v>
      </c>
      <c r="K219" s="968">
        <v>0</v>
      </c>
    </row>
    <row r="220" spans="1:11" s="672" customFormat="1" x14ac:dyDescent="0.25">
      <c r="A220" s="103">
        <f t="shared" si="18"/>
        <v>163</v>
      </c>
      <c r="B220" s="637" t="s">
        <v>202</v>
      </c>
      <c r="C220" s="979" t="s">
        <v>1562</v>
      </c>
      <c r="D220" s="977">
        <v>0</v>
      </c>
      <c r="E220" s="968">
        <v>0</v>
      </c>
      <c r="F220" s="968">
        <v>0</v>
      </c>
      <c r="G220" s="977">
        <v>0</v>
      </c>
      <c r="H220" s="977">
        <v>0</v>
      </c>
      <c r="I220" s="968">
        <v>0</v>
      </c>
      <c r="J220" s="968">
        <v>0</v>
      </c>
      <c r="K220" s="968">
        <v>0</v>
      </c>
    </row>
    <row r="221" spans="1:11" s="672" customFormat="1" x14ac:dyDescent="0.25">
      <c r="A221" s="103">
        <f t="shared" si="18"/>
        <v>164</v>
      </c>
      <c r="B221" s="639" t="s">
        <v>203</v>
      </c>
      <c r="C221" s="979" t="s">
        <v>1562</v>
      </c>
      <c r="D221" s="977">
        <v>0</v>
      </c>
      <c r="E221" s="968">
        <v>0</v>
      </c>
      <c r="F221" s="968">
        <v>0</v>
      </c>
      <c r="G221" s="977">
        <v>0</v>
      </c>
      <c r="H221" s="977">
        <v>0</v>
      </c>
      <c r="I221" s="968">
        <v>0</v>
      </c>
      <c r="J221" s="968">
        <v>0</v>
      </c>
      <c r="K221" s="968">
        <v>0</v>
      </c>
    </row>
    <row r="222" spans="1:11" s="672" customFormat="1" x14ac:dyDescent="0.25">
      <c r="A222" s="103">
        <f t="shared" si="18"/>
        <v>165</v>
      </c>
      <c r="B222" s="639" t="s">
        <v>1662</v>
      </c>
      <c r="C222" s="979" t="s">
        <v>1562</v>
      </c>
      <c r="D222" s="977">
        <v>0</v>
      </c>
      <c r="E222" s="968">
        <v>0</v>
      </c>
      <c r="F222" s="968">
        <v>0</v>
      </c>
      <c r="G222" s="977">
        <v>0</v>
      </c>
      <c r="H222" s="977">
        <v>0</v>
      </c>
      <c r="I222" s="968">
        <v>0</v>
      </c>
      <c r="J222" s="968">
        <v>0</v>
      </c>
      <c r="K222" s="968">
        <v>0</v>
      </c>
    </row>
    <row r="223" spans="1:11" s="672" customFormat="1" x14ac:dyDescent="0.25">
      <c r="A223" s="103">
        <f t="shared" si="18"/>
        <v>166</v>
      </c>
      <c r="B223" s="637" t="s">
        <v>205</v>
      </c>
      <c r="C223" s="979" t="s">
        <v>1562</v>
      </c>
      <c r="D223" s="977">
        <v>0</v>
      </c>
      <c r="E223" s="968">
        <v>0</v>
      </c>
      <c r="F223" s="968">
        <v>0</v>
      </c>
      <c r="G223" s="977">
        <v>0</v>
      </c>
      <c r="H223" s="977">
        <v>0</v>
      </c>
      <c r="I223" s="968">
        <v>0</v>
      </c>
      <c r="J223" s="968">
        <v>0</v>
      </c>
      <c r="K223" s="968">
        <v>0</v>
      </c>
    </row>
    <row r="224" spans="1:11" s="672" customFormat="1" x14ac:dyDescent="0.25">
      <c r="A224" s="103">
        <f t="shared" si="18"/>
        <v>167</v>
      </c>
      <c r="B224" s="639" t="s">
        <v>206</v>
      </c>
      <c r="C224" s="979" t="s">
        <v>1562</v>
      </c>
      <c r="D224" s="977">
        <v>0</v>
      </c>
      <c r="E224" s="968">
        <v>0</v>
      </c>
      <c r="F224" s="968">
        <v>0</v>
      </c>
      <c r="G224" s="977">
        <v>0</v>
      </c>
      <c r="H224" s="977">
        <v>0</v>
      </c>
      <c r="I224" s="968">
        <v>0</v>
      </c>
      <c r="J224" s="968">
        <v>0</v>
      </c>
      <c r="K224" s="968">
        <v>0</v>
      </c>
    </row>
    <row r="225" spans="1:11" s="672" customFormat="1" x14ac:dyDescent="0.25">
      <c r="A225" s="103">
        <f t="shared" si="18"/>
        <v>168</v>
      </c>
      <c r="B225" s="639" t="s">
        <v>207</v>
      </c>
      <c r="C225" s="979" t="s">
        <v>1562</v>
      </c>
      <c r="D225" s="977">
        <v>0</v>
      </c>
      <c r="E225" s="968">
        <v>0</v>
      </c>
      <c r="F225" s="968">
        <v>0</v>
      </c>
      <c r="G225" s="977">
        <v>0</v>
      </c>
      <c r="H225" s="977">
        <v>0</v>
      </c>
      <c r="I225" s="968">
        <v>0</v>
      </c>
      <c r="J225" s="968">
        <v>0</v>
      </c>
      <c r="K225" s="968">
        <v>0</v>
      </c>
    </row>
    <row r="226" spans="1:11" s="672" customFormat="1" x14ac:dyDescent="0.25">
      <c r="A226" s="103">
        <f t="shared" si="18"/>
        <v>169</v>
      </c>
      <c r="B226" s="637" t="s">
        <v>210</v>
      </c>
      <c r="C226" s="979" t="s">
        <v>1562</v>
      </c>
      <c r="D226" s="977">
        <v>0</v>
      </c>
      <c r="E226" s="968">
        <v>0</v>
      </c>
      <c r="F226" s="968">
        <v>0</v>
      </c>
      <c r="G226" s="977">
        <v>0</v>
      </c>
      <c r="H226" s="977">
        <v>0</v>
      </c>
      <c r="I226" s="968">
        <v>0</v>
      </c>
      <c r="J226" s="968">
        <v>0</v>
      </c>
      <c r="K226" s="968">
        <v>0</v>
      </c>
    </row>
    <row r="227" spans="1:11" s="672" customFormat="1" x14ac:dyDescent="0.25">
      <c r="A227" s="103">
        <f t="shared" si="18"/>
        <v>170</v>
      </c>
      <c r="B227" s="637" t="s">
        <v>209</v>
      </c>
      <c r="C227" s="979" t="s">
        <v>1562</v>
      </c>
      <c r="D227" s="977">
        <v>0</v>
      </c>
      <c r="E227" s="968">
        <v>0</v>
      </c>
      <c r="F227" s="968">
        <v>0</v>
      </c>
      <c r="G227" s="977">
        <v>0</v>
      </c>
      <c r="H227" s="977">
        <v>0</v>
      </c>
      <c r="I227" s="968">
        <v>0</v>
      </c>
      <c r="J227" s="968">
        <v>0</v>
      </c>
      <c r="K227" s="968">
        <v>0</v>
      </c>
    </row>
    <row r="228" spans="1:11" s="672" customFormat="1" x14ac:dyDescent="0.25">
      <c r="A228" s="103">
        <f t="shared" si="18"/>
        <v>171</v>
      </c>
      <c r="B228" s="637" t="s">
        <v>199</v>
      </c>
      <c r="C228" s="979" t="s">
        <v>1562</v>
      </c>
      <c r="D228" s="977">
        <v>0</v>
      </c>
      <c r="E228" s="968">
        <v>0</v>
      </c>
      <c r="F228" s="968">
        <v>0</v>
      </c>
      <c r="G228" s="977">
        <v>0</v>
      </c>
      <c r="H228" s="977">
        <v>0</v>
      </c>
      <c r="I228" s="968">
        <v>0</v>
      </c>
      <c r="J228" s="968">
        <v>0</v>
      </c>
      <c r="K228" s="968">
        <v>0</v>
      </c>
    </row>
    <row r="229" spans="1:11" s="672" customFormat="1" x14ac:dyDescent="0.25">
      <c r="A229" s="103">
        <f t="shared" si="18"/>
        <v>172</v>
      </c>
      <c r="B229" s="637" t="s">
        <v>200</v>
      </c>
      <c r="C229" s="979" t="s">
        <v>1562</v>
      </c>
      <c r="D229" s="977">
        <v>0</v>
      </c>
      <c r="E229" s="968">
        <v>0</v>
      </c>
      <c r="F229" s="968">
        <v>0</v>
      </c>
      <c r="G229" s="977">
        <v>0</v>
      </c>
      <c r="H229" s="977">
        <v>0</v>
      </c>
      <c r="I229" s="968">
        <v>0</v>
      </c>
      <c r="J229" s="968">
        <v>0</v>
      </c>
      <c r="K229" s="968">
        <v>0</v>
      </c>
    </row>
    <row r="230" spans="1:11" s="672" customFormat="1" x14ac:dyDescent="0.25">
      <c r="A230" s="103">
        <f t="shared" si="18"/>
        <v>173</v>
      </c>
      <c r="B230" s="639" t="s">
        <v>201</v>
      </c>
      <c r="C230" s="979" t="s">
        <v>1562</v>
      </c>
      <c r="D230" s="977">
        <v>0</v>
      </c>
      <c r="E230" s="968">
        <v>0</v>
      </c>
      <c r="F230" s="968">
        <v>0</v>
      </c>
      <c r="G230" s="977">
        <v>0</v>
      </c>
      <c r="H230" s="977">
        <v>0</v>
      </c>
      <c r="I230" s="968">
        <v>0</v>
      </c>
      <c r="J230" s="968">
        <v>0</v>
      </c>
      <c r="K230" s="968">
        <v>0</v>
      </c>
    </row>
    <row r="231" spans="1:11" s="672" customFormat="1" x14ac:dyDescent="0.25">
      <c r="A231" s="103">
        <f t="shared" si="18"/>
        <v>174</v>
      </c>
      <c r="B231" s="639" t="s">
        <v>214</v>
      </c>
      <c r="C231" s="979" t="s">
        <v>1562</v>
      </c>
      <c r="D231" s="977">
        <v>0</v>
      </c>
      <c r="E231" s="968">
        <v>0</v>
      </c>
      <c r="F231" s="968">
        <v>0</v>
      </c>
      <c r="G231" s="977">
        <v>0</v>
      </c>
      <c r="H231" s="977">
        <v>0</v>
      </c>
      <c r="I231" s="968">
        <v>0</v>
      </c>
      <c r="J231" s="968">
        <v>0</v>
      </c>
      <c r="K231" s="968">
        <v>0</v>
      </c>
    </row>
    <row r="232" spans="1:11" s="672" customFormat="1" x14ac:dyDescent="0.25">
      <c r="A232" s="103">
        <f t="shared" si="18"/>
        <v>175</v>
      </c>
      <c r="B232" s="637" t="s">
        <v>202</v>
      </c>
      <c r="C232" s="979" t="s">
        <v>1562</v>
      </c>
      <c r="D232" s="977">
        <v>0</v>
      </c>
      <c r="E232" s="968">
        <v>0</v>
      </c>
      <c r="F232" s="968">
        <v>0</v>
      </c>
      <c r="G232" s="977">
        <v>0</v>
      </c>
      <c r="H232" s="977">
        <v>0</v>
      </c>
      <c r="I232" s="968">
        <v>0</v>
      </c>
      <c r="J232" s="968">
        <v>0</v>
      </c>
      <c r="K232" s="968">
        <v>0</v>
      </c>
    </row>
    <row r="233" spans="1:11" s="672" customFormat="1" x14ac:dyDescent="0.25">
      <c r="A233" s="103">
        <f t="shared" si="18"/>
        <v>176</v>
      </c>
      <c r="B233" s="639" t="s">
        <v>203</v>
      </c>
      <c r="C233" s="979" t="s">
        <v>1562</v>
      </c>
      <c r="D233" s="977">
        <v>0</v>
      </c>
      <c r="E233" s="968">
        <v>0</v>
      </c>
      <c r="F233" s="968">
        <v>0</v>
      </c>
      <c r="G233" s="977">
        <v>0</v>
      </c>
      <c r="H233" s="977">
        <v>0</v>
      </c>
      <c r="I233" s="968">
        <v>0</v>
      </c>
      <c r="J233" s="968">
        <v>0</v>
      </c>
      <c r="K233" s="968">
        <v>0</v>
      </c>
    </row>
    <row r="234" spans="1:11" s="672" customFormat="1" x14ac:dyDescent="0.25">
      <c r="A234" s="103">
        <f t="shared" si="18"/>
        <v>177</v>
      </c>
      <c r="B234" s="639" t="s">
        <v>1662</v>
      </c>
      <c r="C234" s="979" t="s">
        <v>1562</v>
      </c>
      <c r="D234" s="977">
        <v>0</v>
      </c>
      <c r="E234" s="968">
        <v>0</v>
      </c>
      <c r="F234" s="968">
        <v>0</v>
      </c>
      <c r="G234" s="977">
        <v>0</v>
      </c>
      <c r="H234" s="977">
        <v>0</v>
      </c>
      <c r="I234" s="968">
        <v>0</v>
      </c>
      <c r="J234" s="968">
        <v>0</v>
      </c>
      <c r="K234" s="968">
        <v>0</v>
      </c>
    </row>
    <row r="235" spans="1:11" s="672" customFormat="1" x14ac:dyDescent="0.25">
      <c r="A235" s="103">
        <f t="shared" si="18"/>
        <v>178</v>
      </c>
      <c r="B235" s="637" t="s">
        <v>205</v>
      </c>
      <c r="C235" s="979" t="s">
        <v>1562</v>
      </c>
      <c r="D235" s="977">
        <v>0</v>
      </c>
      <c r="E235" s="968">
        <v>0</v>
      </c>
      <c r="F235" s="968">
        <v>0</v>
      </c>
      <c r="G235" s="977">
        <v>0</v>
      </c>
      <c r="H235" s="977">
        <v>0</v>
      </c>
      <c r="I235" s="968">
        <v>0</v>
      </c>
      <c r="J235" s="968">
        <v>0</v>
      </c>
      <c r="K235" s="968">
        <v>0</v>
      </c>
    </row>
    <row r="236" spans="1:11" s="672" customFormat="1" x14ac:dyDescent="0.25">
      <c r="A236" s="103">
        <f t="shared" si="18"/>
        <v>179</v>
      </c>
      <c r="B236" s="639" t="s">
        <v>206</v>
      </c>
      <c r="C236" s="979" t="s">
        <v>1562</v>
      </c>
      <c r="D236" s="977">
        <v>0</v>
      </c>
      <c r="E236" s="968">
        <v>0</v>
      </c>
      <c r="F236" s="968">
        <v>0</v>
      </c>
      <c r="G236" s="977">
        <v>0</v>
      </c>
      <c r="H236" s="977">
        <v>0</v>
      </c>
      <c r="I236" s="968">
        <v>0</v>
      </c>
      <c r="J236" s="968">
        <v>0</v>
      </c>
      <c r="K236" s="968">
        <v>0</v>
      </c>
    </row>
    <row r="237" spans="1:11" s="672" customFormat="1" x14ac:dyDescent="0.25">
      <c r="A237" s="103">
        <f t="shared" si="18"/>
        <v>180</v>
      </c>
      <c r="B237" s="639" t="s">
        <v>207</v>
      </c>
      <c r="C237" s="979" t="s">
        <v>1562</v>
      </c>
      <c r="D237" s="977">
        <v>0</v>
      </c>
      <c r="E237" s="968">
        <v>0</v>
      </c>
      <c r="F237" s="968">
        <v>0</v>
      </c>
      <c r="G237" s="977">
        <v>0</v>
      </c>
      <c r="H237" s="977">
        <v>0</v>
      </c>
      <c r="I237" s="968">
        <v>0</v>
      </c>
      <c r="J237" s="968">
        <v>0</v>
      </c>
      <c r="K237" s="968">
        <v>0</v>
      </c>
    </row>
    <row r="238" spans="1:11" s="672" customFormat="1" x14ac:dyDescent="0.25">
      <c r="A238" s="103">
        <f t="shared" si="18"/>
        <v>181</v>
      </c>
      <c r="B238" s="639" t="s">
        <v>210</v>
      </c>
      <c r="C238" s="979" t="s">
        <v>1562</v>
      </c>
      <c r="D238" s="977">
        <v>0</v>
      </c>
      <c r="E238" s="968">
        <v>0</v>
      </c>
      <c r="F238" s="968">
        <v>0</v>
      </c>
      <c r="G238" s="977">
        <v>0</v>
      </c>
      <c r="H238" s="977">
        <v>0</v>
      </c>
      <c r="I238" s="968">
        <v>0</v>
      </c>
      <c r="J238" s="968">
        <v>0</v>
      </c>
      <c r="K238" s="968">
        <v>0</v>
      </c>
    </row>
    <row r="239" spans="1:11" s="672" customFormat="1" x14ac:dyDescent="0.25">
      <c r="A239" s="103">
        <f t="shared" si="18"/>
        <v>182</v>
      </c>
      <c r="B239" s="639" t="s">
        <v>209</v>
      </c>
      <c r="C239" s="979" t="s">
        <v>1562</v>
      </c>
      <c r="D239" s="977">
        <v>0</v>
      </c>
      <c r="E239" s="968">
        <v>0</v>
      </c>
      <c r="F239" s="968">
        <v>0</v>
      </c>
      <c r="G239" s="977">
        <v>0</v>
      </c>
      <c r="H239" s="977">
        <v>0</v>
      </c>
      <c r="I239" s="968">
        <v>0</v>
      </c>
      <c r="J239" s="968">
        <v>0</v>
      </c>
      <c r="K239" s="968">
        <v>0</v>
      </c>
    </row>
    <row r="240" spans="1:11" s="672" customFormat="1" ht="15" x14ac:dyDescent="0.4">
      <c r="A240" s="103">
        <f t="shared" si="18"/>
        <v>183</v>
      </c>
      <c r="B240" s="639" t="s">
        <v>199</v>
      </c>
      <c r="C240" s="979" t="s">
        <v>1562</v>
      </c>
      <c r="D240" s="977">
        <v>0</v>
      </c>
      <c r="E240" s="968">
        <v>0</v>
      </c>
      <c r="F240" s="968">
        <v>0</v>
      </c>
      <c r="G240" s="977">
        <v>0</v>
      </c>
      <c r="H240" s="977">
        <v>0</v>
      </c>
      <c r="I240" s="968">
        <v>0</v>
      </c>
      <c r="J240" s="968">
        <v>0</v>
      </c>
      <c r="K240" s="969">
        <v>0</v>
      </c>
    </row>
    <row r="241" spans="1:11" s="672" customFormat="1" x14ac:dyDescent="0.25">
      <c r="A241" s="103">
        <f t="shared" si="18"/>
        <v>184</v>
      </c>
      <c r="B241"/>
      <c r="C241" s="671" t="s">
        <v>1837</v>
      </c>
      <c r="D241"/>
      <c r="E241"/>
      <c r="F241"/>
      <c r="G241"/>
      <c r="H241"/>
      <c r="I241"/>
      <c r="J241"/>
      <c r="K241" s="985">
        <v>0</v>
      </c>
    </row>
    <row r="242" spans="1:11" s="672" customFormat="1" x14ac:dyDescent="0.25">
      <c r="A242" s="103"/>
      <c r="B242"/>
      <c r="C242" s="671"/>
      <c r="D242"/>
      <c r="E242"/>
      <c r="F242"/>
      <c r="G242"/>
      <c r="H242"/>
      <c r="I242"/>
      <c r="J242"/>
      <c r="K242" s="74"/>
    </row>
    <row r="243" spans="1:11" s="672" customFormat="1" x14ac:dyDescent="0.25">
      <c r="B243" s="673" t="s">
        <v>2344</v>
      </c>
      <c r="D243" s="1113" t="s">
        <v>2345</v>
      </c>
      <c r="E243" s="1113"/>
    </row>
    <row r="244" spans="1:11" s="672" customFormat="1" x14ac:dyDescent="0.25">
      <c r="A244" s="667"/>
      <c r="B244" s="667"/>
      <c r="C244" s="667"/>
      <c r="D244" s="667" t="s">
        <v>394</v>
      </c>
      <c r="E244" s="667" t="s">
        <v>378</v>
      </c>
      <c r="F244" s="667" t="s">
        <v>379</v>
      </c>
      <c r="G244" s="667" t="s">
        <v>380</v>
      </c>
      <c r="H244" s="667" t="s">
        <v>381</v>
      </c>
      <c r="I244" s="667" t="s">
        <v>382</v>
      </c>
      <c r="J244" s="667" t="s">
        <v>383</v>
      </c>
      <c r="K244" s="667" t="s">
        <v>595</v>
      </c>
    </row>
    <row r="245" spans="1:11" s="672" customFormat="1" ht="39.6" x14ac:dyDescent="0.25">
      <c r="D245" s="674"/>
      <c r="E245" s="675" t="s">
        <v>2584</v>
      </c>
      <c r="F245" s="676" t="s">
        <v>2335</v>
      </c>
      <c r="G245" s="475"/>
      <c r="H245" s="674"/>
      <c r="I245" s="675" t="s">
        <v>2585</v>
      </c>
      <c r="J245" s="675" t="s">
        <v>2336</v>
      </c>
      <c r="K245" s="675" t="s">
        <v>2337</v>
      </c>
    </row>
    <row r="246" spans="1:11" s="672" customFormat="1" x14ac:dyDescent="0.25">
      <c r="D246" s="674"/>
      <c r="E246" s="674"/>
      <c r="F246" s="674"/>
      <c r="G246" s="577" t="s">
        <v>2346</v>
      </c>
      <c r="H246" s="674"/>
      <c r="I246" s="674"/>
    </row>
    <row r="247" spans="1:11" s="672" customFormat="1" x14ac:dyDescent="0.25">
      <c r="A247" s="669"/>
      <c r="B247" s="669"/>
      <c r="C247" s="669"/>
      <c r="D247" s="669" t="str">
        <f>D$52</f>
        <v>Forecast</v>
      </c>
      <c r="E247" s="669" t="str">
        <f t="shared" ref="E247:J247" si="19">E$52</f>
        <v>Corporate</v>
      </c>
      <c r="F247" s="669" t="str">
        <f t="shared" si="19"/>
        <v xml:space="preserve">Total </v>
      </c>
      <c r="G247" s="669" t="s">
        <v>215</v>
      </c>
      <c r="H247" s="669" t="str">
        <f t="shared" si="19"/>
        <v>Prior Period</v>
      </c>
      <c r="I247" s="669" t="str">
        <f t="shared" si="19"/>
        <v>Over Heads</v>
      </c>
      <c r="J247" s="669" t="str">
        <f t="shared" si="19"/>
        <v>Forecast</v>
      </c>
      <c r="K247" s="577" t="str">
        <f>K$52</f>
        <v>Forecast Period</v>
      </c>
    </row>
    <row r="248" spans="1:11" s="672" customFormat="1" x14ac:dyDescent="0.25">
      <c r="A248" s="879" t="s">
        <v>360</v>
      </c>
      <c r="B248" s="636" t="s">
        <v>211</v>
      </c>
      <c r="C248" s="636" t="s">
        <v>212</v>
      </c>
      <c r="D248" s="667" t="str">
        <f>D$53</f>
        <v>Expenditures</v>
      </c>
      <c r="E248" s="667" t="str">
        <f t="shared" ref="E248:J248" si="20">E$53</f>
        <v>Overheads</v>
      </c>
      <c r="F248" s="667" t="str">
        <f t="shared" si="20"/>
        <v>CWIP Exp</v>
      </c>
      <c r="G248" s="667" t="s">
        <v>2328</v>
      </c>
      <c r="H248" s="667" t="str">
        <f t="shared" si="20"/>
        <v>CWIP Closed</v>
      </c>
      <c r="I248" s="667" t="str">
        <f t="shared" si="20"/>
        <v>Closed to PIS</v>
      </c>
      <c r="J248" s="667" t="str">
        <f t="shared" si="20"/>
        <v>Period CWIP</v>
      </c>
      <c r="K248" s="667" t="str">
        <f>K$53</f>
        <v>Incremental CWIP</v>
      </c>
    </row>
    <row r="249" spans="1:11" s="672" customFormat="1" x14ac:dyDescent="0.25">
      <c r="A249" s="103">
        <f>A241+1</f>
        <v>185</v>
      </c>
      <c r="B249" s="637" t="s">
        <v>199</v>
      </c>
      <c r="C249" s="979" t="s">
        <v>1562</v>
      </c>
      <c r="D249" s="676" t="s">
        <v>86</v>
      </c>
      <c r="E249" s="676" t="s">
        <v>86</v>
      </c>
      <c r="F249" s="676" t="s">
        <v>86</v>
      </c>
      <c r="G249" s="676" t="s">
        <v>86</v>
      </c>
      <c r="H249" s="676" t="s">
        <v>86</v>
      </c>
      <c r="I249" s="676" t="s">
        <v>86</v>
      </c>
      <c r="J249" s="61">
        <f>D45</f>
        <v>0</v>
      </c>
      <c r="K249" s="676" t="s">
        <v>86</v>
      </c>
    </row>
    <row r="250" spans="1:11" s="672" customFormat="1" x14ac:dyDescent="0.25">
      <c r="A250" s="103">
        <f>A249+1</f>
        <v>186</v>
      </c>
      <c r="B250" s="637" t="s">
        <v>200</v>
      </c>
      <c r="C250" s="979" t="s">
        <v>1562</v>
      </c>
      <c r="D250" s="977">
        <v>0</v>
      </c>
      <c r="E250" s="968">
        <v>0</v>
      </c>
      <c r="F250" s="968">
        <v>0</v>
      </c>
      <c r="G250" s="977">
        <v>0</v>
      </c>
      <c r="H250" s="977">
        <v>0</v>
      </c>
      <c r="I250" s="968">
        <v>0</v>
      </c>
      <c r="J250" s="968">
        <v>0</v>
      </c>
      <c r="K250" s="968">
        <v>0</v>
      </c>
    </row>
    <row r="251" spans="1:11" s="672" customFormat="1" x14ac:dyDescent="0.25">
      <c r="A251" s="103">
        <f t="shared" ref="A251:A274" si="21">A250+1</f>
        <v>187</v>
      </c>
      <c r="B251" s="639" t="s">
        <v>201</v>
      </c>
      <c r="C251" s="979" t="s">
        <v>1562</v>
      </c>
      <c r="D251" s="977">
        <v>0</v>
      </c>
      <c r="E251" s="968">
        <v>0</v>
      </c>
      <c r="F251" s="968">
        <v>0</v>
      </c>
      <c r="G251" s="977">
        <v>0</v>
      </c>
      <c r="H251" s="977">
        <v>0</v>
      </c>
      <c r="I251" s="968">
        <v>0</v>
      </c>
      <c r="J251" s="968">
        <v>0</v>
      </c>
      <c r="K251" s="968">
        <v>0</v>
      </c>
    </row>
    <row r="252" spans="1:11" s="672" customFormat="1" x14ac:dyDescent="0.25">
      <c r="A252" s="103">
        <f t="shared" si="21"/>
        <v>188</v>
      </c>
      <c r="B252" s="639" t="s">
        <v>214</v>
      </c>
      <c r="C252" s="979" t="s">
        <v>1562</v>
      </c>
      <c r="D252" s="977">
        <v>0</v>
      </c>
      <c r="E252" s="968">
        <v>0</v>
      </c>
      <c r="F252" s="968">
        <v>0</v>
      </c>
      <c r="G252" s="977">
        <v>0</v>
      </c>
      <c r="H252" s="977">
        <v>0</v>
      </c>
      <c r="I252" s="968">
        <v>0</v>
      </c>
      <c r="J252" s="968">
        <v>0</v>
      </c>
      <c r="K252" s="968">
        <v>0</v>
      </c>
    </row>
    <row r="253" spans="1:11" s="672" customFormat="1" x14ac:dyDescent="0.25">
      <c r="A253" s="103">
        <f t="shared" si="21"/>
        <v>189</v>
      </c>
      <c r="B253" s="637" t="s">
        <v>202</v>
      </c>
      <c r="C253" s="979" t="s">
        <v>1562</v>
      </c>
      <c r="D253" s="977">
        <v>0</v>
      </c>
      <c r="E253" s="968">
        <v>0</v>
      </c>
      <c r="F253" s="968">
        <v>0</v>
      </c>
      <c r="G253" s="977">
        <v>0</v>
      </c>
      <c r="H253" s="977">
        <v>0</v>
      </c>
      <c r="I253" s="968">
        <v>0</v>
      </c>
      <c r="J253" s="968">
        <v>0</v>
      </c>
      <c r="K253" s="968">
        <v>0</v>
      </c>
    </row>
    <row r="254" spans="1:11" s="672" customFormat="1" x14ac:dyDescent="0.25">
      <c r="A254" s="103">
        <f t="shared" si="21"/>
        <v>190</v>
      </c>
      <c r="B254" s="639" t="s">
        <v>203</v>
      </c>
      <c r="C254" s="979" t="s">
        <v>1562</v>
      </c>
      <c r="D254" s="977">
        <v>0</v>
      </c>
      <c r="E254" s="968">
        <v>0</v>
      </c>
      <c r="F254" s="968">
        <v>0</v>
      </c>
      <c r="G254" s="977">
        <v>0</v>
      </c>
      <c r="H254" s="977">
        <v>0</v>
      </c>
      <c r="I254" s="968">
        <v>0</v>
      </c>
      <c r="J254" s="968">
        <v>0</v>
      </c>
      <c r="K254" s="968">
        <v>0</v>
      </c>
    </row>
    <row r="255" spans="1:11" s="672" customFormat="1" x14ac:dyDescent="0.25">
      <c r="A255" s="103">
        <f t="shared" si="21"/>
        <v>191</v>
      </c>
      <c r="B255" s="639" t="s">
        <v>1662</v>
      </c>
      <c r="C255" s="979" t="s">
        <v>1562</v>
      </c>
      <c r="D255" s="977">
        <v>0</v>
      </c>
      <c r="E255" s="968">
        <v>0</v>
      </c>
      <c r="F255" s="968">
        <v>0</v>
      </c>
      <c r="G255" s="977">
        <v>0</v>
      </c>
      <c r="H255" s="977">
        <v>0</v>
      </c>
      <c r="I255" s="968">
        <v>0</v>
      </c>
      <c r="J255" s="968">
        <v>0</v>
      </c>
      <c r="K255" s="968">
        <v>0</v>
      </c>
    </row>
    <row r="256" spans="1:11" s="672" customFormat="1" x14ac:dyDescent="0.25">
      <c r="A256" s="103">
        <f t="shared" si="21"/>
        <v>192</v>
      </c>
      <c r="B256" s="637" t="s">
        <v>205</v>
      </c>
      <c r="C256" s="979" t="s">
        <v>1562</v>
      </c>
      <c r="D256" s="977">
        <v>0</v>
      </c>
      <c r="E256" s="968">
        <v>0</v>
      </c>
      <c r="F256" s="968">
        <v>0</v>
      </c>
      <c r="G256" s="977">
        <v>0</v>
      </c>
      <c r="H256" s="977">
        <v>0</v>
      </c>
      <c r="I256" s="968">
        <v>0</v>
      </c>
      <c r="J256" s="968">
        <v>0</v>
      </c>
      <c r="K256" s="968">
        <v>0</v>
      </c>
    </row>
    <row r="257" spans="1:11" s="672" customFormat="1" x14ac:dyDescent="0.25">
      <c r="A257" s="103">
        <f t="shared" si="21"/>
        <v>193</v>
      </c>
      <c r="B257" s="639" t="s">
        <v>206</v>
      </c>
      <c r="C257" s="979" t="s">
        <v>1562</v>
      </c>
      <c r="D257" s="977">
        <v>0</v>
      </c>
      <c r="E257" s="968">
        <v>0</v>
      </c>
      <c r="F257" s="968">
        <v>0</v>
      </c>
      <c r="G257" s="977">
        <v>0</v>
      </c>
      <c r="H257" s="977">
        <v>0</v>
      </c>
      <c r="I257" s="968">
        <v>0</v>
      </c>
      <c r="J257" s="968">
        <v>0</v>
      </c>
      <c r="K257" s="968">
        <v>0</v>
      </c>
    </row>
    <row r="258" spans="1:11" s="672" customFormat="1" x14ac:dyDescent="0.25">
      <c r="A258" s="103">
        <f t="shared" si="21"/>
        <v>194</v>
      </c>
      <c r="B258" s="639" t="s">
        <v>207</v>
      </c>
      <c r="C258" s="979" t="s">
        <v>1562</v>
      </c>
      <c r="D258" s="977">
        <v>0</v>
      </c>
      <c r="E258" s="968">
        <v>0</v>
      </c>
      <c r="F258" s="968">
        <v>0</v>
      </c>
      <c r="G258" s="977">
        <v>0</v>
      </c>
      <c r="H258" s="977">
        <v>0</v>
      </c>
      <c r="I258" s="968">
        <v>0</v>
      </c>
      <c r="J258" s="968">
        <v>0</v>
      </c>
      <c r="K258" s="968">
        <v>0</v>
      </c>
    </row>
    <row r="259" spans="1:11" s="672" customFormat="1" x14ac:dyDescent="0.25">
      <c r="A259" s="103">
        <f t="shared" si="21"/>
        <v>195</v>
      </c>
      <c r="B259" s="637" t="s">
        <v>210</v>
      </c>
      <c r="C259" s="979" t="s">
        <v>1562</v>
      </c>
      <c r="D259" s="977">
        <v>0</v>
      </c>
      <c r="E259" s="968">
        <v>0</v>
      </c>
      <c r="F259" s="968">
        <v>0</v>
      </c>
      <c r="G259" s="977">
        <v>0</v>
      </c>
      <c r="H259" s="977">
        <v>0</v>
      </c>
      <c r="I259" s="968">
        <v>0</v>
      </c>
      <c r="J259" s="968">
        <v>0</v>
      </c>
      <c r="K259" s="968">
        <v>0</v>
      </c>
    </row>
    <row r="260" spans="1:11" s="672" customFormat="1" x14ac:dyDescent="0.25">
      <c r="A260" s="103">
        <f t="shared" si="21"/>
        <v>196</v>
      </c>
      <c r="B260" s="637" t="s">
        <v>209</v>
      </c>
      <c r="C260" s="979" t="s">
        <v>1562</v>
      </c>
      <c r="D260" s="977">
        <v>0</v>
      </c>
      <c r="E260" s="968">
        <v>0</v>
      </c>
      <c r="F260" s="968">
        <v>0</v>
      </c>
      <c r="G260" s="977">
        <v>0</v>
      </c>
      <c r="H260" s="977">
        <v>0</v>
      </c>
      <c r="I260" s="968">
        <v>0</v>
      </c>
      <c r="J260" s="968">
        <v>0</v>
      </c>
      <c r="K260" s="968">
        <v>0</v>
      </c>
    </row>
    <row r="261" spans="1:11" s="672" customFormat="1" x14ac:dyDescent="0.25">
      <c r="A261" s="103">
        <f t="shared" si="21"/>
        <v>197</v>
      </c>
      <c r="B261" s="637" t="s">
        <v>199</v>
      </c>
      <c r="C261" s="979" t="s">
        <v>1562</v>
      </c>
      <c r="D261" s="977">
        <v>0</v>
      </c>
      <c r="E261" s="968">
        <v>0</v>
      </c>
      <c r="F261" s="968">
        <v>0</v>
      </c>
      <c r="G261" s="977">
        <v>0</v>
      </c>
      <c r="H261" s="977">
        <v>0</v>
      </c>
      <c r="I261" s="968">
        <v>0</v>
      </c>
      <c r="J261" s="968">
        <v>0</v>
      </c>
      <c r="K261" s="968">
        <v>0</v>
      </c>
    </row>
    <row r="262" spans="1:11" s="672" customFormat="1" x14ac:dyDescent="0.25">
      <c r="A262" s="103">
        <f t="shared" si="21"/>
        <v>198</v>
      </c>
      <c r="B262" s="637" t="s">
        <v>200</v>
      </c>
      <c r="C262" s="979" t="s">
        <v>1562</v>
      </c>
      <c r="D262" s="977">
        <v>0</v>
      </c>
      <c r="E262" s="968">
        <v>0</v>
      </c>
      <c r="F262" s="968">
        <v>0</v>
      </c>
      <c r="G262" s="977">
        <v>0</v>
      </c>
      <c r="H262" s="977">
        <v>0</v>
      </c>
      <c r="I262" s="968">
        <v>0</v>
      </c>
      <c r="J262" s="968">
        <v>0</v>
      </c>
      <c r="K262" s="968">
        <v>0</v>
      </c>
    </row>
    <row r="263" spans="1:11" s="672" customFormat="1" x14ac:dyDescent="0.25">
      <c r="A263" s="103">
        <f t="shared" si="21"/>
        <v>199</v>
      </c>
      <c r="B263" s="639" t="s">
        <v>201</v>
      </c>
      <c r="C263" s="979" t="s">
        <v>1562</v>
      </c>
      <c r="D263" s="977">
        <v>0</v>
      </c>
      <c r="E263" s="968">
        <v>0</v>
      </c>
      <c r="F263" s="968">
        <v>0</v>
      </c>
      <c r="G263" s="977">
        <v>0</v>
      </c>
      <c r="H263" s="977">
        <v>0</v>
      </c>
      <c r="I263" s="968">
        <v>0</v>
      </c>
      <c r="J263" s="968">
        <v>0</v>
      </c>
      <c r="K263" s="968">
        <v>0</v>
      </c>
    </row>
    <row r="264" spans="1:11" s="672" customFormat="1" x14ac:dyDescent="0.25">
      <c r="A264" s="103">
        <f t="shared" si="21"/>
        <v>200</v>
      </c>
      <c r="B264" s="639" t="s">
        <v>214</v>
      </c>
      <c r="C264" s="979" t="s">
        <v>1562</v>
      </c>
      <c r="D264" s="977">
        <v>0</v>
      </c>
      <c r="E264" s="968">
        <v>0</v>
      </c>
      <c r="F264" s="968">
        <v>0</v>
      </c>
      <c r="G264" s="977">
        <v>0</v>
      </c>
      <c r="H264" s="977">
        <v>0</v>
      </c>
      <c r="I264" s="968">
        <v>0</v>
      </c>
      <c r="J264" s="968">
        <v>0</v>
      </c>
      <c r="K264" s="968">
        <v>0</v>
      </c>
    </row>
    <row r="265" spans="1:11" s="672" customFormat="1" x14ac:dyDescent="0.25">
      <c r="A265" s="103">
        <f t="shared" si="21"/>
        <v>201</v>
      </c>
      <c r="B265" s="637" t="s">
        <v>202</v>
      </c>
      <c r="C265" s="979" t="s">
        <v>1562</v>
      </c>
      <c r="D265" s="977">
        <v>0</v>
      </c>
      <c r="E265" s="968">
        <v>0</v>
      </c>
      <c r="F265" s="968">
        <v>0</v>
      </c>
      <c r="G265" s="977">
        <v>0</v>
      </c>
      <c r="H265" s="977">
        <v>0</v>
      </c>
      <c r="I265" s="968">
        <v>0</v>
      </c>
      <c r="J265" s="968">
        <v>0</v>
      </c>
      <c r="K265" s="968">
        <v>0</v>
      </c>
    </row>
    <row r="266" spans="1:11" s="672" customFormat="1" x14ac:dyDescent="0.25">
      <c r="A266" s="103">
        <f t="shared" si="21"/>
        <v>202</v>
      </c>
      <c r="B266" s="639" t="s">
        <v>203</v>
      </c>
      <c r="C266" s="979" t="s">
        <v>1562</v>
      </c>
      <c r="D266" s="977">
        <v>0</v>
      </c>
      <c r="E266" s="968">
        <v>0</v>
      </c>
      <c r="F266" s="968">
        <v>0</v>
      </c>
      <c r="G266" s="977">
        <v>0</v>
      </c>
      <c r="H266" s="977">
        <v>0</v>
      </c>
      <c r="I266" s="968">
        <v>0</v>
      </c>
      <c r="J266" s="968">
        <v>0</v>
      </c>
      <c r="K266" s="968">
        <v>0</v>
      </c>
    </row>
    <row r="267" spans="1:11" s="672" customFormat="1" x14ac:dyDescent="0.25">
      <c r="A267" s="103">
        <f t="shared" si="21"/>
        <v>203</v>
      </c>
      <c r="B267" s="639" t="s">
        <v>1662</v>
      </c>
      <c r="C267" s="979" t="s">
        <v>1562</v>
      </c>
      <c r="D267" s="977">
        <v>0</v>
      </c>
      <c r="E267" s="968">
        <v>0</v>
      </c>
      <c r="F267" s="968">
        <v>0</v>
      </c>
      <c r="G267" s="977">
        <v>0</v>
      </c>
      <c r="H267" s="977">
        <v>0</v>
      </c>
      <c r="I267" s="968">
        <v>0</v>
      </c>
      <c r="J267" s="968">
        <v>0</v>
      </c>
      <c r="K267" s="968">
        <v>0</v>
      </c>
    </row>
    <row r="268" spans="1:11" s="672" customFormat="1" x14ac:dyDescent="0.25">
      <c r="A268" s="103">
        <f t="shared" si="21"/>
        <v>204</v>
      </c>
      <c r="B268" s="637" t="s">
        <v>205</v>
      </c>
      <c r="C268" s="979" t="s">
        <v>1562</v>
      </c>
      <c r="D268" s="977">
        <v>0</v>
      </c>
      <c r="E268" s="968">
        <v>0</v>
      </c>
      <c r="F268" s="968">
        <v>0</v>
      </c>
      <c r="G268" s="977">
        <v>0</v>
      </c>
      <c r="H268" s="977">
        <v>0</v>
      </c>
      <c r="I268" s="968">
        <v>0</v>
      </c>
      <c r="J268" s="968">
        <v>0</v>
      </c>
      <c r="K268" s="968">
        <v>0</v>
      </c>
    </row>
    <row r="269" spans="1:11" s="672" customFormat="1" x14ac:dyDescent="0.25">
      <c r="A269" s="103">
        <f t="shared" si="21"/>
        <v>205</v>
      </c>
      <c r="B269" s="639" t="s">
        <v>206</v>
      </c>
      <c r="C269" s="979" t="s">
        <v>1562</v>
      </c>
      <c r="D269" s="977">
        <v>0</v>
      </c>
      <c r="E269" s="968">
        <v>0</v>
      </c>
      <c r="F269" s="968">
        <v>0</v>
      </c>
      <c r="G269" s="977">
        <v>0</v>
      </c>
      <c r="H269" s="977">
        <v>0</v>
      </c>
      <c r="I269" s="968">
        <v>0</v>
      </c>
      <c r="J269" s="968">
        <v>0</v>
      </c>
      <c r="K269" s="968">
        <v>0</v>
      </c>
    </row>
    <row r="270" spans="1:11" s="672" customFormat="1" x14ac:dyDescent="0.25">
      <c r="A270" s="103">
        <f t="shared" si="21"/>
        <v>206</v>
      </c>
      <c r="B270" s="639" t="s">
        <v>207</v>
      </c>
      <c r="C270" s="979" t="s">
        <v>1562</v>
      </c>
      <c r="D270" s="977">
        <v>0</v>
      </c>
      <c r="E270" s="968">
        <v>0</v>
      </c>
      <c r="F270" s="968">
        <v>0</v>
      </c>
      <c r="G270" s="977">
        <v>0</v>
      </c>
      <c r="H270" s="977">
        <v>0</v>
      </c>
      <c r="I270" s="968">
        <v>0</v>
      </c>
      <c r="J270" s="968">
        <v>0</v>
      </c>
      <c r="K270" s="968">
        <v>0</v>
      </c>
    </row>
    <row r="271" spans="1:11" s="672" customFormat="1" x14ac:dyDescent="0.25">
      <c r="A271" s="103">
        <f t="shared" si="21"/>
        <v>207</v>
      </c>
      <c r="B271" s="639" t="s">
        <v>210</v>
      </c>
      <c r="C271" s="979" t="s">
        <v>1562</v>
      </c>
      <c r="D271" s="977">
        <v>0</v>
      </c>
      <c r="E271" s="968">
        <v>0</v>
      </c>
      <c r="F271" s="968">
        <v>0</v>
      </c>
      <c r="G271" s="977">
        <v>0</v>
      </c>
      <c r="H271" s="977">
        <v>0</v>
      </c>
      <c r="I271" s="968">
        <v>0</v>
      </c>
      <c r="J271" s="968">
        <v>0</v>
      </c>
      <c r="K271" s="968">
        <v>0</v>
      </c>
    </row>
    <row r="272" spans="1:11" s="672" customFormat="1" x14ac:dyDescent="0.25">
      <c r="A272" s="103">
        <f t="shared" si="21"/>
        <v>208</v>
      </c>
      <c r="B272" s="639" t="s">
        <v>209</v>
      </c>
      <c r="C272" s="979" t="s">
        <v>1562</v>
      </c>
      <c r="D272" s="977">
        <v>0</v>
      </c>
      <c r="E272" s="968">
        <v>0</v>
      </c>
      <c r="F272" s="968">
        <v>0</v>
      </c>
      <c r="G272" s="977">
        <v>0</v>
      </c>
      <c r="H272" s="977">
        <v>0</v>
      </c>
      <c r="I272" s="968">
        <v>0</v>
      </c>
      <c r="J272" s="968">
        <v>0</v>
      </c>
      <c r="K272" s="968">
        <v>0</v>
      </c>
    </row>
    <row r="273" spans="1:13" s="672" customFormat="1" ht="15" x14ac:dyDescent="0.4">
      <c r="A273" s="103">
        <f t="shared" si="21"/>
        <v>209</v>
      </c>
      <c r="B273" s="639" t="s">
        <v>199</v>
      </c>
      <c r="C273" s="979" t="s">
        <v>1562</v>
      </c>
      <c r="D273" s="977">
        <v>0</v>
      </c>
      <c r="E273" s="968">
        <v>0</v>
      </c>
      <c r="F273" s="968">
        <v>0</v>
      </c>
      <c r="G273" s="977">
        <v>0</v>
      </c>
      <c r="H273" s="977">
        <v>0</v>
      </c>
      <c r="I273" s="968">
        <v>0</v>
      </c>
      <c r="J273" s="968">
        <v>0</v>
      </c>
      <c r="K273" s="969">
        <v>0</v>
      </c>
    </row>
    <row r="274" spans="1:13" s="672" customFormat="1" x14ac:dyDescent="0.25">
      <c r="A274" s="103">
        <f t="shared" si="21"/>
        <v>210</v>
      </c>
      <c r="B274"/>
      <c r="C274" s="671" t="s">
        <v>1837</v>
      </c>
      <c r="D274"/>
      <c r="E274"/>
      <c r="F274"/>
      <c r="G274"/>
      <c r="H274"/>
      <c r="I274"/>
      <c r="J274"/>
      <c r="K274" s="985">
        <v>0</v>
      </c>
    </row>
    <row r="275" spans="1:13" s="672" customFormat="1" ht="12.75" customHeight="1" x14ac:dyDescent="0.25">
      <c r="A275" s="103"/>
      <c r="B275"/>
      <c r="C275" s="671"/>
      <c r="D275"/>
      <c r="E275"/>
      <c r="F275"/>
      <c r="G275"/>
      <c r="H275"/>
      <c r="I275"/>
      <c r="J275"/>
      <c r="K275" s="74"/>
    </row>
    <row r="276" spans="1:13" s="672" customFormat="1" x14ac:dyDescent="0.25">
      <c r="B276" s="673" t="s">
        <v>2347</v>
      </c>
      <c r="D276" s="1113" t="s">
        <v>2348</v>
      </c>
      <c r="E276" s="1113"/>
    </row>
    <row r="277" spans="1:13" s="672" customFormat="1" x14ac:dyDescent="0.25">
      <c r="D277" s="674"/>
      <c r="E277" s="675"/>
      <c r="F277" s="676"/>
      <c r="G277" s="669" t="str">
        <f>G51</f>
        <v>Unloaded</v>
      </c>
      <c r="H277" s="674"/>
      <c r="I277" s="675"/>
      <c r="J277" s="675"/>
      <c r="K277" s="675"/>
    </row>
    <row r="278" spans="1:13" s="672" customFormat="1" x14ac:dyDescent="0.25">
      <c r="A278" s="669"/>
      <c r="B278" s="669"/>
      <c r="C278" s="669"/>
      <c r="D278" s="669" t="str">
        <f>D$52</f>
        <v>Forecast</v>
      </c>
      <c r="E278" s="669" t="str">
        <f t="shared" ref="E278:J278" si="22">E$52</f>
        <v>Corporate</v>
      </c>
      <c r="F278" s="669" t="str">
        <f t="shared" si="22"/>
        <v xml:space="preserve">Total </v>
      </c>
      <c r="G278" s="669" t="str">
        <f>G52</f>
        <v>Total</v>
      </c>
      <c r="H278" s="669" t="str">
        <f t="shared" si="22"/>
        <v>Prior Period</v>
      </c>
      <c r="I278" s="669" t="str">
        <f t="shared" si="22"/>
        <v>Over Heads</v>
      </c>
      <c r="J278" s="669" t="str">
        <f t="shared" si="22"/>
        <v>Forecast</v>
      </c>
      <c r="K278" s="577" t="str">
        <f>K$52</f>
        <v>Forecast Period</v>
      </c>
    </row>
    <row r="279" spans="1:13" s="672" customFormat="1" x14ac:dyDescent="0.25">
      <c r="A279" s="879" t="s">
        <v>360</v>
      </c>
      <c r="B279" s="636" t="s">
        <v>211</v>
      </c>
      <c r="C279" s="636" t="s">
        <v>212</v>
      </c>
      <c r="D279" s="667" t="str">
        <f>D$53</f>
        <v>Expenditures</v>
      </c>
      <c r="E279" s="667" t="str">
        <f t="shared" ref="E279:J279" si="23">E$53</f>
        <v>Overheads</v>
      </c>
      <c r="F279" s="667" t="str">
        <f t="shared" si="23"/>
        <v>CWIP Exp</v>
      </c>
      <c r="G279" s="667" t="str">
        <f>G53</f>
        <v>Plant Adds</v>
      </c>
      <c r="H279" s="667" t="str">
        <f t="shared" si="23"/>
        <v>CWIP Closed</v>
      </c>
      <c r="I279" s="667" t="str">
        <f t="shared" si="23"/>
        <v>Closed to PIS</v>
      </c>
      <c r="J279" s="667" t="str">
        <f t="shared" si="23"/>
        <v>Period CWIP</v>
      </c>
      <c r="K279" s="667" t="str">
        <f>K$53</f>
        <v>Incremental CWIP</v>
      </c>
    </row>
    <row r="280" spans="1:13" s="672" customFormat="1" x14ac:dyDescent="0.25">
      <c r="A280" s="103">
        <f>A274+1</f>
        <v>211</v>
      </c>
      <c r="B280" s="637" t="s">
        <v>199</v>
      </c>
      <c r="C280" s="979" t="s">
        <v>1562</v>
      </c>
      <c r="D280" s="676" t="s">
        <v>86</v>
      </c>
      <c r="E280" s="676" t="s">
        <v>86</v>
      </c>
      <c r="F280" s="676" t="s">
        <v>86</v>
      </c>
      <c r="G280" s="676" t="s">
        <v>86</v>
      </c>
      <c r="H280" s="676" t="s">
        <v>86</v>
      </c>
      <c r="I280" s="676" t="s">
        <v>86</v>
      </c>
      <c r="J280" s="61">
        <f>E45</f>
        <v>0</v>
      </c>
      <c r="K280" s="676" t="s">
        <v>86</v>
      </c>
    </row>
    <row r="281" spans="1:13" s="672" customFormat="1" x14ac:dyDescent="0.25">
      <c r="A281" s="103">
        <f>A280+1</f>
        <v>212</v>
      </c>
      <c r="B281" s="637" t="s">
        <v>200</v>
      </c>
      <c r="C281" s="979" t="s">
        <v>1562</v>
      </c>
      <c r="D281" s="977">
        <v>0</v>
      </c>
      <c r="E281" s="968">
        <v>0</v>
      </c>
      <c r="F281" s="968">
        <v>0</v>
      </c>
      <c r="G281" s="977">
        <v>0</v>
      </c>
      <c r="H281" s="977">
        <v>0</v>
      </c>
      <c r="I281" s="968">
        <v>0</v>
      </c>
      <c r="J281" s="968">
        <v>0</v>
      </c>
      <c r="K281" s="968">
        <v>0</v>
      </c>
    </row>
    <row r="282" spans="1:13" s="672" customFormat="1" x14ac:dyDescent="0.25">
      <c r="A282" s="103">
        <f t="shared" ref="A282:A305" si="24">A281+1</f>
        <v>213</v>
      </c>
      <c r="B282" s="639" t="s">
        <v>201</v>
      </c>
      <c r="C282" s="979" t="s">
        <v>1562</v>
      </c>
      <c r="D282" s="977">
        <v>0</v>
      </c>
      <c r="E282" s="968">
        <v>0</v>
      </c>
      <c r="F282" s="968">
        <v>0</v>
      </c>
      <c r="G282" s="977">
        <v>0</v>
      </c>
      <c r="H282" s="977">
        <v>0</v>
      </c>
      <c r="I282" s="968">
        <v>0</v>
      </c>
      <c r="J282" s="968">
        <v>0</v>
      </c>
      <c r="K282" s="968">
        <v>0</v>
      </c>
    </row>
    <row r="283" spans="1:13" s="672" customFormat="1" x14ac:dyDescent="0.25">
      <c r="A283" s="103">
        <f t="shared" si="24"/>
        <v>214</v>
      </c>
      <c r="B283" s="639" t="s">
        <v>214</v>
      </c>
      <c r="C283" s="979" t="s">
        <v>1562</v>
      </c>
      <c r="D283" s="977">
        <v>0</v>
      </c>
      <c r="E283" s="968">
        <v>0</v>
      </c>
      <c r="F283" s="968">
        <v>0</v>
      </c>
      <c r="G283" s="977">
        <v>0</v>
      </c>
      <c r="H283" s="977">
        <v>0</v>
      </c>
      <c r="I283" s="968">
        <v>0</v>
      </c>
      <c r="J283" s="968">
        <v>0</v>
      </c>
      <c r="K283" s="968">
        <v>0</v>
      </c>
    </row>
    <row r="284" spans="1:13" s="672" customFormat="1" x14ac:dyDescent="0.25">
      <c r="A284" s="103">
        <f t="shared" si="24"/>
        <v>215</v>
      </c>
      <c r="B284" s="637" t="s">
        <v>202</v>
      </c>
      <c r="C284" s="979" t="s">
        <v>1562</v>
      </c>
      <c r="D284" s="977">
        <v>0</v>
      </c>
      <c r="E284" s="968">
        <v>0</v>
      </c>
      <c r="F284" s="968">
        <v>0</v>
      </c>
      <c r="G284" s="977">
        <v>0</v>
      </c>
      <c r="H284" s="977">
        <v>0</v>
      </c>
      <c r="I284" s="968">
        <v>0</v>
      </c>
      <c r="J284" s="968">
        <v>0</v>
      </c>
      <c r="K284" s="968">
        <v>0</v>
      </c>
    </row>
    <row r="285" spans="1:13" s="672" customFormat="1" x14ac:dyDescent="0.25">
      <c r="A285" s="103">
        <f t="shared" si="24"/>
        <v>216</v>
      </c>
      <c r="B285" s="639" t="s">
        <v>203</v>
      </c>
      <c r="C285" s="979" t="s">
        <v>1562</v>
      </c>
      <c r="D285" s="977">
        <v>0</v>
      </c>
      <c r="E285" s="968">
        <v>0</v>
      </c>
      <c r="F285" s="968">
        <v>0</v>
      </c>
      <c r="G285" s="977">
        <v>0</v>
      </c>
      <c r="H285" s="977">
        <v>0</v>
      </c>
      <c r="I285" s="968">
        <v>0</v>
      </c>
      <c r="J285" s="968">
        <v>0</v>
      </c>
      <c r="K285" s="968">
        <v>0</v>
      </c>
      <c r="L285" s="669"/>
      <c r="M285" s="669"/>
    </row>
    <row r="286" spans="1:13" s="672" customFormat="1" x14ac:dyDescent="0.25">
      <c r="A286" s="103">
        <f t="shared" si="24"/>
        <v>217</v>
      </c>
      <c r="B286" s="639" t="s">
        <v>1662</v>
      </c>
      <c r="C286" s="979" t="s">
        <v>1562</v>
      </c>
      <c r="D286" s="977">
        <v>0</v>
      </c>
      <c r="E286" s="968">
        <v>0</v>
      </c>
      <c r="F286" s="968">
        <v>0</v>
      </c>
      <c r="G286" s="977">
        <v>0</v>
      </c>
      <c r="H286" s="977">
        <v>0</v>
      </c>
      <c r="I286" s="968">
        <v>0</v>
      </c>
      <c r="J286" s="968">
        <v>0</v>
      </c>
      <c r="K286" s="968">
        <v>0</v>
      </c>
      <c r="L286" s="667"/>
      <c r="M286" s="667"/>
    </row>
    <row r="287" spans="1:13" s="672" customFormat="1" x14ac:dyDescent="0.25">
      <c r="A287" s="103">
        <f t="shared" si="24"/>
        <v>218</v>
      </c>
      <c r="B287" s="637" t="s">
        <v>205</v>
      </c>
      <c r="C287" s="979" t="s">
        <v>1562</v>
      </c>
      <c r="D287" s="977">
        <v>0</v>
      </c>
      <c r="E287" s="968">
        <v>0</v>
      </c>
      <c r="F287" s="968">
        <v>0</v>
      </c>
      <c r="G287" s="977">
        <v>0</v>
      </c>
      <c r="H287" s="977">
        <v>0</v>
      </c>
      <c r="I287" s="968">
        <v>0</v>
      </c>
      <c r="J287" s="968">
        <v>0</v>
      </c>
      <c r="K287" s="968">
        <v>0</v>
      </c>
    </row>
    <row r="288" spans="1:13" s="672" customFormat="1" x14ac:dyDescent="0.25">
      <c r="A288" s="103">
        <f t="shared" si="24"/>
        <v>219</v>
      </c>
      <c r="B288" s="639" t="s">
        <v>206</v>
      </c>
      <c r="C288" s="979" t="s">
        <v>1562</v>
      </c>
      <c r="D288" s="977">
        <v>0</v>
      </c>
      <c r="E288" s="968">
        <v>0</v>
      </c>
      <c r="F288" s="968">
        <v>0</v>
      </c>
      <c r="G288" s="977">
        <v>0</v>
      </c>
      <c r="H288" s="977">
        <v>0</v>
      </c>
      <c r="I288" s="968">
        <v>0</v>
      </c>
      <c r="J288" s="968">
        <v>0</v>
      </c>
      <c r="K288" s="968">
        <v>0</v>
      </c>
    </row>
    <row r="289" spans="1:11" s="672" customFormat="1" x14ac:dyDescent="0.25">
      <c r="A289" s="103">
        <f t="shared" si="24"/>
        <v>220</v>
      </c>
      <c r="B289" s="639" t="s">
        <v>207</v>
      </c>
      <c r="C289" s="979" t="s">
        <v>1562</v>
      </c>
      <c r="D289" s="977">
        <v>0</v>
      </c>
      <c r="E289" s="968">
        <v>0</v>
      </c>
      <c r="F289" s="968">
        <v>0</v>
      </c>
      <c r="G289" s="977">
        <v>0</v>
      </c>
      <c r="H289" s="977">
        <v>0</v>
      </c>
      <c r="I289" s="968">
        <v>0</v>
      </c>
      <c r="J289" s="968">
        <v>0</v>
      </c>
      <c r="K289" s="968">
        <v>0</v>
      </c>
    </row>
    <row r="290" spans="1:11" s="672" customFormat="1" x14ac:dyDescent="0.25">
      <c r="A290" s="103">
        <f t="shared" si="24"/>
        <v>221</v>
      </c>
      <c r="B290" s="637" t="s">
        <v>210</v>
      </c>
      <c r="C290" s="979" t="s">
        <v>1562</v>
      </c>
      <c r="D290" s="977">
        <v>0</v>
      </c>
      <c r="E290" s="968">
        <v>0</v>
      </c>
      <c r="F290" s="968">
        <v>0</v>
      </c>
      <c r="G290" s="977">
        <v>0</v>
      </c>
      <c r="H290" s="977">
        <v>0</v>
      </c>
      <c r="I290" s="968">
        <v>0</v>
      </c>
      <c r="J290" s="968">
        <v>0</v>
      </c>
      <c r="K290" s="968">
        <v>0</v>
      </c>
    </row>
    <row r="291" spans="1:11" s="672" customFormat="1" x14ac:dyDescent="0.25">
      <c r="A291" s="103">
        <f t="shared" si="24"/>
        <v>222</v>
      </c>
      <c r="B291" s="637" t="s">
        <v>209</v>
      </c>
      <c r="C291" s="979" t="s">
        <v>1562</v>
      </c>
      <c r="D291" s="977">
        <v>0</v>
      </c>
      <c r="E291" s="968">
        <v>0</v>
      </c>
      <c r="F291" s="968">
        <v>0</v>
      </c>
      <c r="G291" s="977">
        <v>0</v>
      </c>
      <c r="H291" s="977">
        <v>0</v>
      </c>
      <c r="I291" s="968">
        <v>0</v>
      </c>
      <c r="J291" s="968">
        <v>0</v>
      </c>
      <c r="K291" s="968">
        <v>0</v>
      </c>
    </row>
    <row r="292" spans="1:11" s="672" customFormat="1" x14ac:dyDescent="0.25">
      <c r="A292" s="103">
        <f t="shared" si="24"/>
        <v>223</v>
      </c>
      <c r="B292" s="637" t="s">
        <v>199</v>
      </c>
      <c r="C292" s="979" t="s">
        <v>1562</v>
      </c>
      <c r="D292" s="977">
        <v>0</v>
      </c>
      <c r="E292" s="968">
        <v>0</v>
      </c>
      <c r="F292" s="968">
        <v>0</v>
      </c>
      <c r="G292" s="977">
        <v>0</v>
      </c>
      <c r="H292" s="977">
        <v>0</v>
      </c>
      <c r="I292" s="968">
        <v>0</v>
      </c>
      <c r="J292" s="968">
        <v>0</v>
      </c>
      <c r="K292" s="968">
        <v>0</v>
      </c>
    </row>
    <row r="293" spans="1:11" s="672" customFormat="1" x14ac:dyDescent="0.25">
      <c r="A293" s="103">
        <f t="shared" si="24"/>
        <v>224</v>
      </c>
      <c r="B293" s="637" t="s">
        <v>200</v>
      </c>
      <c r="C293" s="979" t="s">
        <v>1562</v>
      </c>
      <c r="D293" s="977">
        <v>0</v>
      </c>
      <c r="E293" s="968">
        <v>0</v>
      </c>
      <c r="F293" s="968">
        <v>0</v>
      </c>
      <c r="G293" s="977">
        <v>0</v>
      </c>
      <c r="H293" s="977">
        <v>0</v>
      </c>
      <c r="I293" s="968">
        <v>0</v>
      </c>
      <c r="J293" s="968">
        <v>0</v>
      </c>
      <c r="K293" s="968">
        <v>0</v>
      </c>
    </row>
    <row r="294" spans="1:11" s="672" customFormat="1" x14ac:dyDescent="0.25">
      <c r="A294" s="103">
        <f t="shared" si="24"/>
        <v>225</v>
      </c>
      <c r="B294" s="639" t="s">
        <v>201</v>
      </c>
      <c r="C294" s="979" t="s">
        <v>1562</v>
      </c>
      <c r="D294" s="977">
        <v>0</v>
      </c>
      <c r="E294" s="968">
        <v>0</v>
      </c>
      <c r="F294" s="968">
        <v>0</v>
      </c>
      <c r="G294" s="977">
        <v>0</v>
      </c>
      <c r="H294" s="977">
        <v>0</v>
      </c>
      <c r="I294" s="968">
        <v>0</v>
      </c>
      <c r="J294" s="968">
        <v>0</v>
      </c>
      <c r="K294" s="968">
        <v>0</v>
      </c>
    </row>
    <row r="295" spans="1:11" s="672" customFormat="1" x14ac:dyDescent="0.25">
      <c r="A295" s="103">
        <f t="shared" si="24"/>
        <v>226</v>
      </c>
      <c r="B295" s="639" t="s">
        <v>214</v>
      </c>
      <c r="C295" s="979" t="s">
        <v>1562</v>
      </c>
      <c r="D295" s="977">
        <v>0</v>
      </c>
      <c r="E295" s="968">
        <v>0</v>
      </c>
      <c r="F295" s="968">
        <v>0</v>
      </c>
      <c r="G295" s="977">
        <v>0</v>
      </c>
      <c r="H295" s="977">
        <v>0</v>
      </c>
      <c r="I295" s="968">
        <v>0</v>
      </c>
      <c r="J295" s="968">
        <v>0</v>
      </c>
      <c r="K295" s="968">
        <v>0</v>
      </c>
    </row>
    <row r="296" spans="1:11" s="672" customFormat="1" x14ac:dyDescent="0.25">
      <c r="A296" s="103">
        <f t="shared" si="24"/>
        <v>227</v>
      </c>
      <c r="B296" s="637" t="s">
        <v>202</v>
      </c>
      <c r="C296" s="979" t="s">
        <v>1562</v>
      </c>
      <c r="D296" s="977">
        <v>0</v>
      </c>
      <c r="E296" s="968">
        <v>0</v>
      </c>
      <c r="F296" s="968">
        <v>0</v>
      </c>
      <c r="G296" s="977">
        <v>0</v>
      </c>
      <c r="H296" s="977">
        <v>0</v>
      </c>
      <c r="I296" s="968">
        <v>0</v>
      </c>
      <c r="J296" s="968">
        <v>0</v>
      </c>
      <c r="K296" s="968">
        <v>0</v>
      </c>
    </row>
    <row r="297" spans="1:11" s="672" customFormat="1" x14ac:dyDescent="0.25">
      <c r="A297" s="103">
        <f t="shared" si="24"/>
        <v>228</v>
      </c>
      <c r="B297" s="639" t="s">
        <v>203</v>
      </c>
      <c r="C297" s="979" t="s">
        <v>1562</v>
      </c>
      <c r="D297" s="977">
        <v>0</v>
      </c>
      <c r="E297" s="968">
        <v>0</v>
      </c>
      <c r="F297" s="968">
        <v>0</v>
      </c>
      <c r="G297" s="977">
        <v>0</v>
      </c>
      <c r="H297" s="977">
        <v>0</v>
      </c>
      <c r="I297" s="968">
        <v>0</v>
      </c>
      <c r="J297" s="968">
        <v>0</v>
      </c>
      <c r="K297" s="968">
        <v>0</v>
      </c>
    </row>
    <row r="298" spans="1:11" s="672" customFormat="1" x14ac:dyDescent="0.25">
      <c r="A298" s="103">
        <f t="shared" si="24"/>
        <v>229</v>
      </c>
      <c r="B298" s="639" t="s">
        <v>1662</v>
      </c>
      <c r="C298" s="979" t="s">
        <v>1562</v>
      </c>
      <c r="D298" s="977">
        <v>0</v>
      </c>
      <c r="E298" s="968">
        <v>0</v>
      </c>
      <c r="F298" s="968">
        <v>0</v>
      </c>
      <c r="G298" s="977">
        <v>0</v>
      </c>
      <c r="H298" s="977">
        <v>0</v>
      </c>
      <c r="I298" s="968">
        <v>0</v>
      </c>
      <c r="J298" s="968">
        <v>0</v>
      </c>
      <c r="K298" s="968">
        <v>0</v>
      </c>
    </row>
    <row r="299" spans="1:11" s="672" customFormat="1" x14ac:dyDescent="0.25">
      <c r="A299" s="103">
        <f t="shared" si="24"/>
        <v>230</v>
      </c>
      <c r="B299" s="637" t="s">
        <v>205</v>
      </c>
      <c r="C299" s="979" t="s">
        <v>1562</v>
      </c>
      <c r="D299" s="977">
        <v>0</v>
      </c>
      <c r="E299" s="968">
        <v>0</v>
      </c>
      <c r="F299" s="968">
        <v>0</v>
      </c>
      <c r="G299" s="977">
        <v>0</v>
      </c>
      <c r="H299" s="977">
        <v>0</v>
      </c>
      <c r="I299" s="968">
        <v>0</v>
      </c>
      <c r="J299" s="968">
        <v>0</v>
      </c>
      <c r="K299" s="968">
        <v>0</v>
      </c>
    </row>
    <row r="300" spans="1:11" s="672" customFormat="1" x14ac:dyDescent="0.25">
      <c r="A300" s="103">
        <f t="shared" si="24"/>
        <v>231</v>
      </c>
      <c r="B300" s="639" t="s">
        <v>206</v>
      </c>
      <c r="C300" s="979" t="s">
        <v>1562</v>
      </c>
      <c r="D300" s="977">
        <v>0</v>
      </c>
      <c r="E300" s="968">
        <v>0</v>
      </c>
      <c r="F300" s="968">
        <v>0</v>
      </c>
      <c r="G300" s="977">
        <v>0</v>
      </c>
      <c r="H300" s="977">
        <v>0</v>
      </c>
      <c r="I300" s="968">
        <v>0</v>
      </c>
      <c r="J300" s="968">
        <v>0</v>
      </c>
      <c r="K300" s="968">
        <v>0</v>
      </c>
    </row>
    <row r="301" spans="1:11" s="672" customFormat="1" x14ac:dyDescent="0.25">
      <c r="A301" s="103">
        <f t="shared" si="24"/>
        <v>232</v>
      </c>
      <c r="B301" s="639" t="s">
        <v>207</v>
      </c>
      <c r="C301" s="979" t="s">
        <v>1562</v>
      </c>
      <c r="D301" s="977">
        <v>0</v>
      </c>
      <c r="E301" s="968">
        <v>0</v>
      </c>
      <c r="F301" s="968">
        <v>0</v>
      </c>
      <c r="G301" s="977">
        <v>0</v>
      </c>
      <c r="H301" s="977">
        <v>0</v>
      </c>
      <c r="I301" s="968">
        <v>0</v>
      </c>
      <c r="J301" s="968">
        <v>0</v>
      </c>
      <c r="K301" s="968">
        <v>0</v>
      </c>
    </row>
    <row r="302" spans="1:11" s="672" customFormat="1" x14ac:dyDescent="0.25">
      <c r="A302" s="103">
        <f t="shared" si="24"/>
        <v>233</v>
      </c>
      <c r="B302" s="639" t="s">
        <v>210</v>
      </c>
      <c r="C302" s="979" t="s">
        <v>1562</v>
      </c>
      <c r="D302" s="977">
        <v>0</v>
      </c>
      <c r="E302" s="968">
        <v>0</v>
      </c>
      <c r="F302" s="968">
        <v>0</v>
      </c>
      <c r="G302" s="977">
        <v>0</v>
      </c>
      <c r="H302" s="977">
        <v>0</v>
      </c>
      <c r="I302" s="968">
        <v>0</v>
      </c>
      <c r="J302" s="968">
        <v>0</v>
      </c>
      <c r="K302" s="968">
        <v>0</v>
      </c>
    </row>
    <row r="303" spans="1:11" s="672" customFormat="1" x14ac:dyDescent="0.25">
      <c r="A303" s="103">
        <f t="shared" si="24"/>
        <v>234</v>
      </c>
      <c r="B303" s="639" t="s">
        <v>209</v>
      </c>
      <c r="C303" s="979" t="s">
        <v>1562</v>
      </c>
      <c r="D303" s="977">
        <v>0</v>
      </c>
      <c r="E303" s="968">
        <v>0</v>
      </c>
      <c r="F303" s="968">
        <v>0</v>
      </c>
      <c r="G303" s="977">
        <v>0</v>
      </c>
      <c r="H303" s="977">
        <v>0</v>
      </c>
      <c r="I303" s="968">
        <v>0</v>
      </c>
      <c r="J303" s="968">
        <v>0</v>
      </c>
      <c r="K303" s="968">
        <v>0</v>
      </c>
    </row>
    <row r="304" spans="1:11" s="672" customFormat="1" ht="15" x14ac:dyDescent="0.4">
      <c r="A304" s="103">
        <f t="shared" si="24"/>
        <v>235</v>
      </c>
      <c r="B304" s="639" t="s">
        <v>199</v>
      </c>
      <c r="C304" s="979" t="s">
        <v>1562</v>
      </c>
      <c r="D304" s="977">
        <v>0</v>
      </c>
      <c r="E304" s="968">
        <v>0</v>
      </c>
      <c r="F304" s="968">
        <v>0</v>
      </c>
      <c r="G304" s="977">
        <v>0</v>
      </c>
      <c r="H304" s="977">
        <v>0</v>
      </c>
      <c r="I304" s="968">
        <v>0</v>
      </c>
      <c r="J304" s="968">
        <v>0</v>
      </c>
      <c r="K304" s="969">
        <v>0</v>
      </c>
    </row>
    <row r="305" spans="1:12" s="672" customFormat="1" x14ac:dyDescent="0.25">
      <c r="A305" s="103">
        <f t="shared" si="24"/>
        <v>236</v>
      </c>
      <c r="B305"/>
      <c r="C305" s="671" t="s">
        <v>1837</v>
      </c>
      <c r="D305"/>
      <c r="E305"/>
      <c r="F305"/>
      <c r="G305"/>
      <c r="H305"/>
      <c r="I305"/>
      <c r="J305"/>
      <c r="K305" s="985">
        <v>0</v>
      </c>
    </row>
    <row r="306" spans="1:12" s="672" customFormat="1" x14ac:dyDescent="0.25">
      <c r="A306" s="103"/>
      <c r="B306"/>
      <c r="C306" s="671"/>
      <c r="D306"/>
      <c r="E306"/>
      <c r="F306"/>
      <c r="G306"/>
      <c r="H306"/>
      <c r="I306"/>
      <c r="J306"/>
      <c r="K306" s="74"/>
    </row>
    <row r="307" spans="1:12" s="672" customFormat="1" x14ac:dyDescent="0.25">
      <c r="B307" s="673" t="s">
        <v>2349</v>
      </c>
      <c r="D307" s="1113" t="s">
        <v>2350</v>
      </c>
      <c r="E307" s="1113"/>
    </row>
    <row r="308" spans="1:12" s="672" customFormat="1" x14ac:dyDescent="0.25">
      <c r="A308" s="667"/>
      <c r="B308" s="667"/>
      <c r="C308" s="667"/>
      <c r="D308" s="667" t="s">
        <v>394</v>
      </c>
      <c r="E308" s="667" t="s">
        <v>378</v>
      </c>
      <c r="F308" s="667" t="s">
        <v>379</v>
      </c>
      <c r="G308" s="667" t="s">
        <v>380</v>
      </c>
      <c r="H308" s="667" t="s">
        <v>381</v>
      </c>
      <c r="I308" s="667" t="s">
        <v>382</v>
      </c>
      <c r="J308" s="667" t="s">
        <v>383</v>
      </c>
      <c r="K308" s="667" t="s">
        <v>595</v>
      </c>
    </row>
    <row r="309" spans="1:12" s="672" customFormat="1" ht="39.6" x14ac:dyDescent="0.25">
      <c r="D309" s="674"/>
      <c r="E309" s="675" t="s">
        <v>2584</v>
      </c>
      <c r="F309" s="676" t="s">
        <v>2335</v>
      </c>
      <c r="G309" s="475"/>
      <c r="H309" s="674"/>
      <c r="I309" s="675" t="s">
        <v>2585</v>
      </c>
      <c r="J309" s="675" t="s">
        <v>2336</v>
      </c>
      <c r="K309" s="675" t="s">
        <v>2337</v>
      </c>
    </row>
    <row r="310" spans="1:12" s="672" customFormat="1" x14ac:dyDescent="0.25">
      <c r="D310" s="674"/>
      <c r="E310" s="674"/>
      <c r="F310" s="674"/>
      <c r="G310" s="577" t="str">
        <f>G51</f>
        <v>Unloaded</v>
      </c>
      <c r="H310" s="674"/>
      <c r="I310" s="674"/>
    </row>
    <row r="311" spans="1:12" s="672" customFormat="1" x14ac:dyDescent="0.25">
      <c r="A311" s="669"/>
      <c r="B311" s="669"/>
      <c r="C311" s="669"/>
      <c r="D311" s="669" t="str">
        <f>D$52</f>
        <v>Forecast</v>
      </c>
      <c r="E311" s="669" t="str">
        <f t="shared" ref="E311:J311" si="25">E$52</f>
        <v>Corporate</v>
      </c>
      <c r="F311" s="669" t="str">
        <f t="shared" si="25"/>
        <v xml:space="preserve">Total </v>
      </c>
      <c r="G311" s="577" t="str">
        <f>G52</f>
        <v>Total</v>
      </c>
      <c r="H311" s="669" t="str">
        <f t="shared" si="25"/>
        <v>Prior Period</v>
      </c>
      <c r="I311" s="669" t="str">
        <f t="shared" si="25"/>
        <v>Over Heads</v>
      </c>
      <c r="J311" s="669" t="str">
        <f t="shared" si="25"/>
        <v>Forecast</v>
      </c>
      <c r="K311" s="577" t="str">
        <f>K$52</f>
        <v>Forecast Period</v>
      </c>
    </row>
    <row r="312" spans="1:12" s="672" customFormat="1" x14ac:dyDescent="0.25">
      <c r="A312" s="879" t="s">
        <v>360</v>
      </c>
      <c r="B312" s="636" t="s">
        <v>211</v>
      </c>
      <c r="C312" s="636" t="s">
        <v>212</v>
      </c>
      <c r="D312" s="667" t="str">
        <f>D$53</f>
        <v>Expenditures</v>
      </c>
      <c r="E312" s="667" t="str">
        <f t="shared" ref="E312:J312" si="26">E$53</f>
        <v>Overheads</v>
      </c>
      <c r="F312" s="667" t="str">
        <f t="shared" si="26"/>
        <v>CWIP Exp</v>
      </c>
      <c r="G312" s="3" t="str">
        <f>G53</f>
        <v>Plant Adds</v>
      </c>
      <c r="H312" s="667" t="str">
        <f t="shared" si="26"/>
        <v>CWIP Closed</v>
      </c>
      <c r="I312" s="667" t="str">
        <f t="shared" si="26"/>
        <v>Closed to PIS</v>
      </c>
      <c r="J312" s="667" t="str">
        <f t="shared" si="26"/>
        <v>Period CWIP</v>
      </c>
      <c r="K312" s="667" t="str">
        <f>K$53</f>
        <v>Incremental CWIP</v>
      </c>
    </row>
    <row r="313" spans="1:12" s="672" customFormat="1" x14ac:dyDescent="0.25">
      <c r="A313" s="103">
        <f>A305+1</f>
        <v>237</v>
      </c>
      <c r="B313" s="637" t="s">
        <v>199</v>
      </c>
      <c r="C313" s="979" t="s">
        <v>1562</v>
      </c>
      <c r="D313" s="676" t="s">
        <v>86</v>
      </c>
      <c r="E313" s="676" t="s">
        <v>86</v>
      </c>
      <c r="F313" s="676" t="s">
        <v>86</v>
      </c>
      <c r="G313" s="676" t="s">
        <v>86</v>
      </c>
      <c r="H313" s="676" t="s">
        <v>86</v>
      </c>
      <c r="I313" s="676" t="s">
        <v>86</v>
      </c>
      <c r="J313" s="61">
        <f>F45</f>
        <v>0</v>
      </c>
      <c r="K313" s="676" t="s">
        <v>86</v>
      </c>
    </row>
    <row r="314" spans="1:12" s="672" customFormat="1" x14ac:dyDescent="0.25">
      <c r="A314" s="103">
        <f>A313+1</f>
        <v>238</v>
      </c>
      <c r="B314" s="637" t="s">
        <v>200</v>
      </c>
      <c r="C314" s="979" t="s">
        <v>1562</v>
      </c>
      <c r="D314" s="977">
        <v>0</v>
      </c>
      <c r="E314" s="968">
        <v>0</v>
      </c>
      <c r="F314" s="968">
        <v>0</v>
      </c>
      <c r="G314" s="977">
        <v>0</v>
      </c>
      <c r="H314" s="977">
        <v>0</v>
      </c>
      <c r="I314" s="968">
        <v>0</v>
      </c>
      <c r="J314" s="968">
        <v>0</v>
      </c>
      <c r="K314" s="968">
        <v>0</v>
      </c>
      <c r="L314" s="669"/>
    </row>
    <row r="315" spans="1:12" s="672" customFormat="1" x14ac:dyDescent="0.25">
      <c r="A315" s="103">
        <f t="shared" ref="A315:A338" si="27">A314+1</f>
        <v>239</v>
      </c>
      <c r="B315" s="639" t="s">
        <v>201</v>
      </c>
      <c r="C315" s="979" t="s">
        <v>1562</v>
      </c>
      <c r="D315" s="977">
        <v>0</v>
      </c>
      <c r="E315" s="968">
        <v>0</v>
      </c>
      <c r="F315" s="968">
        <v>0</v>
      </c>
      <c r="G315" s="977">
        <v>0</v>
      </c>
      <c r="H315" s="977">
        <v>0</v>
      </c>
      <c r="I315" s="968">
        <v>0</v>
      </c>
      <c r="J315" s="968">
        <v>0</v>
      </c>
      <c r="K315" s="968">
        <v>0</v>
      </c>
      <c r="L315" s="669"/>
    </row>
    <row r="316" spans="1:12" s="672" customFormat="1" x14ac:dyDescent="0.25">
      <c r="A316" s="103">
        <f t="shared" si="27"/>
        <v>240</v>
      </c>
      <c r="B316" s="639" t="s">
        <v>214</v>
      </c>
      <c r="C316" s="979" t="s">
        <v>1562</v>
      </c>
      <c r="D316" s="977">
        <v>0</v>
      </c>
      <c r="E316" s="968">
        <v>0</v>
      </c>
      <c r="F316" s="968">
        <v>0</v>
      </c>
      <c r="G316" s="977">
        <v>0</v>
      </c>
      <c r="H316" s="977">
        <v>0</v>
      </c>
      <c r="I316" s="968">
        <v>0</v>
      </c>
      <c r="J316" s="968">
        <v>0</v>
      </c>
      <c r="K316" s="968">
        <v>0</v>
      </c>
      <c r="L316" s="669"/>
    </row>
    <row r="317" spans="1:12" s="672" customFormat="1" x14ac:dyDescent="0.25">
      <c r="A317" s="103">
        <f t="shared" si="27"/>
        <v>241</v>
      </c>
      <c r="B317" s="637" t="s">
        <v>202</v>
      </c>
      <c r="C317" s="979" t="s">
        <v>1562</v>
      </c>
      <c r="D317" s="977">
        <v>0</v>
      </c>
      <c r="E317" s="968">
        <v>0</v>
      </c>
      <c r="F317" s="968">
        <v>0</v>
      </c>
      <c r="G317" s="977">
        <v>0</v>
      </c>
      <c r="H317" s="977">
        <v>0</v>
      </c>
      <c r="I317" s="968">
        <v>0</v>
      </c>
      <c r="J317" s="968">
        <v>0</v>
      </c>
      <c r="K317" s="968">
        <v>0</v>
      </c>
      <c r="L317" s="667"/>
    </row>
    <row r="318" spans="1:12" s="672" customFormat="1" x14ac:dyDescent="0.25">
      <c r="A318" s="103">
        <f t="shared" si="27"/>
        <v>242</v>
      </c>
      <c r="B318" s="639" t="s">
        <v>203</v>
      </c>
      <c r="C318" s="979" t="s">
        <v>1562</v>
      </c>
      <c r="D318" s="977">
        <v>0</v>
      </c>
      <c r="E318" s="968">
        <v>0</v>
      </c>
      <c r="F318" s="968">
        <v>0</v>
      </c>
      <c r="G318" s="977">
        <v>0</v>
      </c>
      <c r="H318" s="977">
        <v>0</v>
      </c>
      <c r="I318" s="968">
        <v>0</v>
      </c>
      <c r="J318" s="968">
        <v>0</v>
      </c>
      <c r="K318" s="968">
        <v>0</v>
      </c>
    </row>
    <row r="319" spans="1:12" s="672" customFormat="1" x14ac:dyDescent="0.25">
      <c r="A319" s="103">
        <f t="shared" si="27"/>
        <v>243</v>
      </c>
      <c r="B319" s="639" t="s">
        <v>1662</v>
      </c>
      <c r="C319" s="979" t="s">
        <v>1562</v>
      </c>
      <c r="D319" s="977">
        <v>0</v>
      </c>
      <c r="E319" s="968">
        <v>0</v>
      </c>
      <c r="F319" s="968">
        <v>0</v>
      </c>
      <c r="G319" s="977">
        <v>0</v>
      </c>
      <c r="H319" s="977">
        <v>0</v>
      </c>
      <c r="I319" s="968">
        <v>0</v>
      </c>
      <c r="J319" s="968">
        <v>0</v>
      </c>
      <c r="K319" s="968">
        <v>0</v>
      </c>
    </row>
    <row r="320" spans="1:12" s="672" customFormat="1" x14ac:dyDescent="0.25">
      <c r="A320" s="103">
        <f t="shared" si="27"/>
        <v>244</v>
      </c>
      <c r="B320" s="637" t="s">
        <v>205</v>
      </c>
      <c r="C320" s="979" t="s">
        <v>1562</v>
      </c>
      <c r="D320" s="977">
        <v>0</v>
      </c>
      <c r="E320" s="968">
        <v>0</v>
      </c>
      <c r="F320" s="968">
        <v>0</v>
      </c>
      <c r="G320" s="977">
        <v>0</v>
      </c>
      <c r="H320" s="977">
        <v>0</v>
      </c>
      <c r="I320" s="968">
        <v>0</v>
      </c>
      <c r="J320" s="968">
        <v>0</v>
      </c>
      <c r="K320" s="968">
        <v>0</v>
      </c>
    </row>
    <row r="321" spans="1:11" s="672" customFormat="1" x14ac:dyDescent="0.25">
      <c r="A321" s="103">
        <f t="shared" si="27"/>
        <v>245</v>
      </c>
      <c r="B321" s="639" t="s">
        <v>206</v>
      </c>
      <c r="C321" s="979" t="s">
        <v>1562</v>
      </c>
      <c r="D321" s="977">
        <v>0</v>
      </c>
      <c r="E321" s="968">
        <v>0</v>
      </c>
      <c r="F321" s="968">
        <v>0</v>
      </c>
      <c r="G321" s="977">
        <v>0</v>
      </c>
      <c r="H321" s="977">
        <v>0</v>
      </c>
      <c r="I321" s="968">
        <v>0</v>
      </c>
      <c r="J321" s="968">
        <v>0</v>
      </c>
      <c r="K321" s="968">
        <v>0</v>
      </c>
    </row>
    <row r="322" spans="1:11" s="672" customFormat="1" x14ac:dyDescent="0.25">
      <c r="A322" s="103">
        <f t="shared" si="27"/>
        <v>246</v>
      </c>
      <c r="B322" s="639" t="s">
        <v>207</v>
      </c>
      <c r="C322" s="979" t="s">
        <v>1562</v>
      </c>
      <c r="D322" s="977">
        <v>0</v>
      </c>
      <c r="E322" s="968">
        <v>0</v>
      </c>
      <c r="F322" s="968">
        <v>0</v>
      </c>
      <c r="G322" s="977">
        <v>0</v>
      </c>
      <c r="H322" s="977">
        <v>0</v>
      </c>
      <c r="I322" s="968">
        <v>0</v>
      </c>
      <c r="J322" s="968">
        <v>0</v>
      </c>
      <c r="K322" s="968">
        <v>0</v>
      </c>
    </row>
    <row r="323" spans="1:11" s="672" customFormat="1" x14ac:dyDescent="0.25">
      <c r="A323" s="103">
        <f t="shared" si="27"/>
        <v>247</v>
      </c>
      <c r="B323" s="637" t="s">
        <v>210</v>
      </c>
      <c r="C323" s="979" t="s">
        <v>1562</v>
      </c>
      <c r="D323" s="977">
        <v>0</v>
      </c>
      <c r="E323" s="968">
        <v>0</v>
      </c>
      <c r="F323" s="968">
        <v>0</v>
      </c>
      <c r="G323" s="977">
        <v>0</v>
      </c>
      <c r="H323" s="977">
        <v>0</v>
      </c>
      <c r="I323" s="968">
        <v>0</v>
      </c>
      <c r="J323" s="968">
        <v>0</v>
      </c>
      <c r="K323" s="968">
        <v>0</v>
      </c>
    </row>
    <row r="324" spans="1:11" s="672" customFormat="1" x14ac:dyDescent="0.25">
      <c r="A324" s="103">
        <f t="shared" si="27"/>
        <v>248</v>
      </c>
      <c r="B324" s="637" t="s">
        <v>209</v>
      </c>
      <c r="C324" s="979" t="s">
        <v>1562</v>
      </c>
      <c r="D324" s="977">
        <v>0</v>
      </c>
      <c r="E324" s="968">
        <v>0</v>
      </c>
      <c r="F324" s="968">
        <v>0</v>
      </c>
      <c r="G324" s="977">
        <v>0</v>
      </c>
      <c r="H324" s="977">
        <v>0</v>
      </c>
      <c r="I324" s="968">
        <v>0</v>
      </c>
      <c r="J324" s="968">
        <v>0</v>
      </c>
      <c r="K324" s="968">
        <v>0</v>
      </c>
    </row>
    <row r="325" spans="1:11" s="672" customFormat="1" x14ac:dyDescent="0.25">
      <c r="A325" s="103">
        <f t="shared" si="27"/>
        <v>249</v>
      </c>
      <c r="B325" s="637" t="s">
        <v>199</v>
      </c>
      <c r="C325" s="979" t="s">
        <v>1562</v>
      </c>
      <c r="D325" s="977">
        <v>0</v>
      </c>
      <c r="E325" s="968">
        <v>0</v>
      </c>
      <c r="F325" s="968">
        <v>0</v>
      </c>
      <c r="G325" s="977">
        <v>0</v>
      </c>
      <c r="H325" s="977">
        <v>0</v>
      </c>
      <c r="I325" s="968">
        <v>0</v>
      </c>
      <c r="J325" s="968">
        <v>0</v>
      </c>
      <c r="K325" s="968">
        <v>0</v>
      </c>
    </row>
    <row r="326" spans="1:11" s="672" customFormat="1" x14ac:dyDescent="0.25">
      <c r="A326" s="103">
        <f t="shared" si="27"/>
        <v>250</v>
      </c>
      <c r="B326" s="637" t="s">
        <v>200</v>
      </c>
      <c r="C326" s="979" t="s">
        <v>1562</v>
      </c>
      <c r="D326" s="977">
        <v>0</v>
      </c>
      <c r="E326" s="968">
        <v>0</v>
      </c>
      <c r="F326" s="968">
        <v>0</v>
      </c>
      <c r="G326" s="977">
        <v>0</v>
      </c>
      <c r="H326" s="977">
        <v>0</v>
      </c>
      <c r="I326" s="968">
        <v>0</v>
      </c>
      <c r="J326" s="968">
        <v>0</v>
      </c>
      <c r="K326" s="968">
        <v>0</v>
      </c>
    </row>
    <row r="327" spans="1:11" s="672" customFormat="1" x14ac:dyDescent="0.25">
      <c r="A327" s="103">
        <f t="shared" si="27"/>
        <v>251</v>
      </c>
      <c r="B327" s="639" t="s">
        <v>201</v>
      </c>
      <c r="C327" s="979" t="s">
        <v>1562</v>
      </c>
      <c r="D327" s="977">
        <v>0</v>
      </c>
      <c r="E327" s="968">
        <v>0</v>
      </c>
      <c r="F327" s="968">
        <v>0</v>
      </c>
      <c r="G327" s="977">
        <v>0</v>
      </c>
      <c r="H327" s="977">
        <v>0</v>
      </c>
      <c r="I327" s="968">
        <v>0</v>
      </c>
      <c r="J327" s="968">
        <v>0</v>
      </c>
      <c r="K327" s="968">
        <v>0</v>
      </c>
    </row>
    <row r="328" spans="1:11" s="672" customFormat="1" x14ac:dyDescent="0.25">
      <c r="A328" s="103">
        <f t="shared" si="27"/>
        <v>252</v>
      </c>
      <c r="B328" s="639" t="s">
        <v>214</v>
      </c>
      <c r="C328" s="979" t="s">
        <v>1562</v>
      </c>
      <c r="D328" s="977">
        <v>0</v>
      </c>
      <c r="E328" s="968">
        <v>0</v>
      </c>
      <c r="F328" s="968">
        <v>0</v>
      </c>
      <c r="G328" s="977">
        <v>0</v>
      </c>
      <c r="H328" s="977">
        <v>0</v>
      </c>
      <c r="I328" s="968">
        <v>0</v>
      </c>
      <c r="J328" s="968">
        <v>0</v>
      </c>
      <c r="K328" s="968">
        <v>0</v>
      </c>
    </row>
    <row r="329" spans="1:11" s="672" customFormat="1" x14ac:dyDescent="0.25">
      <c r="A329" s="103">
        <f t="shared" si="27"/>
        <v>253</v>
      </c>
      <c r="B329" s="637" t="s">
        <v>202</v>
      </c>
      <c r="C329" s="979" t="s">
        <v>1562</v>
      </c>
      <c r="D329" s="977">
        <v>0</v>
      </c>
      <c r="E329" s="968">
        <v>0</v>
      </c>
      <c r="F329" s="968">
        <v>0</v>
      </c>
      <c r="G329" s="977">
        <v>0</v>
      </c>
      <c r="H329" s="977">
        <v>0</v>
      </c>
      <c r="I329" s="968">
        <v>0</v>
      </c>
      <c r="J329" s="968">
        <v>0</v>
      </c>
      <c r="K329" s="968">
        <v>0</v>
      </c>
    </row>
    <row r="330" spans="1:11" s="672" customFormat="1" x14ac:dyDescent="0.25">
      <c r="A330" s="103">
        <f t="shared" si="27"/>
        <v>254</v>
      </c>
      <c r="B330" s="639" t="s">
        <v>203</v>
      </c>
      <c r="C330" s="979" t="s">
        <v>1562</v>
      </c>
      <c r="D330" s="977">
        <v>0</v>
      </c>
      <c r="E330" s="968">
        <v>0</v>
      </c>
      <c r="F330" s="968">
        <v>0</v>
      </c>
      <c r="G330" s="977">
        <v>0</v>
      </c>
      <c r="H330" s="977">
        <v>0</v>
      </c>
      <c r="I330" s="968">
        <v>0</v>
      </c>
      <c r="J330" s="968">
        <v>0</v>
      </c>
      <c r="K330" s="968">
        <v>0</v>
      </c>
    </row>
    <row r="331" spans="1:11" s="672" customFormat="1" x14ac:dyDescent="0.25">
      <c r="A331" s="103">
        <f t="shared" si="27"/>
        <v>255</v>
      </c>
      <c r="B331" s="639" t="s">
        <v>1662</v>
      </c>
      <c r="C331" s="979" t="s">
        <v>1562</v>
      </c>
      <c r="D331" s="977">
        <v>0</v>
      </c>
      <c r="E331" s="968">
        <v>0</v>
      </c>
      <c r="F331" s="968">
        <v>0</v>
      </c>
      <c r="G331" s="977">
        <v>0</v>
      </c>
      <c r="H331" s="977">
        <v>0</v>
      </c>
      <c r="I331" s="968">
        <v>0</v>
      </c>
      <c r="J331" s="968">
        <v>0</v>
      </c>
      <c r="K331" s="968">
        <v>0</v>
      </c>
    </row>
    <row r="332" spans="1:11" s="672" customFormat="1" x14ac:dyDescent="0.25">
      <c r="A332" s="103">
        <f t="shared" si="27"/>
        <v>256</v>
      </c>
      <c r="B332" s="637" t="s">
        <v>205</v>
      </c>
      <c r="C332" s="979" t="s">
        <v>1562</v>
      </c>
      <c r="D332" s="977">
        <v>0</v>
      </c>
      <c r="E332" s="968">
        <v>0</v>
      </c>
      <c r="F332" s="968">
        <v>0</v>
      </c>
      <c r="G332" s="977">
        <v>0</v>
      </c>
      <c r="H332" s="977">
        <v>0</v>
      </c>
      <c r="I332" s="968">
        <v>0</v>
      </c>
      <c r="J332" s="968">
        <v>0</v>
      </c>
      <c r="K332" s="968">
        <v>0</v>
      </c>
    </row>
    <row r="333" spans="1:11" s="672" customFormat="1" x14ac:dyDescent="0.25">
      <c r="A333" s="103">
        <f t="shared" si="27"/>
        <v>257</v>
      </c>
      <c r="B333" s="639" t="s">
        <v>206</v>
      </c>
      <c r="C333" s="979" t="s">
        <v>1562</v>
      </c>
      <c r="D333" s="977">
        <v>0</v>
      </c>
      <c r="E333" s="968">
        <v>0</v>
      </c>
      <c r="F333" s="968">
        <v>0</v>
      </c>
      <c r="G333" s="977">
        <v>0</v>
      </c>
      <c r="H333" s="977">
        <v>0</v>
      </c>
      <c r="I333" s="968">
        <v>0</v>
      </c>
      <c r="J333" s="968">
        <v>0</v>
      </c>
      <c r="K333" s="968">
        <v>0</v>
      </c>
    </row>
    <row r="334" spans="1:11" s="672" customFormat="1" x14ac:dyDescent="0.25">
      <c r="A334" s="103">
        <f t="shared" si="27"/>
        <v>258</v>
      </c>
      <c r="B334" s="639" t="s">
        <v>207</v>
      </c>
      <c r="C334" s="979" t="s">
        <v>1562</v>
      </c>
      <c r="D334" s="977">
        <v>0</v>
      </c>
      <c r="E334" s="968">
        <v>0</v>
      </c>
      <c r="F334" s="968">
        <v>0</v>
      </c>
      <c r="G334" s="977">
        <v>0</v>
      </c>
      <c r="H334" s="977">
        <v>0</v>
      </c>
      <c r="I334" s="968">
        <v>0</v>
      </c>
      <c r="J334" s="968">
        <v>0</v>
      </c>
      <c r="K334" s="968">
        <v>0</v>
      </c>
    </row>
    <row r="335" spans="1:11" s="672" customFormat="1" x14ac:dyDescent="0.25">
      <c r="A335" s="103">
        <f t="shared" si="27"/>
        <v>259</v>
      </c>
      <c r="B335" s="639" t="s">
        <v>210</v>
      </c>
      <c r="C335" s="979" t="s">
        <v>1562</v>
      </c>
      <c r="D335" s="977">
        <v>0</v>
      </c>
      <c r="E335" s="968">
        <v>0</v>
      </c>
      <c r="F335" s="968">
        <v>0</v>
      </c>
      <c r="G335" s="977">
        <v>0</v>
      </c>
      <c r="H335" s="977">
        <v>0</v>
      </c>
      <c r="I335" s="968">
        <v>0</v>
      </c>
      <c r="J335" s="968">
        <v>0</v>
      </c>
      <c r="K335" s="968">
        <v>0</v>
      </c>
    </row>
    <row r="336" spans="1:11" s="672" customFormat="1" x14ac:dyDescent="0.25">
      <c r="A336" s="103">
        <f t="shared" si="27"/>
        <v>260</v>
      </c>
      <c r="B336" s="639" t="s">
        <v>209</v>
      </c>
      <c r="C336" s="979" t="s">
        <v>1562</v>
      </c>
      <c r="D336" s="977">
        <v>0</v>
      </c>
      <c r="E336" s="968">
        <v>0</v>
      </c>
      <c r="F336" s="968">
        <v>0</v>
      </c>
      <c r="G336" s="977">
        <v>0</v>
      </c>
      <c r="H336" s="977">
        <v>0</v>
      </c>
      <c r="I336" s="968">
        <v>0</v>
      </c>
      <c r="J336" s="968">
        <v>0</v>
      </c>
      <c r="K336" s="968">
        <v>0</v>
      </c>
    </row>
    <row r="337" spans="1:11" s="672" customFormat="1" ht="15" x14ac:dyDescent="0.4">
      <c r="A337" s="103">
        <f t="shared" si="27"/>
        <v>261</v>
      </c>
      <c r="B337" s="639" t="s">
        <v>199</v>
      </c>
      <c r="C337" s="979" t="s">
        <v>1562</v>
      </c>
      <c r="D337" s="977">
        <v>0</v>
      </c>
      <c r="E337" s="968">
        <v>0</v>
      </c>
      <c r="F337" s="968">
        <v>0</v>
      </c>
      <c r="G337" s="977">
        <v>0</v>
      </c>
      <c r="H337" s="977">
        <v>0</v>
      </c>
      <c r="I337" s="968">
        <v>0</v>
      </c>
      <c r="J337" s="968">
        <v>0</v>
      </c>
      <c r="K337" s="969">
        <v>0</v>
      </c>
    </row>
    <row r="338" spans="1:11" s="672" customFormat="1" x14ac:dyDescent="0.25">
      <c r="A338" s="103">
        <f t="shared" si="27"/>
        <v>262</v>
      </c>
      <c r="B338"/>
      <c r="C338" s="671" t="s">
        <v>1837</v>
      </c>
      <c r="D338"/>
      <c r="E338"/>
      <c r="F338"/>
      <c r="G338"/>
      <c r="H338"/>
      <c r="I338"/>
      <c r="J338"/>
      <c r="K338" s="985">
        <v>0</v>
      </c>
    </row>
    <row r="339" spans="1:11" s="672" customFormat="1" x14ac:dyDescent="0.25">
      <c r="A339" s="103"/>
      <c r="B339"/>
      <c r="C339" s="671"/>
      <c r="D339"/>
      <c r="E339"/>
      <c r="F339"/>
      <c r="G339"/>
      <c r="H339"/>
      <c r="I339"/>
      <c r="J339"/>
      <c r="K339" s="74"/>
    </row>
    <row r="340" spans="1:11" s="672" customFormat="1" x14ac:dyDescent="0.25">
      <c r="B340" s="673" t="s">
        <v>2351</v>
      </c>
      <c r="D340" s="1113" t="s">
        <v>2352</v>
      </c>
      <c r="E340" s="1113"/>
    </row>
    <row r="341" spans="1:11" s="672" customFormat="1" x14ac:dyDescent="0.25">
      <c r="D341" s="674"/>
      <c r="E341" s="674"/>
      <c r="F341" s="674"/>
      <c r="G341" s="577" t="str">
        <f>G51</f>
        <v>Unloaded</v>
      </c>
      <c r="H341" s="674"/>
      <c r="I341" s="674"/>
    </row>
    <row r="342" spans="1:11" s="672" customFormat="1" x14ac:dyDescent="0.25">
      <c r="A342" s="669"/>
      <c r="B342" s="669"/>
      <c r="C342" s="669"/>
      <c r="D342" s="669" t="str">
        <f>D$52</f>
        <v>Forecast</v>
      </c>
      <c r="E342" s="669" t="str">
        <f t="shared" ref="E342:J342" si="28">E$52</f>
        <v>Corporate</v>
      </c>
      <c r="F342" s="669" t="str">
        <f t="shared" si="28"/>
        <v xml:space="preserve">Total </v>
      </c>
      <c r="G342" s="577" t="str">
        <f>G52</f>
        <v>Total</v>
      </c>
      <c r="H342" s="669" t="str">
        <f t="shared" si="28"/>
        <v>Prior Period</v>
      </c>
      <c r="I342" s="669" t="str">
        <f t="shared" si="28"/>
        <v>Over Heads</v>
      </c>
      <c r="J342" s="669" t="str">
        <f t="shared" si="28"/>
        <v>Forecast</v>
      </c>
      <c r="K342" s="577" t="str">
        <f>K$52</f>
        <v>Forecast Period</v>
      </c>
    </row>
    <row r="343" spans="1:11" s="672" customFormat="1" x14ac:dyDescent="0.25">
      <c r="A343" s="879" t="s">
        <v>360</v>
      </c>
      <c r="B343" s="636" t="s">
        <v>211</v>
      </c>
      <c r="C343" s="636" t="s">
        <v>212</v>
      </c>
      <c r="D343" s="667" t="str">
        <f>D$53</f>
        <v>Expenditures</v>
      </c>
      <c r="E343" s="667" t="str">
        <f t="shared" ref="E343:J343" si="29">E$53</f>
        <v>Overheads</v>
      </c>
      <c r="F343" s="667" t="str">
        <f t="shared" si="29"/>
        <v>CWIP Exp</v>
      </c>
      <c r="G343" s="3" t="str">
        <f>G53</f>
        <v>Plant Adds</v>
      </c>
      <c r="H343" s="667" t="str">
        <f t="shared" si="29"/>
        <v>CWIP Closed</v>
      </c>
      <c r="I343" s="667" t="str">
        <f t="shared" si="29"/>
        <v>Closed to PIS</v>
      </c>
      <c r="J343" s="667" t="str">
        <f t="shared" si="29"/>
        <v>Period CWIP</v>
      </c>
      <c r="K343" s="667" t="str">
        <f>K$53</f>
        <v>Incremental CWIP</v>
      </c>
    </row>
    <row r="344" spans="1:11" s="672" customFormat="1" x14ac:dyDescent="0.25">
      <c r="A344" s="103">
        <f>A338+1</f>
        <v>263</v>
      </c>
      <c r="B344" s="637" t="s">
        <v>199</v>
      </c>
      <c r="C344" s="979" t="s">
        <v>1562</v>
      </c>
      <c r="D344" s="676" t="s">
        <v>86</v>
      </c>
      <c r="E344" s="676" t="s">
        <v>86</v>
      </c>
      <c r="F344" s="676" t="s">
        <v>86</v>
      </c>
      <c r="G344" s="676" t="s">
        <v>86</v>
      </c>
      <c r="H344" s="676" t="s">
        <v>86</v>
      </c>
      <c r="I344" s="676" t="s">
        <v>86</v>
      </c>
      <c r="J344" s="61">
        <f>G45</f>
        <v>0</v>
      </c>
      <c r="K344" s="676" t="s">
        <v>86</v>
      </c>
    </row>
    <row r="345" spans="1:11" s="672" customFormat="1" x14ac:dyDescent="0.25">
      <c r="A345" s="103">
        <f>A344+1</f>
        <v>264</v>
      </c>
      <c r="B345" s="637" t="s">
        <v>200</v>
      </c>
      <c r="C345" s="979" t="s">
        <v>1562</v>
      </c>
      <c r="D345" s="977">
        <v>0</v>
      </c>
      <c r="E345" s="968">
        <v>0</v>
      </c>
      <c r="F345" s="968">
        <v>0</v>
      </c>
      <c r="G345" s="977">
        <v>0</v>
      </c>
      <c r="H345" s="977">
        <v>0</v>
      </c>
      <c r="I345" s="968">
        <v>0</v>
      </c>
      <c r="J345" s="968">
        <v>0</v>
      </c>
      <c r="K345" s="968">
        <v>0</v>
      </c>
    </row>
    <row r="346" spans="1:11" s="672" customFormat="1" x14ac:dyDescent="0.25">
      <c r="A346" s="103">
        <f t="shared" ref="A346:A369" si="30">A345+1</f>
        <v>265</v>
      </c>
      <c r="B346" s="639" t="s">
        <v>201</v>
      </c>
      <c r="C346" s="979" t="s">
        <v>1562</v>
      </c>
      <c r="D346" s="977">
        <v>0</v>
      </c>
      <c r="E346" s="968">
        <v>0</v>
      </c>
      <c r="F346" s="968">
        <v>0</v>
      </c>
      <c r="G346" s="977">
        <v>0</v>
      </c>
      <c r="H346" s="977">
        <v>0</v>
      </c>
      <c r="I346" s="968">
        <v>0</v>
      </c>
      <c r="J346" s="968">
        <v>0</v>
      </c>
      <c r="K346" s="968">
        <v>0</v>
      </c>
    </row>
    <row r="347" spans="1:11" s="672" customFormat="1" x14ac:dyDescent="0.25">
      <c r="A347" s="103">
        <f t="shared" si="30"/>
        <v>266</v>
      </c>
      <c r="B347" s="639" t="s">
        <v>214</v>
      </c>
      <c r="C347" s="979" t="s">
        <v>1562</v>
      </c>
      <c r="D347" s="977">
        <v>0</v>
      </c>
      <c r="E347" s="968">
        <v>0</v>
      </c>
      <c r="F347" s="968">
        <v>0</v>
      </c>
      <c r="G347" s="977">
        <v>0</v>
      </c>
      <c r="H347" s="977">
        <v>0</v>
      </c>
      <c r="I347" s="968">
        <v>0</v>
      </c>
      <c r="J347" s="968">
        <v>0</v>
      </c>
      <c r="K347" s="968">
        <v>0</v>
      </c>
    </row>
    <row r="348" spans="1:11" s="672" customFormat="1" x14ac:dyDescent="0.25">
      <c r="A348" s="103">
        <f t="shared" si="30"/>
        <v>267</v>
      </c>
      <c r="B348" s="637" t="s">
        <v>202</v>
      </c>
      <c r="C348" s="979" t="s">
        <v>1562</v>
      </c>
      <c r="D348" s="977">
        <v>0</v>
      </c>
      <c r="E348" s="968">
        <v>0</v>
      </c>
      <c r="F348" s="968">
        <v>0</v>
      </c>
      <c r="G348" s="977">
        <v>0</v>
      </c>
      <c r="H348" s="977">
        <v>0</v>
      </c>
      <c r="I348" s="968">
        <v>0</v>
      </c>
      <c r="J348" s="968">
        <v>0</v>
      </c>
      <c r="K348" s="968">
        <v>0</v>
      </c>
    </row>
    <row r="349" spans="1:11" s="672" customFormat="1" x14ac:dyDescent="0.25">
      <c r="A349" s="103">
        <f t="shared" si="30"/>
        <v>268</v>
      </c>
      <c r="B349" s="639" t="s">
        <v>203</v>
      </c>
      <c r="C349" s="979" t="s">
        <v>1562</v>
      </c>
      <c r="D349" s="977">
        <v>0</v>
      </c>
      <c r="E349" s="968">
        <v>0</v>
      </c>
      <c r="F349" s="968">
        <v>0</v>
      </c>
      <c r="G349" s="977">
        <v>0</v>
      </c>
      <c r="H349" s="977">
        <v>0</v>
      </c>
      <c r="I349" s="968">
        <v>0</v>
      </c>
      <c r="J349" s="968">
        <v>0</v>
      </c>
      <c r="K349" s="968">
        <v>0</v>
      </c>
    </row>
    <row r="350" spans="1:11" s="672" customFormat="1" x14ac:dyDescent="0.25">
      <c r="A350" s="103">
        <f t="shared" si="30"/>
        <v>269</v>
      </c>
      <c r="B350" s="639" t="s">
        <v>1662</v>
      </c>
      <c r="C350" s="979" t="s">
        <v>1562</v>
      </c>
      <c r="D350" s="977">
        <v>0</v>
      </c>
      <c r="E350" s="968">
        <v>0</v>
      </c>
      <c r="F350" s="968">
        <v>0</v>
      </c>
      <c r="G350" s="977">
        <v>0</v>
      </c>
      <c r="H350" s="977">
        <v>0</v>
      </c>
      <c r="I350" s="968">
        <v>0</v>
      </c>
      <c r="J350" s="968">
        <v>0</v>
      </c>
      <c r="K350" s="968">
        <v>0</v>
      </c>
    </row>
    <row r="351" spans="1:11" s="672" customFormat="1" x14ac:dyDescent="0.25">
      <c r="A351" s="103">
        <f t="shared" si="30"/>
        <v>270</v>
      </c>
      <c r="B351" s="637" t="s">
        <v>205</v>
      </c>
      <c r="C351" s="979" t="s">
        <v>1562</v>
      </c>
      <c r="D351" s="977">
        <v>0</v>
      </c>
      <c r="E351" s="968">
        <v>0</v>
      </c>
      <c r="F351" s="968">
        <v>0</v>
      </c>
      <c r="G351" s="977">
        <v>0</v>
      </c>
      <c r="H351" s="977">
        <v>0</v>
      </c>
      <c r="I351" s="968">
        <v>0</v>
      </c>
      <c r="J351" s="968">
        <v>0</v>
      </c>
      <c r="K351" s="968">
        <v>0</v>
      </c>
    </row>
    <row r="352" spans="1:11" s="672" customFormat="1" x14ac:dyDescent="0.25">
      <c r="A352" s="103">
        <f t="shared" si="30"/>
        <v>271</v>
      </c>
      <c r="B352" s="639" t="s">
        <v>206</v>
      </c>
      <c r="C352" s="979" t="s">
        <v>1562</v>
      </c>
      <c r="D352" s="977">
        <v>0</v>
      </c>
      <c r="E352" s="968">
        <v>0</v>
      </c>
      <c r="F352" s="968">
        <v>0</v>
      </c>
      <c r="G352" s="977">
        <v>0</v>
      </c>
      <c r="H352" s="977">
        <v>0</v>
      </c>
      <c r="I352" s="968">
        <v>0</v>
      </c>
      <c r="J352" s="968">
        <v>0</v>
      </c>
      <c r="K352" s="968">
        <v>0</v>
      </c>
    </row>
    <row r="353" spans="1:11" s="672" customFormat="1" x14ac:dyDescent="0.25">
      <c r="A353" s="103">
        <f t="shared" si="30"/>
        <v>272</v>
      </c>
      <c r="B353" s="639" t="s">
        <v>207</v>
      </c>
      <c r="C353" s="979" t="s">
        <v>1562</v>
      </c>
      <c r="D353" s="977">
        <v>0</v>
      </c>
      <c r="E353" s="968">
        <v>0</v>
      </c>
      <c r="F353" s="968">
        <v>0</v>
      </c>
      <c r="G353" s="977">
        <v>0</v>
      </c>
      <c r="H353" s="977">
        <v>0</v>
      </c>
      <c r="I353" s="968">
        <v>0</v>
      </c>
      <c r="J353" s="968">
        <v>0</v>
      </c>
      <c r="K353" s="968">
        <v>0</v>
      </c>
    </row>
    <row r="354" spans="1:11" s="672" customFormat="1" x14ac:dyDescent="0.25">
      <c r="A354" s="103">
        <f t="shared" si="30"/>
        <v>273</v>
      </c>
      <c r="B354" s="637" t="s">
        <v>210</v>
      </c>
      <c r="C354" s="979" t="s">
        <v>1562</v>
      </c>
      <c r="D354" s="977">
        <v>0</v>
      </c>
      <c r="E354" s="968">
        <v>0</v>
      </c>
      <c r="F354" s="968">
        <v>0</v>
      </c>
      <c r="G354" s="977">
        <v>0</v>
      </c>
      <c r="H354" s="977">
        <v>0</v>
      </c>
      <c r="I354" s="968">
        <v>0</v>
      </c>
      <c r="J354" s="968">
        <v>0</v>
      </c>
      <c r="K354" s="968">
        <v>0</v>
      </c>
    </row>
    <row r="355" spans="1:11" s="672" customFormat="1" x14ac:dyDescent="0.25">
      <c r="A355" s="103">
        <f t="shared" si="30"/>
        <v>274</v>
      </c>
      <c r="B355" s="637" t="s">
        <v>209</v>
      </c>
      <c r="C355" s="979" t="s">
        <v>1562</v>
      </c>
      <c r="D355" s="977">
        <v>0</v>
      </c>
      <c r="E355" s="968">
        <v>0</v>
      </c>
      <c r="F355" s="968">
        <v>0</v>
      </c>
      <c r="G355" s="977">
        <v>0</v>
      </c>
      <c r="H355" s="977">
        <v>0</v>
      </c>
      <c r="I355" s="968">
        <v>0</v>
      </c>
      <c r="J355" s="968">
        <v>0</v>
      </c>
      <c r="K355" s="968">
        <v>0</v>
      </c>
    </row>
    <row r="356" spans="1:11" s="672" customFormat="1" x14ac:dyDescent="0.25">
      <c r="A356" s="103">
        <f t="shared" si="30"/>
        <v>275</v>
      </c>
      <c r="B356" s="637" t="s">
        <v>199</v>
      </c>
      <c r="C356" s="979" t="s">
        <v>1562</v>
      </c>
      <c r="D356" s="977">
        <v>0</v>
      </c>
      <c r="E356" s="968">
        <v>0</v>
      </c>
      <c r="F356" s="968">
        <v>0</v>
      </c>
      <c r="G356" s="977">
        <v>0</v>
      </c>
      <c r="H356" s="977">
        <v>0</v>
      </c>
      <c r="I356" s="968">
        <v>0</v>
      </c>
      <c r="J356" s="968">
        <v>0</v>
      </c>
      <c r="K356" s="968">
        <v>0</v>
      </c>
    </row>
    <row r="357" spans="1:11" s="672" customFormat="1" x14ac:dyDescent="0.25">
      <c r="A357" s="103">
        <f t="shared" si="30"/>
        <v>276</v>
      </c>
      <c r="B357" s="637" t="s">
        <v>200</v>
      </c>
      <c r="C357" s="979" t="s">
        <v>1562</v>
      </c>
      <c r="D357" s="977">
        <v>0</v>
      </c>
      <c r="E357" s="968">
        <v>0</v>
      </c>
      <c r="F357" s="968">
        <v>0</v>
      </c>
      <c r="G357" s="977">
        <v>0</v>
      </c>
      <c r="H357" s="977">
        <v>0</v>
      </c>
      <c r="I357" s="968">
        <v>0</v>
      </c>
      <c r="J357" s="968">
        <v>0</v>
      </c>
      <c r="K357" s="968">
        <v>0</v>
      </c>
    </row>
    <row r="358" spans="1:11" s="672" customFormat="1" x14ac:dyDescent="0.25">
      <c r="A358" s="103">
        <f t="shared" si="30"/>
        <v>277</v>
      </c>
      <c r="B358" s="639" t="s">
        <v>201</v>
      </c>
      <c r="C358" s="979" t="s">
        <v>1562</v>
      </c>
      <c r="D358" s="977">
        <v>0</v>
      </c>
      <c r="E358" s="968">
        <v>0</v>
      </c>
      <c r="F358" s="968">
        <v>0</v>
      </c>
      <c r="G358" s="977">
        <v>0</v>
      </c>
      <c r="H358" s="977">
        <v>0</v>
      </c>
      <c r="I358" s="968">
        <v>0</v>
      </c>
      <c r="J358" s="968">
        <v>0</v>
      </c>
      <c r="K358" s="968">
        <v>0</v>
      </c>
    </row>
    <row r="359" spans="1:11" s="672" customFormat="1" x14ac:dyDescent="0.25">
      <c r="A359" s="103">
        <f t="shared" si="30"/>
        <v>278</v>
      </c>
      <c r="B359" s="639" t="s">
        <v>214</v>
      </c>
      <c r="C359" s="979" t="s">
        <v>1562</v>
      </c>
      <c r="D359" s="977">
        <v>0</v>
      </c>
      <c r="E359" s="968">
        <v>0</v>
      </c>
      <c r="F359" s="968">
        <v>0</v>
      </c>
      <c r="G359" s="977">
        <v>0</v>
      </c>
      <c r="H359" s="977">
        <v>0</v>
      </c>
      <c r="I359" s="968">
        <v>0</v>
      </c>
      <c r="J359" s="968">
        <v>0</v>
      </c>
      <c r="K359" s="968">
        <v>0</v>
      </c>
    </row>
    <row r="360" spans="1:11" s="672" customFormat="1" x14ac:dyDescent="0.25">
      <c r="A360" s="103">
        <f t="shared" si="30"/>
        <v>279</v>
      </c>
      <c r="B360" s="637" t="s">
        <v>202</v>
      </c>
      <c r="C360" s="979" t="s">
        <v>1562</v>
      </c>
      <c r="D360" s="977">
        <v>0</v>
      </c>
      <c r="E360" s="968">
        <v>0</v>
      </c>
      <c r="F360" s="968">
        <v>0</v>
      </c>
      <c r="G360" s="977">
        <v>0</v>
      </c>
      <c r="H360" s="977">
        <v>0</v>
      </c>
      <c r="I360" s="968">
        <v>0</v>
      </c>
      <c r="J360" s="968">
        <v>0</v>
      </c>
      <c r="K360" s="968">
        <v>0</v>
      </c>
    </row>
    <row r="361" spans="1:11" s="672" customFormat="1" x14ac:dyDescent="0.25">
      <c r="A361" s="103">
        <f t="shared" si="30"/>
        <v>280</v>
      </c>
      <c r="B361" s="639" t="s">
        <v>203</v>
      </c>
      <c r="C361" s="979" t="s">
        <v>1562</v>
      </c>
      <c r="D361" s="977">
        <v>0</v>
      </c>
      <c r="E361" s="968">
        <v>0</v>
      </c>
      <c r="F361" s="968">
        <v>0</v>
      </c>
      <c r="G361" s="977">
        <v>0</v>
      </c>
      <c r="H361" s="977">
        <v>0</v>
      </c>
      <c r="I361" s="968">
        <v>0</v>
      </c>
      <c r="J361" s="968">
        <v>0</v>
      </c>
      <c r="K361" s="968">
        <v>0</v>
      </c>
    </row>
    <row r="362" spans="1:11" s="672" customFormat="1" x14ac:dyDescent="0.25">
      <c r="A362" s="103">
        <f t="shared" si="30"/>
        <v>281</v>
      </c>
      <c r="B362" s="639" t="s">
        <v>1662</v>
      </c>
      <c r="C362" s="979" t="s">
        <v>1562</v>
      </c>
      <c r="D362" s="977">
        <v>0</v>
      </c>
      <c r="E362" s="968">
        <v>0</v>
      </c>
      <c r="F362" s="968">
        <v>0</v>
      </c>
      <c r="G362" s="977">
        <v>0</v>
      </c>
      <c r="H362" s="977">
        <v>0</v>
      </c>
      <c r="I362" s="968">
        <v>0</v>
      </c>
      <c r="J362" s="968">
        <v>0</v>
      </c>
      <c r="K362" s="968">
        <v>0</v>
      </c>
    </row>
    <row r="363" spans="1:11" s="672" customFormat="1" x14ac:dyDescent="0.25">
      <c r="A363" s="103">
        <f t="shared" si="30"/>
        <v>282</v>
      </c>
      <c r="B363" s="637" t="s">
        <v>205</v>
      </c>
      <c r="C363" s="979" t="s">
        <v>1562</v>
      </c>
      <c r="D363" s="977">
        <v>0</v>
      </c>
      <c r="E363" s="968">
        <v>0</v>
      </c>
      <c r="F363" s="968">
        <v>0</v>
      </c>
      <c r="G363" s="977">
        <v>0</v>
      </c>
      <c r="H363" s="977">
        <v>0</v>
      </c>
      <c r="I363" s="968">
        <v>0</v>
      </c>
      <c r="J363" s="968">
        <v>0</v>
      </c>
      <c r="K363" s="968">
        <v>0</v>
      </c>
    </row>
    <row r="364" spans="1:11" s="672" customFormat="1" x14ac:dyDescent="0.25">
      <c r="A364" s="103">
        <f t="shared" si="30"/>
        <v>283</v>
      </c>
      <c r="B364" s="639" t="s">
        <v>206</v>
      </c>
      <c r="C364" s="979" t="s">
        <v>1562</v>
      </c>
      <c r="D364" s="977">
        <v>0</v>
      </c>
      <c r="E364" s="968">
        <v>0</v>
      </c>
      <c r="F364" s="968">
        <v>0</v>
      </c>
      <c r="G364" s="977">
        <v>0</v>
      </c>
      <c r="H364" s="977">
        <v>0</v>
      </c>
      <c r="I364" s="968">
        <v>0</v>
      </c>
      <c r="J364" s="968">
        <v>0</v>
      </c>
      <c r="K364" s="968">
        <v>0</v>
      </c>
    </row>
    <row r="365" spans="1:11" s="672" customFormat="1" x14ac:dyDescent="0.25">
      <c r="A365" s="103">
        <f t="shared" si="30"/>
        <v>284</v>
      </c>
      <c r="B365" s="639" t="s">
        <v>207</v>
      </c>
      <c r="C365" s="979" t="s">
        <v>1562</v>
      </c>
      <c r="D365" s="977">
        <v>0</v>
      </c>
      <c r="E365" s="968">
        <v>0</v>
      </c>
      <c r="F365" s="968">
        <v>0</v>
      </c>
      <c r="G365" s="977">
        <v>0</v>
      </c>
      <c r="H365" s="977">
        <v>0</v>
      </c>
      <c r="I365" s="968">
        <v>0</v>
      </c>
      <c r="J365" s="968">
        <v>0</v>
      </c>
      <c r="K365" s="968">
        <v>0</v>
      </c>
    </row>
    <row r="366" spans="1:11" s="672" customFormat="1" x14ac:dyDescent="0.25">
      <c r="A366" s="103">
        <f t="shared" si="30"/>
        <v>285</v>
      </c>
      <c r="B366" s="639" t="s">
        <v>210</v>
      </c>
      <c r="C366" s="979" t="s">
        <v>1562</v>
      </c>
      <c r="D366" s="977">
        <v>0</v>
      </c>
      <c r="E366" s="968">
        <v>0</v>
      </c>
      <c r="F366" s="968">
        <v>0</v>
      </c>
      <c r="G366" s="977">
        <v>0</v>
      </c>
      <c r="H366" s="977">
        <v>0</v>
      </c>
      <c r="I366" s="968">
        <v>0</v>
      </c>
      <c r="J366" s="968">
        <v>0</v>
      </c>
      <c r="K366" s="968">
        <v>0</v>
      </c>
    </row>
    <row r="367" spans="1:11" s="672" customFormat="1" x14ac:dyDescent="0.25">
      <c r="A367" s="103">
        <f t="shared" si="30"/>
        <v>286</v>
      </c>
      <c r="B367" s="639" t="s">
        <v>209</v>
      </c>
      <c r="C367" s="979" t="s">
        <v>1562</v>
      </c>
      <c r="D367" s="977">
        <v>0</v>
      </c>
      <c r="E367" s="968">
        <v>0</v>
      </c>
      <c r="F367" s="968">
        <v>0</v>
      </c>
      <c r="G367" s="977">
        <v>0</v>
      </c>
      <c r="H367" s="977">
        <v>0</v>
      </c>
      <c r="I367" s="968">
        <v>0</v>
      </c>
      <c r="J367" s="968">
        <v>0</v>
      </c>
      <c r="K367" s="968">
        <v>0</v>
      </c>
    </row>
    <row r="368" spans="1:11" s="672" customFormat="1" ht="15" x14ac:dyDescent="0.4">
      <c r="A368" s="103">
        <f t="shared" si="30"/>
        <v>287</v>
      </c>
      <c r="B368" s="639" t="s">
        <v>199</v>
      </c>
      <c r="C368" s="979" t="s">
        <v>1562</v>
      </c>
      <c r="D368" s="977">
        <v>0</v>
      </c>
      <c r="E368" s="968">
        <v>0</v>
      </c>
      <c r="F368" s="968">
        <v>0</v>
      </c>
      <c r="G368" s="977">
        <v>0</v>
      </c>
      <c r="H368" s="977">
        <v>0</v>
      </c>
      <c r="I368" s="968">
        <v>0</v>
      </c>
      <c r="J368" s="968">
        <v>0</v>
      </c>
      <c r="K368" s="969">
        <v>0</v>
      </c>
    </row>
    <row r="369" spans="1:11" s="672" customFormat="1" x14ac:dyDescent="0.25">
      <c r="A369" s="103">
        <f t="shared" si="30"/>
        <v>288</v>
      </c>
      <c r="B369"/>
      <c r="C369" s="671" t="s">
        <v>1837</v>
      </c>
      <c r="D369"/>
      <c r="E369"/>
      <c r="F369"/>
      <c r="G369"/>
      <c r="H369"/>
      <c r="I369"/>
      <c r="J369"/>
      <c r="K369" s="985">
        <v>0</v>
      </c>
    </row>
    <row r="370" spans="1:11" s="672" customFormat="1" x14ac:dyDescent="0.25">
      <c r="A370" s="103"/>
      <c r="B370"/>
      <c r="C370" s="671"/>
      <c r="D370"/>
      <c r="E370"/>
      <c r="F370"/>
      <c r="G370"/>
      <c r="H370"/>
      <c r="I370"/>
      <c r="J370"/>
      <c r="K370" s="74"/>
    </row>
    <row r="371" spans="1:11" s="672" customFormat="1" x14ac:dyDescent="0.25">
      <c r="B371" s="673" t="s">
        <v>2353</v>
      </c>
      <c r="D371" s="678" t="s">
        <v>2354</v>
      </c>
      <c r="E371" s="678"/>
      <c r="F371" s="679"/>
    </row>
    <row r="372" spans="1:11" s="672" customFormat="1" x14ac:dyDescent="0.25">
      <c r="A372" s="667"/>
      <c r="B372" s="667"/>
      <c r="C372" s="667"/>
      <c r="D372" s="667" t="s">
        <v>394</v>
      </c>
      <c r="E372" s="667" t="s">
        <v>378</v>
      </c>
      <c r="F372" s="667" t="s">
        <v>379</v>
      </c>
      <c r="G372" s="667" t="s">
        <v>380</v>
      </c>
      <c r="H372" s="667" t="s">
        <v>381</v>
      </c>
      <c r="I372" s="667" t="s">
        <v>382</v>
      </c>
      <c r="J372" s="667" t="s">
        <v>383</v>
      </c>
      <c r="K372" s="667" t="s">
        <v>595</v>
      </c>
    </row>
    <row r="373" spans="1:11" s="672" customFormat="1" ht="39.6" x14ac:dyDescent="0.25">
      <c r="D373" s="674"/>
      <c r="E373" s="675" t="s">
        <v>2584</v>
      </c>
      <c r="F373" s="676" t="s">
        <v>2335</v>
      </c>
      <c r="G373" s="475"/>
      <c r="H373" s="674"/>
      <c r="I373" s="675" t="s">
        <v>2585</v>
      </c>
      <c r="J373" s="675" t="s">
        <v>2336</v>
      </c>
      <c r="K373" s="675" t="s">
        <v>2337</v>
      </c>
    </row>
    <row r="374" spans="1:11" s="672" customFormat="1" x14ac:dyDescent="0.25">
      <c r="D374" s="674"/>
      <c r="E374" s="675"/>
      <c r="F374" s="676"/>
      <c r="G374" s="4" t="str">
        <f>G51</f>
        <v>Unloaded</v>
      </c>
      <c r="H374" s="674"/>
      <c r="I374" s="675"/>
      <c r="J374" s="675"/>
      <c r="K374" s="675"/>
    </row>
    <row r="375" spans="1:11" s="672" customFormat="1" x14ac:dyDescent="0.25">
      <c r="A375" s="669"/>
      <c r="B375" s="669"/>
      <c r="C375" s="669"/>
      <c r="D375" s="669" t="str">
        <f>D$52</f>
        <v>Forecast</v>
      </c>
      <c r="E375" s="669" t="str">
        <f t="shared" ref="E375:J375" si="31">E$52</f>
        <v>Corporate</v>
      </c>
      <c r="F375" s="669" t="str">
        <f t="shared" si="31"/>
        <v xml:space="preserve">Total </v>
      </c>
      <c r="G375" s="4" t="str">
        <f>G52</f>
        <v>Total</v>
      </c>
      <c r="H375" s="669" t="str">
        <f t="shared" si="31"/>
        <v>Prior Period</v>
      </c>
      <c r="I375" s="669" t="str">
        <f t="shared" si="31"/>
        <v>Over Heads</v>
      </c>
      <c r="J375" s="669" t="str">
        <f t="shared" si="31"/>
        <v>Forecast</v>
      </c>
      <c r="K375" s="669" t="str">
        <f>K$52</f>
        <v>Forecast Period</v>
      </c>
    </row>
    <row r="376" spans="1:11" s="672" customFormat="1" x14ac:dyDescent="0.25">
      <c r="A376" s="879" t="s">
        <v>360</v>
      </c>
      <c r="B376" s="636" t="s">
        <v>211</v>
      </c>
      <c r="C376" s="636" t="s">
        <v>212</v>
      </c>
      <c r="D376" s="667" t="str">
        <f>D$53</f>
        <v>Expenditures</v>
      </c>
      <c r="E376" s="667" t="str">
        <f t="shared" ref="E376:J376" si="32">E$53</f>
        <v>Overheads</v>
      </c>
      <c r="F376" s="667" t="str">
        <f t="shared" si="32"/>
        <v>CWIP Exp</v>
      </c>
      <c r="G376" s="84" t="str">
        <f>G53</f>
        <v>Plant Adds</v>
      </c>
      <c r="H376" s="667" t="str">
        <f t="shared" si="32"/>
        <v>CWIP Closed</v>
      </c>
      <c r="I376" s="667" t="str">
        <f t="shared" si="32"/>
        <v>Closed to PIS</v>
      </c>
      <c r="J376" s="667" t="str">
        <f t="shared" si="32"/>
        <v>Period CWIP</v>
      </c>
      <c r="K376" s="667" t="str">
        <f>K$53</f>
        <v>Incremental CWIP</v>
      </c>
    </row>
    <row r="377" spans="1:11" s="672" customFormat="1" x14ac:dyDescent="0.25">
      <c r="A377" s="103">
        <f>A369+1</f>
        <v>289</v>
      </c>
      <c r="B377" s="637" t="s">
        <v>199</v>
      </c>
      <c r="C377" s="979" t="s">
        <v>1562</v>
      </c>
      <c r="D377" s="676" t="s">
        <v>86</v>
      </c>
      <c r="E377" s="676" t="s">
        <v>86</v>
      </c>
      <c r="F377" s="676" t="s">
        <v>86</v>
      </c>
      <c r="G377" s="676" t="s">
        <v>86</v>
      </c>
      <c r="H377" s="676" t="s">
        <v>86</v>
      </c>
      <c r="I377" s="676" t="s">
        <v>86</v>
      </c>
      <c r="J377" s="61">
        <v>0</v>
      </c>
      <c r="K377" s="676" t="s">
        <v>86</v>
      </c>
    </row>
    <row r="378" spans="1:11" s="672" customFormat="1" x14ac:dyDescent="0.25">
      <c r="A378" s="103">
        <f>A377+1</f>
        <v>290</v>
      </c>
      <c r="B378" s="637" t="s">
        <v>200</v>
      </c>
      <c r="C378" s="979" t="s">
        <v>1562</v>
      </c>
      <c r="D378" s="977">
        <v>0</v>
      </c>
      <c r="E378" s="968">
        <v>0</v>
      </c>
      <c r="F378" s="968">
        <v>0</v>
      </c>
      <c r="G378" s="977">
        <v>0</v>
      </c>
      <c r="H378" s="977">
        <v>0</v>
      </c>
      <c r="I378" s="968">
        <v>0</v>
      </c>
      <c r="J378" s="968">
        <v>0</v>
      </c>
      <c r="K378" s="968">
        <v>0</v>
      </c>
    </row>
    <row r="379" spans="1:11" s="672" customFormat="1" x14ac:dyDescent="0.25">
      <c r="A379" s="103">
        <f t="shared" ref="A379:A402" si="33">A378+1</f>
        <v>291</v>
      </c>
      <c r="B379" s="639" t="s">
        <v>201</v>
      </c>
      <c r="C379" s="979" t="s">
        <v>1562</v>
      </c>
      <c r="D379" s="977">
        <v>0</v>
      </c>
      <c r="E379" s="968">
        <v>0</v>
      </c>
      <c r="F379" s="968">
        <v>0</v>
      </c>
      <c r="G379" s="977">
        <v>0</v>
      </c>
      <c r="H379" s="977">
        <v>0</v>
      </c>
      <c r="I379" s="968">
        <v>0</v>
      </c>
      <c r="J379" s="968">
        <v>0</v>
      </c>
      <c r="K379" s="968">
        <v>0</v>
      </c>
    </row>
    <row r="380" spans="1:11" s="672" customFormat="1" x14ac:dyDescent="0.25">
      <c r="A380" s="103">
        <f t="shared" si="33"/>
        <v>292</v>
      </c>
      <c r="B380" s="639" t="s">
        <v>214</v>
      </c>
      <c r="C380" s="979" t="s">
        <v>1562</v>
      </c>
      <c r="D380" s="977">
        <v>0</v>
      </c>
      <c r="E380" s="968">
        <v>0</v>
      </c>
      <c r="F380" s="968">
        <v>0</v>
      </c>
      <c r="G380" s="977">
        <v>0</v>
      </c>
      <c r="H380" s="977">
        <v>0</v>
      </c>
      <c r="I380" s="968">
        <v>0</v>
      </c>
      <c r="J380" s="968">
        <v>0</v>
      </c>
      <c r="K380" s="968">
        <v>0</v>
      </c>
    </row>
    <row r="381" spans="1:11" s="672" customFormat="1" x14ac:dyDescent="0.25">
      <c r="A381" s="103">
        <f t="shared" si="33"/>
        <v>293</v>
      </c>
      <c r="B381" s="637" t="s">
        <v>202</v>
      </c>
      <c r="C381" s="979" t="s">
        <v>1562</v>
      </c>
      <c r="D381" s="977">
        <v>0</v>
      </c>
      <c r="E381" s="968">
        <v>0</v>
      </c>
      <c r="F381" s="968">
        <v>0</v>
      </c>
      <c r="G381" s="977">
        <v>0</v>
      </c>
      <c r="H381" s="977">
        <v>0</v>
      </c>
      <c r="I381" s="968">
        <v>0</v>
      </c>
      <c r="J381" s="968">
        <v>0</v>
      </c>
      <c r="K381" s="968">
        <v>0</v>
      </c>
    </row>
    <row r="382" spans="1:11" s="672" customFormat="1" x14ac:dyDescent="0.25">
      <c r="A382" s="103">
        <f t="shared" si="33"/>
        <v>294</v>
      </c>
      <c r="B382" s="639" t="s">
        <v>203</v>
      </c>
      <c r="C382" s="979" t="s">
        <v>1562</v>
      </c>
      <c r="D382" s="977">
        <v>0</v>
      </c>
      <c r="E382" s="968">
        <v>0</v>
      </c>
      <c r="F382" s="968">
        <v>0</v>
      </c>
      <c r="G382" s="977">
        <v>0</v>
      </c>
      <c r="H382" s="977">
        <v>0</v>
      </c>
      <c r="I382" s="968">
        <v>0</v>
      </c>
      <c r="J382" s="968">
        <v>0</v>
      </c>
      <c r="K382" s="968">
        <v>0</v>
      </c>
    </row>
    <row r="383" spans="1:11" s="672" customFormat="1" x14ac:dyDescent="0.25">
      <c r="A383" s="103">
        <f t="shared" si="33"/>
        <v>295</v>
      </c>
      <c r="B383" s="639" t="s">
        <v>1662</v>
      </c>
      <c r="C383" s="979" t="s">
        <v>1562</v>
      </c>
      <c r="D383" s="977">
        <v>0</v>
      </c>
      <c r="E383" s="968">
        <v>0</v>
      </c>
      <c r="F383" s="968">
        <v>0</v>
      </c>
      <c r="G383" s="977">
        <v>0</v>
      </c>
      <c r="H383" s="977">
        <v>0</v>
      </c>
      <c r="I383" s="968">
        <v>0</v>
      </c>
      <c r="J383" s="968">
        <v>0</v>
      </c>
      <c r="K383" s="968">
        <v>0</v>
      </c>
    </row>
    <row r="384" spans="1:11" s="672" customFormat="1" x14ac:dyDescent="0.25">
      <c r="A384" s="103">
        <f t="shared" si="33"/>
        <v>296</v>
      </c>
      <c r="B384" s="637" t="s">
        <v>205</v>
      </c>
      <c r="C384" s="979" t="s">
        <v>1562</v>
      </c>
      <c r="D384" s="977">
        <v>0</v>
      </c>
      <c r="E384" s="968">
        <v>0</v>
      </c>
      <c r="F384" s="968">
        <v>0</v>
      </c>
      <c r="G384" s="977">
        <v>0</v>
      </c>
      <c r="H384" s="977">
        <v>0</v>
      </c>
      <c r="I384" s="968">
        <v>0</v>
      </c>
      <c r="J384" s="968">
        <v>0</v>
      </c>
      <c r="K384" s="968">
        <v>0</v>
      </c>
    </row>
    <row r="385" spans="1:11" s="672" customFormat="1" x14ac:dyDescent="0.25">
      <c r="A385" s="103">
        <f t="shared" si="33"/>
        <v>297</v>
      </c>
      <c r="B385" s="639" t="s">
        <v>206</v>
      </c>
      <c r="C385" s="979" t="s">
        <v>1562</v>
      </c>
      <c r="D385" s="977">
        <v>0</v>
      </c>
      <c r="E385" s="968">
        <v>0</v>
      </c>
      <c r="F385" s="968">
        <v>0</v>
      </c>
      <c r="G385" s="977">
        <v>0</v>
      </c>
      <c r="H385" s="977">
        <v>0</v>
      </c>
      <c r="I385" s="968">
        <v>0</v>
      </c>
      <c r="J385" s="968">
        <v>0</v>
      </c>
      <c r="K385" s="968">
        <v>0</v>
      </c>
    </row>
    <row r="386" spans="1:11" s="672" customFormat="1" x14ac:dyDescent="0.25">
      <c r="A386" s="103">
        <f t="shared" si="33"/>
        <v>298</v>
      </c>
      <c r="B386" s="639" t="s">
        <v>207</v>
      </c>
      <c r="C386" s="979" t="s">
        <v>1562</v>
      </c>
      <c r="D386" s="977">
        <v>0</v>
      </c>
      <c r="E386" s="968">
        <v>0</v>
      </c>
      <c r="F386" s="968">
        <v>0</v>
      </c>
      <c r="G386" s="977">
        <v>0</v>
      </c>
      <c r="H386" s="977">
        <v>0</v>
      </c>
      <c r="I386" s="968">
        <v>0</v>
      </c>
      <c r="J386" s="968">
        <v>0</v>
      </c>
      <c r="K386" s="968">
        <v>0</v>
      </c>
    </row>
    <row r="387" spans="1:11" s="672" customFormat="1" x14ac:dyDescent="0.25">
      <c r="A387" s="103">
        <f t="shared" si="33"/>
        <v>299</v>
      </c>
      <c r="B387" s="637" t="s">
        <v>210</v>
      </c>
      <c r="C387" s="979" t="s">
        <v>1562</v>
      </c>
      <c r="D387" s="977">
        <v>0</v>
      </c>
      <c r="E387" s="968">
        <v>0</v>
      </c>
      <c r="F387" s="968">
        <v>0</v>
      </c>
      <c r="G387" s="977">
        <v>0</v>
      </c>
      <c r="H387" s="977">
        <v>0</v>
      </c>
      <c r="I387" s="968">
        <v>0</v>
      </c>
      <c r="J387" s="968">
        <v>0</v>
      </c>
      <c r="K387" s="968">
        <v>0</v>
      </c>
    </row>
    <row r="388" spans="1:11" s="672" customFormat="1" x14ac:dyDescent="0.25">
      <c r="A388" s="103">
        <f t="shared" si="33"/>
        <v>300</v>
      </c>
      <c r="B388" s="637" t="s">
        <v>209</v>
      </c>
      <c r="C388" s="979" t="s">
        <v>1562</v>
      </c>
      <c r="D388" s="977">
        <v>0</v>
      </c>
      <c r="E388" s="968">
        <v>0</v>
      </c>
      <c r="F388" s="968">
        <v>0</v>
      </c>
      <c r="G388" s="977">
        <v>0</v>
      </c>
      <c r="H388" s="977">
        <v>0</v>
      </c>
      <c r="I388" s="968">
        <v>0</v>
      </c>
      <c r="J388" s="968">
        <v>0</v>
      </c>
      <c r="K388" s="968">
        <v>0</v>
      </c>
    </row>
    <row r="389" spans="1:11" s="672" customFormat="1" x14ac:dyDescent="0.25">
      <c r="A389" s="103">
        <f t="shared" si="33"/>
        <v>301</v>
      </c>
      <c r="B389" s="637" t="s">
        <v>199</v>
      </c>
      <c r="C389" s="979" t="s">
        <v>1562</v>
      </c>
      <c r="D389" s="977">
        <v>0</v>
      </c>
      <c r="E389" s="968">
        <v>0</v>
      </c>
      <c r="F389" s="968">
        <v>0</v>
      </c>
      <c r="G389" s="977">
        <v>0</v>
      </c>
      <c r="H389" s="977">
        <v>0</v>
      </c>
      <c r="I389" s="968">
        <v>0</v>
      </c>
      <c r="J389" s="968">
        <v>0</v>
      </c>
      <c r="K389" s="968">
        <v>0</v>
      </c>
    </row>
    <row r="390" spans="1:11" s="672" customFormat="1" x14ac:dyDescent="0.25">
      <c r="A390" s="103">
        <f t="shared" si="33"/>
        <v>302</v>
      </c>
      <c r="B390" s="637" t="s">
        <v>200</v>
      </c>
      <c r="C390" s="979" t="s">
        <v>1562</v>
      </c>
      <c r="D390" s="977">
        <v>0</v>
      </c>
      <c r="E390" s="968">
        <v>0</v>
      </c>
      <c r="F390" s="968">
        <v>0</v>
      </c>
      <c r="G390" s="977">
        <v>0</v>
      </c>
      <c r="H390" s="977">
        <v>0</v>
      </c>
      <c r="I390" s="968">
        <v>0</v>
      </c>
      <c r="J390" s="968">
        <v>0</v>
      </c>
      <c r="K390" s="968">
        <v>0</v>
      </c>
    </row>
    <row r="391" spans="1:11" s="672" customFormat="1" x14ac:dyDescent="0.25">
      <c r="A391" s="103">
        <f t="shared" si="33"/>
        <v>303</v>
      </c>
      <c r="B391" s="639" t="s">
        <v>201</v>
      </c>
      <c r="C391" s="979" t="s">
        <v>1562</v>
      </c>
      <c r="D391" s="977">
        <v>0</v>
      </c>
      <c r="E391" s="968">
        <v>0</v>
      </c>
      <c r="F391" s="968">
        <v>0</v>
      </c>
      <c r="G391" s="977">
        <v>0</v>
      </c>
      <c r="H391" s="977">
        <v>0</v>
      </c>
      <c r="I391" s="968">
        <v>0</v>
      </c>
      <c r="J391" s="968">
        <v>0</v>
      </c>
      <c r="K391" s="968">
        <v>0</v>
      </c>
    </row>
    <row r="392" spans="1:11" s="672" customFormat="1" x14ac:dyDescent="0.25">
      <c r="A392" s="103">
        <f t="shared" si="33"/>
        <v>304</v>
      </c>
      <c r="B392" s="639" t="s">
        <v>214</v>
      </c>
      <c r="C392" s="979" t="s">
        <v>1562</v>
      </c>
      <c r="D392" s="977">
        <v>0</v>
      </c>
      <c r="E392" s="968">
        <v>0</v>
      </c>
      <c r="F392" s="968">
        <v>0</v>
      </c>
      <c r="G392" s="977">
        <v>0</v>
      </c>
      <c r="H392" s="977">
        <v>0</v>
      </c>
      <c r="I392" s="968">
        <v>0</v>
      </c>
      <c r="J392" s="968">
        <v>0</v>
      </c>
      <c r="K392" s="968">
        <v>0</v>
      </c>
    </row>
    <row r="393" spans="1:11" s="672" customFormat="1" x14ac:dyDescent="0.25">
      <c r="A393" s="103">
        <f t="shared" si="33"/>
        <v>305</v>
      </c>
      <c r="B393" s="637" t="s">
        <v>202</v>
      </c>
      <c r="C393" s="979" t="s">
        <v>1562</v>
      </c>
      <c r="D393" s="977">
        <v>0</v>
      </c>
      <c r="E393" s="968">
        <v>0</v>
      </c>
      <c r="F393" s="968">
        <v>0</v>
      </c>
      <c r="G393" s="977">
        <v>0</v>
      </c>
      <c r="H393" s="977">
        <v>0</v>
      </c>
      <c r="I393" s="968">
        <v>0</v>
      </c>
      <c r="J393" s="968">
        <v>0</v>
      </c>
      <c r="K393" s="968">
        <v>0</v>
      </c>
    </row>
    <row r="394" spans="1:11" s="672" customFormat="1" x14ac:dyDescent="0.25">
      <c r="A394" s="103">
        <f t="shared" si="33"/>
        <v>306</v>
      </c>
      <c r="B394" s="639" t="s">
        <v>203</v>
      </c>
      <c r="C394" s="979" t="s">
        <v>1562</v>
      </c>
      <c r="D394" s="977">
        <v>0</v>
      </c>
      <c r="E394" s="968">
        <v>0</v>
      </c>
      <c r="F394" s="968">
        <v>0</v>
      </c>
      <c r="G394" s="977">
        <v>0</v>
      </c>
      <c r="H394" s="977">
        <v>0</v>
      </c>
      <c r="I394" s="968">
        <v>0</v>
      </c>
      <c r="J394" s="968">
        <v>0</v>
      </c>
      <c r="K394" s="968">
        <v>0</v>
      </c>
    </row>
    <row r="395" spans="1:11" s="672" customFormat="1" x14ac:dyDescent="0.25">
      <c r="A395" s="103">
        <f t="shared" si="33"/>
        <v>307</v>
      </c>
      <c r="B395" s="639" t="s">
        <v>1662</v>
      </c>
      <c r="C395" s="979" t="s">
        <v>1562</v>
      </c>
      <c r="D395" s="977">
        <v>0</v>
      </c>
      <c r="E395" s="968">
        <v>0</v>
      </c>
      <c r="F395" s="968">
        <v>0</v>
      </c>
      <c r="G395" s="977">
        <v>0</v>
      </c>
      <c r="H395" s="977">
        <v>0</v>
      </c>
      <c r="I395" s="968">
        <v>0</v>
      </c>
      <c r="J395" s="968">
        <v>0</v>
      </c>
      <c r="K395" s="968">
        <v>0</v>
      </c>
    </row>
    <row r="396" spans="1:11" s="672" customFormat="1" x14ac:dyDescent="0.25">
      <c r="A396" s="103">
        <f t="shared" si="33"/>
        <v>308</v>
      </c>
      <c r="B396" s="637" t="s">
        <v>205</v>
      </c>
      <c r="C396" s="979" t="s">
        <v>1562</v>
      </c>
      <c r="D396" s="977">
        <v>0</v>
      </c>
      <c r="E396" s="968">
        <v>0</v>
      </c>
      <c r="F396" s="968">
        <v>0</v>
      </c>
      <c r="G396" s="977">
        <v>0</v>
      </c>
      <c r="H396" s="977">
        <v>0</v>
      </c>
      <c r="I396" s="968">
        <v>0</v>
      </c>
      <c r="J396" s="968">
        <v>0</v>
      </c>
      <c r="K396" s="968">
        <v>0</v>
      </c>
    </row>
    <row r="397" spans="1:11" s="672" customFormat="1" x14ac:dyDescent="0.25">
      <c r="A397" s="103">
        <f t="shared" si="33"/>
        <v>309</v>
      </c>
      <c r="B397" s="639" t="s">
        <v>206</v>
      </c>
      <c r="C397" s="979" t="s">
        <v>1562</v>
      </c>
      <c r="D397" s="977">
        <v>0</v>
      </c>
      <c r="E397" s="968">
        <v>0</v>
      </c>
      <c r="F397" s="968">
        <v>0</v>
      </c>
      <c r="G397" s="977">
        <v>0</v>
      </c>
      <c r="H397" s="977">
        <v>0</v>
      </c>
      <c r="I397" s="968">
        <v>0</v>
      </c>
      <c r="J397" s="968">
        <v>0</v>
      </c>
      <c r="K397" s="968">
        <v>0</v>
      </c>
    </row>
    <row r="398" spans="1:11" s="672" customFormat="1" x14ac:dyDescent="0.25">
      <c r="A398" s="103">
        <f t="shared" si="33"/>
        <v>310</v>
      </c>
      <c r="B398" s="639" t="s">
        <v>207</v>
      </c>
      <c r="C398" s="979" t="s">
        <v>1562</v>
      </c>
      <c r="D398" s="977">
        <v>0</v>
      </c>
      <c r="E398" s="968">
        <v>0</v>
      </c>
      <c r="F398" s="968">
        <v>0</v>
      </c>
      <c r="G398" s="977">
        <v>0</v>
      </c>
      <c r="H398" s="977">
        <v>0</v>
      </c>
      <c r="I398" s="968">
        <v>0</v>
      </c>
      <c r="J398" s="968">
        <v>0</v>
      </c>
      <c r="K398" s="968">
        <v>0</v>
      </c>
    </row>
    <row r="399" spans="1:11" s="672" customFormat="1" x14ac:dyDescent="0.25">
      <c r="A399" s="103">
        <f t="shared" si="33"/>
        <v>311</v>
      </c>
      <c r="B399" s="639" t="s">
        <v>210</v>
      </c>
      <c r="C399" s="979" t="s">
        <v>1562</v>
      </c>
      <c r="D399" s="977">
        <v>0</v>
      </c>
      <c r="E399" s="968">
        <v>0</v>
      </c>
      <c r="F399" s="968">
        <v>0</v>
      </c>
      <c r="G399" s="977">
        <v>0</v>
      </c>
      <c r="H399" s="977">
        <v>0</v>
      </c>
      <c r="I399" s="968">
        <v>0</v>
      </c>
      <c r="J399" s="968">
        <v>0</v>
      </c>
      <c r="K399" s="968">
        <v>0</v>
      </c>
    </row>
    <row r="400" spans="1:11" s="672" customFormat="1" x14ac:dyDescent="0.25">
      <c r="A400" s="103">
        <f t="shared" si="33"/>
        <v>312</v>
      </c>
      <c r="B400" s="639" t="s">
        <v>209</v>
      </c>
      <c r="C400" s="979" t="s">
        <v>1562</v>
      </c>
      <c r="D400" s="977">
        <v>0</v>
      </c>
      <c r="E400" s="968">
        <v>0</v>
      </c>
      <c r="F400" s="968">
        <v>0</v>
      </c>
      <c r="G400" s="977">
        <v>0</v>
      </c>
      <c r="H400" s="977">
        <v>0</v>
      </c>
      <c r="I400" s="968">
        <v>0</v>
      </c>
      <c r="J400" s="968">
        <v>0</v>
      </c>
      <c r="K400" s="968">
        <v>0</v>
      </c>
    </row>
    <row r="401" spans="1:11" s="672" customFormat="1" ht="15" x14ac:dyDescent="0.4">
      <c r="A401" s="103">
        <f t="shared" si="33"/>
        <v>313</v>
      </c>
      <c r="B401" s="639" t="s">
        <v>199</v>
      </c>
      <c r="C401" s="979" t="s">
        <v>1562</v>
      </c>
      <c r="D401" s="977">
        <v>0</v>
      </c>
      <c r="E401" s="968">
        <v>0</v>
      </c>
      <c r="F401" s="968">
        <v>0</v>
      </c>
      <c r="G401" s="977">
        <v>0</v>
      </c>
      <c r="H401" s="977">
        <v>0</v>
      </c>
      <c r="I401" s="968">
        <v>0</v>
      </c>
      <c r="J401" s="968">
        <v>0</v>
      </c>
      <c r="K401" s="969">
        <v>0</v>
      </c>
    </row>
    <row r="402" spans="1:11" s="672" customFormat="1" x14ac:dyDescent="0.25">
      <c r="A402" s="103">
        <f t="shared" si="33"/>
        <v>314</v>
      </c>
      <c r="B402"/>
      <c r="C402" s="671" t="s">
        <v>1837</v>
      </c>
      <c r="D402"/>
      <c r="E402"/>
      <c r="F402"/>
      <c r="G402"/>
      <c r="H402"/>
      <c r="I402"/>
      <c r="J402"/>
      <c r="K402" s="985">
        <v>0</v>
      </c>
    </row>
    <row r="403" spans="1:11" s="672" customFormat="1" x14ac:dyDescent="0.25">
      <c r="A403" s="103"/>
      <c r="B403"/>
      <c r="C403" s="671"/>
      <c r="H403" s="676"/>
      <c r="I403" s="676"/>
      <c r="K403" s="74"/>
    </row>
    <row r="404" spans="1:11" s="672" customFormat="1" x14ac:dyDescent="0.25">
      <c r="A404" s="103"/>
      <c r="B404"/>
      <c r="C404" s="671"/>
      <c r="H404" s="676"/>
      <c r="I404" s="676"/>
      <c r="K404" s="74"/>
    </row>
    <row r="405" spans="1:11" s="672" customFormat="1" x14ac:dyDescent="0.25">
      <c r="A405" s="669"/>
      <c r="B405" s="643" t="s">
        <v>256</v>
      </c>
      <c r="C405"/>
      <c r="D405"/>
      <c r="E405"/>
      <c r="F405"/>
      <c r="G405"/>
      <c r="H405"/>
      <c r="I405"/>
    </row>
    <row r="406" spans="1:11" s="672" customFormat="1" x14ac:dyDescent="0.25">
      <c r="A406" s="669"/>
      <c r="B406" s="639" t="s">
        <v>2582</v>
      </c>
    </row>
    <row r="407" spans="1:11" s="672" customFormat="1" x14ac:dyDescent="0.25">
      <c r="A407" s="669"/>
      <c r="B407" s="639" t="s">
        <v>2583</v>
      </c>
      <c r="C407"/>
      <c r="D407"/>
      <c r="E407"/>
      <c r="F407"/>
      <c r="G407"/>
      <c r="H407"/>
      <c r="I407"/>
    </row>
    <row r="408" spans="1:11" s="672" customFormat="1" x14ac:dyDescent="0.25">
      <c r="A408" s="669"/>
      <c r="C408"/>
      <c r="D408"/>
      <c r="E408"/>
      <c r="F408"/>
      <c r="G408"/>
      <c r="H408"/>
      <c r="I408"/>
    </row>
    <row r="409" spans="1:11" s="672" customFormat="1" x14ac:dyDescent="0.25">
      <c r="A409" s="669"/>
      <c r="B409" s="1" t="s">
        <v>420</v>
      </c>
      <c r="C409"/>
      <c r="D409"/>
      <c r="E409"/>
      <c r="F409"/>
      <c r="G409"/>
      <c r="H409"/>
      <c r="I409"/>
    </row>
    <row r="410" spans="1:11" s="672" customFormat="1" x14ac:dyDescent="0.25">
      <c r="A410" s="669"/>
      <c r="B410" s="466" t="s">
        <v>1087</v>
      </c>
      <c r="C410"/>
      <c r="D410"/>
      <c r="E410"/>
      <c r="F410"/>
      <c r="G410"/>
      <c r="H410"/>
      <c r="I410"/>
    </row>
    <row r="411" spans="1:11" s="672" customFormat="1" x14ac:dyDescent="0.25">
      <c r="A411" s="669"/>
      <c r="B411" s="466" t="s">
        <v>2692</v>
      </c>
      <c r="C411"/>
      <c r="D411"/>
      <c r="E411"/>
      <c r="F411"/>
      <c r="G411"/>
      <c r="H411"/>
      <c r="I411"/>
    </row>
    <row r="412" spans="1:11" s="672" customFormat="1" x14ac:dyDescent="0.25">
      <c r="A412" s="669"/>
      <c r="B412" s="468" t="s">
        <v>2355</v>
      </c>
      <c r="C412" s="13"/>
      <c r="D412" s="13"/>
      <c r="E412" s="13"/>
      <c r="F412" s="13"/>
      <c r="G412" s="13"/>
      <c r="H412" s="13"/>
      <c r="I412" s="13"/>
    </row>
    <row r="413" spans="1:11" s="672" customFormat="1" x14ac:dyDescent="0.25">
      <c r="A413" s="669"/>
      <c r="B413" s="465"/>
      <c r="C413" s="13"/>
      <c r="D413" s="13"/>
      <c r="E413" s="13"/>
      <c r="F413" s="13"/>
      <c r="G413" s="13"/>
      <c r="H413" s="13"/>
      <c r="I413" s="13"/>
    </row>
    <row r="414" spans="1:11" s="672" customFormat="1" x14ac:dyDescent="0.25">
      <c r="A414" s="669"/>
      <c r="B414" s="639"/>
      <c r="C414" s="680"/>
      <c r="H414" s="676"/>
      <c r="I414" s="676"/>
    </row>
    <row r="415" spans="1:11" s="672" customFormat="1" x14ac:dyDescent="0.25">
      <c r="A415" s="669"/>
      <c r="B415" s="639"/>
      <c r="C415" s="680"/>
      <c r="H415" s="676"/>
      <c r="I415" s="676"/>
    </row>
    <row r="416" spans="1:11" s="672" customFormat="1" x14ac:dyDescent="0.25">
      <c r="A416" s="669"/>
      <c r="B416" s="639"/>
      <c r="C416" s="680"/>
      <c r="H416" s="676"/>
      <c r="I416" s="676"/>
    </row>
    <row r="417" spans="1:11" s="672" customFormat="1" x14ac:dyDescent="0.25">
      <c r="A417" s="669"/>
      <c r="B417" s="639"/>
      <c r="C417" s="680"/>
      <c r="H417" s="676"/>
      <c r="I417" s="676"/>
    </row>
    <row r="418" spans="1:11" s="672" customFormat="1" x14ac:dyDescent="0.25">
      <c r="A418" s="669"/>
      <c r="B418" s="639"/>
      <c r="C418" s="680"/>
      <c r="D418" s="681"/>
      <c r="E418" s="681"/>
      <c r="F418" s="681"/>
      <c r="G418" s="681"/>
      <c r="H418" s="676"/>
      <c r="I418" s="676"/>
    </row>
    <row r="419" spans="1:11" s="672" customFormat="1" x14ac:dyDescent="0.25">
      <c r="A419" s="669"/>
      <c r="C419" s="682"/>
      <c r="D419" s="683"/>
      <c r="E419" s="683"/>
      <c r="F419" s="683"/>
      <c r="G419" s="683"/>
      <c r="H419" s="676"/>
      <c r="I419" s="676"/>
    </row>
    <row r="420" spans="1:11" s="672" customFormat="1" x14ac:dyDescent="0.25"/>
    <row r="421" spans="1:11" s="672" customFormat="1" x14ac:dyDescent="0.25">
      <c r="B421" s="643"/>
    </row>
    <row r="422" spans="1:11" s="672" customFormat="1" x14ac:dyDescent="0.25">
      <c r="B422" s="639"/>
    </row>
    <row r="423" spans="1:11" x14ac:dyDescent="0.25">
      <c r="A423" s="672"/>
      <c r="B423" s="672"/>
      <c r="C423" s="672"/>
      <c r="D423" s="672"/>
      <c r="E423" s="672"/>
      <c r="F423" s="672"/>
      <c r="G423" s="672"/>
      <c r="H423" s="672"/>
      <c r="I423" s="672"/>
      <c r="J423" s="672"/>
      <c r="K423" s="672"/>
    </row>
    <row r="424" spans="1:11" x14ac:dyDescent="0.25">
      <c r="A424" s="672"/>
      <c r="B424" s="684"/>
      <c r="C424" s="672"/>
      <c r="D424" s="672"/>
      <c r="E424" s="672"/>
      <c r="F424" s="672"/>
      <c r="G424" s="672"/>
      <c r="H424" s="672"/>
      <c r="I424" s="672"/>
      <c r="J424" s="672"/>
      <c r="K424" s="672"/>
    </row>
    <row r="425" spans="1:11" x14ac:dyDescent="0.25">
      <c r="A425" s="672"/>
      <c r="B425" s="685"/>
      <c r="C425" s="672"/>
      <c r="D425" s="672"/>
      <c r="E425" s="672"/>
      <c r="F425" s="672"/>
      <c r="G425" s="672"/>
      <c r="H425" s="672"/>
      <c r="I425" s="672"/>
      <c r="J425" s="672"/>
      <c r="K425" s="672"/>
    </row>
    <row r="426" spans="1:11" x14ac:dyDescent="0.25">
      <c r="A426" s="672"/>
      <c r="B426" s="685"/>
      <c r="C426" s="672"/>
      <c r="D426" s="672"/>
      <c r="E426" s="672"/>
      <c r="F426" s="672"/>
      <c r="G426" s="672"/>
      <c r="H426" s="672"/>
      <c r="I426" s="672"/>
      <c r="J426" s="672"/>
      <c r="K426" s="672"/>
    </row>
    <row r="427" spans="1:11" x14ac:dyDescent="0.25">
      <c r="A427" s="672"/>
      <c r="B427" s="685"/>
      <c r="C427" s="672"/>
      <c r="D427" s="672"/>
      <c r="E427" s="672"/>
      <c r="F427" s="672"/>
      <c r="G427" s="672"/>
      <c r="H427" s="672"/>
      <c r="I427" s="672"/>
      <c r="J427" s="672"/>
      <c r="K427" s="672"/>
    </row>
    <row r="428" spans="1:11" x14ac:dyDescent="0.25">
      <c r="A428" s="672"/>
      <c r="B428" s="686"/>
      <c r="C428" s="672"/>
      <c r="D428" s="672"/>
      <c r="E428" s="672"/>
      <c r="F428" s="672"/>
      <c r="G428" s="672"/>
      <c r="H428" s="672"/>
      <c r="I428" s="672"/>
      <c r="J428" s="672"/>
      <c r="K428" s="672"/>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58" orientation="landscape" cellComments="asDisplayed" r:id="rId1"/>
  <headerFooter>
    <oddHeader xml:space="preserve">&amp;C&amp;"Arial,Bold"Schedule 10
CWIP&amp;"Arial,Regular"
</oddHeader>
    <oddFooter>&amp;R&amp;A</oddFooter>
  </headerFooter>
  <rowBreaks count="6" manualBreakCount="6">
    <brk id="47" max="16383" man="1"/>
    <brk id="113" max="10" man="1"/>
    <brk id="177" max="10" man="1"/>
    <brk id="241" max="10" man="1"/>
    <brk id="305" max="10" man="1"/>
    <brk id="369"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sheetViews>
  <sheetFormatPr defaultRowHeight="13.2" x14ac:dyDescent="0.25"/>
  <cols>
    <col min="1" max="1" width="4.6640625" customWidth="1"/>
    <col min="2" max="2" width="22.6640625" customWidth="1"/>
    <col min="3" max="3" width="8.6640625" customWidth="1"/>
    <col min="4" max="5" width="25.6640625" customWidth="1"/>
    <col min="6" max="6" width="22.6640625" customWidth="1"/>
  </cols>
  <sheetData>
    <row r="1" spans="1:6" x14ac:dyDescent="0.25">
      <c r="A1" s="36" t="s">
        <v>1336</v>
      </c>
      <c r="B1" s="109"/>
      <c r="C1" s="37"/>
      <c r="D1" s="37"/>
      <c r="E1" s="37"/>
      <c r="F1" s="37"/>
    </row>
    <row r="2" spans="1:6" x14ac:dyDescent="0.25">
      <c r="A2" s="111"/>
      <c r="B2" s="13"/>
      <c r="C2" s="112"/>
      <c r="D2" s="112"/>
      <c r="F2" s="42" t="s">
        <v>17</v>
      </c>
    </row>
    <row r="3" spans="1:6" x14ac:dyDescent="0.25">
      <c r="A3" s="111"/>
      <c r="B3" s="14" t="s">
        <v>548</v>
      </c>
      <c r="C3" s="112"/>
      <c r="D3" s="112"/>
      <c r="E3" s="112"/>
    </row>
    <row r="4" spans="1:6" x14ac:dyDescent="0.25">
      <c r="A4" s="111"/>
      <c r="B4" s="14" t="s">
        <v>429</v>
      </c>
      <c r="C4" s="112"/>
      <c r="D4" s="112"/>
      <c r="E4" s="112"/>
    </row>
    <row r="5" spans="1:6" x14ac:dyDescent="0.25">
      <c r="A5" s="111"/>
      <c r="B5" s="14" t="s">
        <v>434</v>
      </c>
      <c r="C5" s="112"/>
      <c r="D5" s="112"/>
      <c r="E5" s="112"/>
    </row>
    <row r="6" spans="1:6" x14ac:dyDescent="0.25">
      <c r="A6" s="111"/>
    </row>
    <row r="7" spans="1:6" x14ac:dyDescent="0.25">
      <c r="A7" s="49" t="s">
        <v>360</v>
      </c>
      <c r="B7" s="13"/>
      <c r="C7" s="112"/>
      <c r="D7" s="3" t="s">
        <v>432</v>
      </c>
      <c r="E7" s="110" t="s">
        <v>431</v>
      </c>
      <c r="F7" s="113" t="s">
        <v>198</v>
      </c>
    </row>
    <row r="8" spans="1:6" x14ac:dyDescent="0.25">
      <c r="A8" s="2">
        <v>1</v>
      </c>
      <c r="B8" s="14" t="s">
        <v>443</v>
      </c>
      <c r="D8" s="966">
        <v>0</v>
      </c>
      <c r="E8" s="966">
        <v>0</v>
      </c>
      <c r="F8" s="12" t="s">
        <v>1351</v>
      </c>
    </row>
    <row r="9" spans="1:6" x14ac:dyDescent="0.25">
      <c r="A9" s="2"/>
      <c r="B9" s="14"/>
      <c r="D9" s="13"/>
      <c r="E9" s="11"/>
    </row>
    <row r="10" spans="1:6" x14ac:dyDescent="0.25">
      <c r="A10" s="2"/>
      <c r="B10" s="14" t="s">
        <v>437</v>
      </c>
      <c r="D10" s="13"/>
      <c r="E10" s="11"/>
    </row>
    <row r="11" spans="1:6" x14ac:dyDescent="0.25">
      <c r="A11" s="2"/>
      <c r="B11" s="14"/>
      <c r="D11" s="13"/>
      <c r="E11" s="11"/>
    </row>
    <row r="12" spans="1:6" x14ac:dyDescent="0.25">
      <c r="A12" s="2"/>
      <c r="B12" s="84" t="s">
        <v>394</v>
      </c>
      <c r="C12" s="84" t="s">
        <v>378</v>
      </c>
      <c r="D12" s="84" t="s">
        <v>379</v>
      </c>
      <c r="E12" s="84" t="s">
        <v>380</v>
      </c>
      <c r="F12" s="84" t="s">
        <v>381</v>
      </c>
    </row>
    <row r="13" spans="1:6" x14ac:dyDescent="0.25">
      <c r="A13" s="2"/>
      <c r="B13" s="14"/>
      <c r="C13" s="2" t="s">
        <v>440</v>
      </c>
      <c r="D13" s="13"/>
      <c r="E13" s="11"/>
    </row>
    <row r="14" spans="1:6" x14ac:dyDescent="0.25">
      <c r="A14" s="2"/>
      <c r="B14" s="49" t="s">
        <v>111</v>
      </c>
      <c r="C14" s="3" t="s">
        <v>439</v>
      </c>
      <c r="D14" s="3" t="s">
        <v>432</v>
      </c>
      <c r="E14" s="110" t="s">
        <v>431</v>
      </c>
      <c r="F14" s="110" t="s">
        <v>198</v>
      </c>
    </row>
    <row r="15" spans="1:6" x14ac:dyDescent="0.25">
      <c r="A15" s="2" t="s">
        <v>567</v>
      </c>
      <c r="B15" s="476"/>
      <c r="C15" s="94"/>
      <c r="D15" s="966">
        <v>0</v>
      </c>
      <c r="E15" s="966">
        <v>0</v>
      </c>
      <c r="F15" s="94"/>
    </row>
    <row r="16" spans="1:6" x14ac:dyDescent="0.25">
      <c r="A16" s="2" t="s">
        <v>568</v>
      </c>
      <c r="B16" s="107"/>
      <c r="C16" s="94"/>
      <c r="D16" s="966">
        <v>0</v>
      </c>
      <c r="E16" s="966">
        <v>0</v>
      </c>
      <c r="F16" s="94"/>
    </row>
    <row r="17" spans="1:6" x14ac:dyDescent="0.25">
      <c r="A17" s="2" t="s">
        <v>569</v>
      </c>
      <c r="B17" s="107"/>
      <c r="C17" s="94"/>
      <c r="D17" s="966">
        <v>0</v>
      </c>
      <c r="E17" s="966">
        <v>0</v>
      </c>
      <c r="F17" s="94"/>
    </row>
    <row r="18" spans="1:6" x14ac:dyDescent="0.25">
      <c r="A18" s="2" t="s">
        <v>570</v>
      </c>
      <c r="B18" s="107"/>
      <c r="C18" s="94"/>
      <c r="D18" s="966">
        <v>0</v>
      </c>
      <c r="E18" s="966">
        <v>0</v>
      </c>
      <c r="F18" s="94"/>
    </row>
    <row r="19" spans="1:6" x14ac:dyDescent="0.25">
      <c r="A19" s="2" t="s">
        <v>571</v>
      </c>
      <c r="B19" s="107"/>
      <c r="C19" s="94"/>
      <c r="D19" s="966">
        <v>0</v>
      </c>
      <c r="E19" s="966">
        <v>0</v>
      </c>
      <c r="F19" s="94"/>
    </row>
    <row r="20" spans="1:6" x14ac:dyDescent="0.25">
      <c r="A20" s="2" t="s">
        <v>572</v>
      </c>
      <c r="B20" s="107"/>
      <c r="C20" s="94"/>
      <c r="D20" s="966">
        <v>0</v>
      </c>
      <c r="E20" s="966">
        <v>0</v>
      </c>
      <c r="F20" s="94"/>
    </row>
    <row r="21" spans="1:6" x14ac:dyDescent="0.25">
      <c r="A21" s="2" t="s">
        <v>573</v>
      </c>
      <c r="B21" s="107"/>
      <c r="C21" s="94"/>
      <c r="D21" s="966">
        <v>0</v>
      </c>
      <c r="E21" s="966">
        <v>0</v>
      </c>
      <c r="F21" s="94"/>
    </row>
    <row r="22" spans="1:6" x14ac:dyDescent="0.25">
      <c r="A22" s="2" t="s">
        <v>574</v>
      </c>
      <c r="B22" s="107"/>
      <c r="C22" s="94"/>
      <c r="D22" s="966">
        <v>0</v>
      </c>
      <c r="E22" s="966">
        <v>0</v>
      </c>
      <c r="F22" s="94"/>
    </row>
    <row r="23" spans="1:6" x14ac:dyDescent="0.25">
      <c r="A23" s="170"/>
      <c r="B23" s="389" t="s">
        <v>563</v>
      </c>
      <c r="C23" s="94"/>
      <c r="D23" s="390"/>
      <c r="E23" s="390"/>
      <c r="F23" s="94"/>
    </row>
    <row r="24" spans="1:6" x14ac:dyDescent="0.25">
      <c r="A24" s="2">
        <v>3</v>
      </c>
      <c r="C24" s="11" t="s">
        <v>4</v>
      </c>
      <c r="D24" s="986">
        <v>0</v>
      </c>
      <c r="E24" s="986">
        <v>0</v>
      </c>
      <c r="F24" s="12" t="s">
        <v>576</v>
      </c>
    </row>
    <row r="25" spans="1:6" x14ac:dyDescent="0.25">
      <c r="C25" s="11"/>
    </row>
    <row r="26" spans="1:6" x14ac:dyDescent="0.25">
      <c r="C26" s="11"/>
      <c r="D26" s="3" t="s">
        <v>432</v>
      </c>
      <c r="E26" s="110" t="s">
        <v>431</v>
      </c>
      <c r="F26" s="113" t="s">
        <v>198</v>
      </c>
    </row>
    <row r="27" spans="1:6" x14ac:dyDescent="0.25">
      <c r="A27" s="2">
        <v>4</v>
      </c>
      <c r="B27" s="11" t="s">
        <v>433</v>
      </c>
      <c r="C27" s="11"/>
      <c r="D27" s="966">
        <v>0</v>
      </c>
      <c r="E27" s="966">
        <v>0</v>
      </c>
      <c r="F27" s="45" t="s">
        <v>430</v>
      </c>
    </row>
    <row r="28" spans="1:6" x14ac:dyDescent="0.25">
      <c r="A28" s="2">
        <v>5</v>
      </c>
      <c r="B28" s="11" t="s">
        <v>333</v>
      </c>
      <c r="D28" s="970" t="s">
        <v>2690</v>
      </c>
      <c r="E28" s="970" t="s">
        <v>2690</v>
      </c>
      <c r="F28" s="45" t="str">
        <f>"27-Allocators, L "&amp;'27-Allocators'!A15&amp;""</f>
        <v>27-Allocators, L 9</v>
      </c>
    </row>
    <row r="29" spans="1:6" x14ac:dyDescent="0.25">
      <c r="A29" s="2">
        <v>6</v>
      </c>
      <c r="B29" s="11" t="s">
        <v>441</v>
      </c>
      <c r="C29" s="11"/>
      <c r="D29" s="986">
        <v>0</v>
      </c>
      <c r="E29" s="986">
        <v>0</v>
      </c>
      <c r="F29" s="12" t="str">
        <f>"L "&amp;A27&amp;" * L "&amp;A28&amp;""</f>
        <v>L 4 * L 5</v>
      </c>
    </row>
    <row r="30" spans="1:6" x14ac:dyDescent="0.25">
      <c r="C30" s="11"/>
    </row>
    <row r="31" spans="1:6" x14ac:dyDescent="0.25">
      <c r="B31" s="11" t="s">
        <v>438</v>
      </c>
    </row>
    <row r="32" spans="1:6" x14ac:dyDescent="0.25">
      <c r="C32" s="31"/>
      <c r="D32" s="32"/>
      <c r="E32" s="34"/>
    </row>
    <row r="33" spans="1:6" x14ac:dyDescent="0.25">
      <c r="D33" s="3" t="s">
        <v>432</v>
      </c>
      <c r="E33" s="110" t="s">
        <v>431</v>
      </c>
      <c r="F33" s="113" t="s">
        <v>198</v>
      </c>
    </row>
    <row r="34" spans="1:6" x14ac:dyDescent="0.25">
      <c r="A34" s="2">
        <v>7</v>
      </c>
      <c r="C34" s="11"/>
      <c r="D34" s="966">
        <v>0</v>
      </c>
      <c r="E34" s="966">
        <v>0</v>
      </c>
      <c r="F34" s="12" t="s">
        <v>395</v>
      </c>
    </row>
    <row r="37" spans="1:6" x14ac:dyDescent="0.25">
      <c r="B37" s="11" t="s">
        <v>442</v>
      </c>
      <c r="D37" s="3" t="s">
        <v>432</v>
      </c>
      <c r="E37" s="110" t="s">
        <v>431</v>
      </c>
      <c r="F37" s="113" t="s">
        <v>198</v>
      </c>
    </row>
    <row r="38" spans="1:6" x14ac:dyDescent="0.25">
      <c r="A38" s="2">
        <v>8</v>
      </c>
      <c r="D38" s="986">
        <v>0</v>
      </c>
      <c r="E38" s="986">
        <v>0</v>
      </c>
      <c r="F38" s="12" t="str">
        <f>"L "&amp;A24&amp;" + L "&amp;A29&amp;""</f>
        <v>L 3 + L 6</v>
      </c>
    </row>
    <row r="39" spans="1:6" x14ac:dyDescent="0.25">
      <c r="A39" s="2"/>
      <c r="D39" s="98"/>
      <c r="E39" s="98"/>
      <c r="F39" s="12"/>
    </row>
    <row r="40" spans="1:6" x14ac:dyDescent="0.25">
      <c r="B40" t="s">
        <v>444</v>
      </c>
    </row>
    <row r="41" spans="1:6" x14ac:dyDescent="0.25">
      <c r="A41" s="2">
        <v>9</v>
      </c>
      <c r="B41" s="11" t="s">
        <v>442</v>
      </c>
      <c r="D41" s="986">
        <v>0</v>
      </c>
      <c r="E41" s="98"/>
      <c r="F41" s="12" t="str">
        <f>"Sum of Line "&amp;A38&amp;" / 2"</f>
        <v>Sum of Line 8 / 2</v>
      </c>
    </row>
    <row r="42" spans="1:6" x14ac:dyDescent="0.25">
      <c r="B42" s="11"/>
    </row>
    <row r="43" spans="1:6" x14ac:dyDescent="0.25">
      <c r="B43" s="1" t="s">
        <v>550</v>
      </c>
      <c r="C43" s="11"/>
    </row>
    <row r="44" spans="1:6" x14ac:dyDescent="0.25">
      <c r="C44" s="11"/>
    </row>
    <row r="45" spans="1:6" x14ac:dyDescent="0.25">
      <c r="A45" s="2"/>
      <c r="F45" s="113" t="s">
        <v>198</v>
      </c>
    </row>
    <row r="46" spans="1:6" x14ac:dyDescent="0.25">
      <c r="A46" s="2">
        <v>10</v>
      </c>
      <c r="B46" s="11" t="s">
        <v>549</v>
      </c>
      <c r="E46" s="966">
        <v>0</v>
      </c>
      <c r="F46" s="12" t="s">
        <v>33</v>
      </c>
    </row>
    <row r="49" spans="2:2" x14ac:dyDescent="0.25">
      <c r="B49" s="1" t="s">
        <v>420</v>
      </c>
    </row>
    <row r="50" spans="2:2" x14ac:dyDescent="0.25">
      <c r="B50" s="11" t="s">
        <v>435</v>
      </c>
    </row>
    <row r="51" spans="2:2" x14ac:dyDescent="0.25">
      <c r="B51" s="11" t="s">
        <v>1342</v>
      </c>
    </row>
    <row r="52" spans="2:2" x14ac:dyDescent="0.25">
      <c r="B52" s="11" t="s">
        <v>1343</v>
      </c>
    </row>
    <row r="53" spans="2:2" x14ac:dyDescent="0.25">
      <c r="B53" s="11" t="s">
        <v>575</v>
      </c>
    </row>
    <row r="54" spans="2:2" x14ac:dyDescent="0.25">
      <c r="B54" s="11" t="str">
        <f>"2) For any Electric Plant Held for Future Use classified as General note amount on Line "&amp;A27&amp;"."</f>
        <v>2) For any Electric Plant Held for Future Use classified as General note amount on Line 4.</v>
      </c>
    </row>
    <row r="55" spans="2:2" x14ac:dyDescent="0.25">
      <c r="B55" s="11" t="s">
        <v>1344</v>
      </c>
    </row>
    <row r="56" spans="2:2" x14ac:dyDescent="0.25">
      <c r="B56" s="11" t="s">
        <v>436</v>
      </c>
    </row>
    <row r="57" spans="2:2" x14ac:dyDescent="0.25">
      <c r="B57" s="466" t="s">
        <v>1883</v>
      </c>
    </row>
    <row r="58" spans="2:2" x14ac:dyDescent="0.25">
      <c r="B58" s="11" t="s">
        <v>1341</v>
      </c>
    </row>
    <row r="59" spans="2:2" x14ac:dyDescent="0.25">
      <c r="B59" s="11"/>
    </row>
    <row r="60" spans="2:2" x14ac:dyDescent="0.25">
      <c r="B60" s="1" t="s">
        <v>256</v>
      </c>
    </row>
    <row r="61" spans="2:2" x14ac:dyDescent="0.25">
      <c r="B61" s="11" t="s">
        <v>1352</v>
      </c>
    </row>
  </sheetData>
  <pageMargins left="0.7" right="0.7" top="0.75" bottom="0.75" header="0.3" footer="0.3"/>
  <pageSetup scale="80" orientation="portrait" cellComments="asDisplayed" r:id="rId1"/>
  <headerFooter>
    <oddHeader xml:space="preserve">&amp;C&amp;"Arial,Bold"Schedule 11
Plant Held for Future Use&amp;"Arial,Regular"
</oddHeader>
    <oddFooter>&amp;R11-PHFU</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5" zoomScaleNormal="85" workbookViewId="0"/>
  </sheetViews>
  <sheetFormatPr defaultRowHeight="13.2" x14ac:dyDescent="0.25"/>
  <cols>
    <col min="1" max="1" width="4.6640625" customWidth="1"/>
    <col min="2" max="2" width="6.6640625" customWidth="1"/>
    <col min="3" max="10" width="12.6640625" customWidth="1"/>
    <col min="12" max="12" width="9.109375" style="13"/>
  </cols>
  <sheetData>
    <row r="1" spans="1:10" x14ac:dyDescent="0.25">
      <c r="A1" s="1" t="s">
        <v>321</v>
      </c>
    </row>
    <row r="2" spans="1:10" x14ac:dyDescent="0.25">
      <c r="I2" s="525" t="s">
        <v>272</v>
      </c>
      <c r="J2" s="525"/>
    </row>
    <row r="3" spans="1:10" x14ac:dyDescent="0.25">
      <c r="B3" t="s">
        <v>346</v>
      </c>
    </row>
    <row r="5" spans="1:10" x14ac:dyDescent="0.25">
      <c r="B5" t="s">
        <v>341</v>
      </c>
    </row>
    <row r="6" spans="1:10" x14ac:dyDescent="0.25">
      <c r="B6" t="s">
        <v>347</v>
      </c>
    </row>
    <row r="7" spans="1:10" x14ac:dyDescent="0.25">
      <c r="F7" s="76" t="s">
        <v>250</v>
      </c>
      <c r="H7" s="76" t="s">
        <v>2171</v>
      </c>
    </row>
    <row r="8" spans="1:10" x14ac:dyDescent="0.25">
      <c r="B8" s="468" t="s">
        <v>2170</v>
      </c>
      <c r="C8" s="13"/>
      <c r="D8" s="13"/>
      <c r="E8" s="13"/>
      <c r="F8" s="537" t="s">
        <v>86</v>
      </c>
      <c r="G8" s="94"/>
      <c r="H8" s="537" t="s">
        <v>86</v>
      </c>
      <c r="I8" s="94"/>
    </row>
    <row r="9" spans="1:10" x14ac:dyDescent="0.25">
      <c r="B9" s="13"/>
      <c r="C9" s="13"/>
      <c r="D9" s="13"/>
      <c r="E9" s="13"/>
      <c r="F9" s="537" t="s">
        <v>86</v>
      </c>
      <c r="G9" s="94"/>
      <c r="H9" s="537" t="s">
        <v>86</v>
      </c>
      <c r="I9" s="94"/>
    </row>
    <row r="10" spans="1:10" x14ac:dyDescent="0.25">
      <c r="B10" s="13"/>
      <c r="C10" s="13"/>
      <c r="D10" s="13"/>
      <c r="E10" s="13"/>
      <c r="F10" s="904" t="s">
        <v>563</v>
      </c>
      <c r="G10" s="13"/>
      <c r="H10" s="904" t="s">
        <v>563</v>
      </c>
      <c r="I10" s="13"/>
    </row>
    <row r="12" spans="1:10" x14ac:dyDescent="0.25">
      <c r="B12" s="466" t="s">
        <v>418</v>
      </c>
    </row>
    <row r="13" spans="1:10" x14ac:dyDescent="0.25">
      <c r="B13" s="466"/>
    </row>
    <row r="14" spans="1:10" x14ac:dyDescent="0.25">
      <c r="B14" s="466" t="s">
        <v>416</v>
      </c>
    </row>
    <row r="15" spans="1:10" x14ac:dyDescent="0.25">
      <c r="B15" s="466" t="s">
        <v>417</v>
      </c>
    </row>
    <row r="16" spans="1:10" x14ac:dyDescent="0.25">
      <c r="B16" s="466"/>
      <c r="G16" s="577" t="s">
        <v>419</v>
      </c>
    </row>
    <row r="17" spans="1:10" x14ac:dyDescent="0.25">
      <c r="A17" s="49" t="s">
        <v>360</v>
      </c>
      <c r="G17" s="3" t="s">
        <v>73</v>
      </c>
      <c r="I17" s="49" t="s">
        <v>262</v>
      </c>
    </row>
    <row r="18" spans="1:10" x14ac:dyDescent="0.25">
      <c r="A18" s="577">
        <v>1</v>
      </c>
      <c r="F18" s="35" t="s">
        <v>342</v>
      </c>
      <c r="G18" s="986">
        <v>0</v>
      </c>
      <c r="I18" s="466" t="s">
        <v>428</v>
      </c>
    </row>
    <row r="19" spans="1:10" x14ac:dyDescent="0.25">
      <c r="A19" s="577">
        <v>2</v>
      </c>
      <c r="F19" s="464" t="s">
        <v>422</v>
      </c>
      <c r="G19" s="986">
        <v>0</v>
      </c>
      <c r="I19" s="466" t="s">
        <v>428</v>
      </c>
    </row>
    <row r="20" spans="1:10" x14ac:dyDescent="0.25">
      <c r="A20" s="577">
        <v>3</v>
      </c>
      <c r="F20" s="35" t="s">
        <v>344</v>
      </c>
      <c r="G20" s="986">
        <v>0</v>
      </c>
      <c r="I20" s="466" t="s">
        <v>428</v>
      </c>
    </row>
    <row r="21" spans="1:10" x14ac:dyDescent="0.25">
      <c r="A21" s="577">
        <v>4</v>
      </c>
      <c r="F21" s="35" t="s">
        <v>345</v>
      </c>
      <c r="G21" s="986">
        <v>0</v>
      </c>
      <c r="I21" s="466" t="str">
        <f>"Average of Lines "&amp;A19&amp;" and "&amp;A20&amp;"."</f>
        <v>Average of Lines 2 and 3.</v>
      </c>
    </row>
    <row r="22" spans="1:10" x14ac:dyDescent="0.25">
      <c r="I22" s="466"/>
    </row>
    <row r="24" spans="1:10" x14ac:dyDescent="0.25">
      <c r="A24" s="577">
        <v>5</v>
      </c>
      <c r="C24" s="1" t="s">
        <v>561</v>
      </c>
      <c r="D24" s="476" t="s">
        <v>562</v>
      </c>
      <c r="G24" s="141" t="s">
        <v>564</v>
      </c>
      <c r="H24" s="476" t="s">
        <v>562</v>
      </c>
      <c r="I24" s="579"/>
      <c r="J24" s="468"/>
    </row>
    <row r="25" spans="1:10" x14ac:dyDescent="0.25">
      <c r="A25" s="577"/>
      <c r="C25" s="1"/>
      <c r="D25" s="468"/>
      <c r="E25" s="13"/>
      <c r="G25" s="579"/>
      <c r="H25" s="468"/>
      <c r="I25" s="579"/>
      <c r="J25" s="468"/>
    </row>
    <row r="26" spans="1:10" x14ac:dyDescent="0.25">
      <c r="D26" s="103" t="s">
        <v>1925</v>
      </c>
      <c r="E26" s="103" t="s">
        <v>413</v>
      </c>
      <c r="F26" s="13"/>
      <c r="G26" s="13"/>
      <c r="H26" s="103" t="s">
        <v>1925</v>
      </c>
      <c r="I26" s="577" t="s">
        <v>413</v>
      </c>
      <c r="J26" s="103"/>
    </row>
    <row r="27" spans="1:10" x14ac:dyDescent="0.25">
      <c r="C27" s="577" t="s">
        <v>330</v>
      </c>
      <c r="D27" s="103" t="s">
        <v>413</v>
      </c>
      <c r="E27" s="103" t="s">
        <v>414</v>
      </c>
      <c r="F27" s="13"/>
      <c r="G27" s="103" t="s">
        <v>330</v>
      </c>
      <c r="H27" s="103" t="s">
        <v>413</v>
      </c>
      <c r="I27" s="577" t="s">
        <v>414</v>
      </c>
      <c r="J27" s="103"/>
    </row>
    <row r="28" spans="1:10" x14ac:dyDescent="0.25">
      <c r="C28" s="577" t="s">
        <v>413</v>
      </c>
      <c r="D28" s="103" t="s">
        <v>414</v>
      </c>
      <c r="E28" s="103" t="s">
        <v>415</v>
      </c>
      <c r="F28" s="13"/>
      <c r="G28" s="103" t="s">
        <v>413</v>
      </c>
      <c r="H28" s="103" t="s">
        <v>414</v>
      </c>
      <c r="I28" s="577" t="s">
        <v>415</v>
      </c>
      <c r="J28" s="103"/>
    </row>
    <row r="29" spans="1:10" x14ac:dyDescent="0.25">
      <c r="A29" s="577"/>
      <c r="B29" s="3" t="s">
        <v>212</v>
      </c>
      <c r="C29" s="3" t="s">
        <v>414</v>
      </c>
      <c r="D29" s="113" t="s">
        <v>1926</v>
      </c>
      <c r="E29" s="113" t="s">
        <v>354</v>
      </c>
      <c r="F29" s="13"/>
      <c r="G29" s="113" t="s">
        <v>414</v>
      </c>
      <c r="H29" s="113" t="s">
        <v>1926</v>
      </c>
      <c r="I29" s="3" t="s">
        <v>354</v>
      </c>
      <c r="J29" s="113"/>
    </row>
    <row r="30" spans="1:10" x14ac:dyDescent="0.25">
      <c r="A30" s="577">
        <v>6</v>
      </c>
      <c r="B30" s="485">
        <v>2011</v>
      </c>
      <c r="C30" s="966">
        <v>0</v>
      </c>
      <c r="D30" s="966">
        <v>0</v>
      </c>
      <c r="E30" s="966">
        <v>0</v>
      </c>
      <c r="G30" s="966">
        <v>0</v>
      </c>
      <c r="H30" s="966">
        <v>0</v>
      </c>
      <c r="I30" s="966">
        <v>0</v>
      </c>
      <c r="J30" s="13"/>
    </row>
    <row r="31" spans="1:10" x14ac:dyDescent="0.25">
      <c r="A31" s="577">
        <v>7</v>
      </c>
      <c r="B31" s="485">
        <v>2012</v>
      </c>
      <c r="C31" s="966">
        <v>0</v>
      </c>
      <c r="D31" s="966">
        <v>0</v>
      </c>
      <c r="E31" s="966">
        <v>0</v>
      </c>
      <c r="G31" s="966">
        <v>0</v>
      </c>
      <c r="H31" s="966">
        <v>0</v>
      </c>
      <c r="I31" s="966">
        <v>0</v>
      </c>
      <c r="J31" s="13"/>
    </row>
    <row r="32" spans="1:10" x14ac:dyDescent="0.25">
      <c r="A32" s="577">
        <v>8</v>
      </c>
      <c r="B32" s="485">
        <v>2013</v>
      </c>
      <c r="C32" s="966">
        <v>0</v>
      </c>
      <c r="D32" s="966">
        <v>0</v>
      </c>
      <c r="E32" s="966">
        <v>0</v>
      </c>
      <c r="G32" s="966">
        <v>0</v>
      </c>
      <c r="H32" s="966">
        <v>0</v>
      </c>
      <c r="I32" s="966">
        <v>0</v>
      </c>
      <c r="J32" s="13"/>
    </row>
    <row r="33" spans="1:10" x14ac:dyDescent="0.25">
      <c r="A33" s="577">
        <v>9</v>
      </c>
      <c r="B33" s="485">
        <v>2014</v>
      </c>
      <c r="C33" s="966">
        <v>0</v>
      </c>
      <c r="D33" s="966">
        <v>0</v>
      </c>
      <c r="E33" s="966">
        <v>0</v>
      </c>
      <c r="G33" s="966">
        <v>0</v>
      </c>
      <c r="H33" s="966">
        <v>0</v>
      </c>
      <c r="I33" s="966">
        <v>0</v>
      </c>
      <c r="J33" s="13"/>
    </row>
    <row r="34" spans="1:10" x14ac:dyDescent="0.25">
      <c r="A34" s="577">
        <v>10</v>
      </c>
      <c r="B34" s="485">
        <v>2015</v>
      </c>
      <c r="C34" s="966">
        <v>0</v>
      </c>
      <c r="D34" s="966">
        <v>0</v>
      </c>
      <c r="E34" s="966">
        <v>0</v>
      </c>
      <c r="G34" s="966">
        <v>0</v>
      </c>
      <c r="H34" s="966">
        <v>0</v>
      </c>
      <c r="I34" s="966">
        <v>0</v>
      </c>
      <c r="J34" s="13"/>
    </row>
    <row r="35" spans="1:10" x14ac:dyDescent="0.25">
      <c r="A35" s="577">
        <v>11</v>
      </c>
      <c r="B35" s="485">
        <v>2016</v>
      </c>
      <c r="C35" s="966">
        <v>0</v>
      </c>
      <c r="D35" s="966">
        <v>0</v>
      </c>
      <c r="E35" s="966">
        <v>0</v>
      </c>
      <c r="G35" s="966">
        <v>0</v>
      </c>
      <c r="H35" s="966">
        <v>0</v>
      </c>
      <c r="I35" s="966">
        <v>0</v>
      </c>
      <c r="J35" s="13"/>
    </row>
    <row r="36" spans="1:10" x14ac:dyDescent="0.25">
      <c r="A36" s="577">
        <v>12</v>
      </c>
      <c r="B36" s="485">
        <v>2017</v>
      </c>
      <c r="C36" s="966">
        <v>0</v>
      </c>
      <c r="D36" s="966">
        <v>0</v>
      </c>
      <c r="E36" s="966">
        <v>0</v>
      </c>
      <c r="G36" s="966">
        <v>0</v>
      </c>
      <c r="H36" s="966">
        <v>0</v>
      </c>
      <c r="I36" s="966">
        <v>0</v>
      </c>
      <c r="J36" s="13"/>
    </row>
    <row r="37" spans="1:10" x14ac:dyDescent="0.25">
      <c r="A37" s="577">
        <v>13</v>
      </c>
      <c r="B37" s="485">
        <v>2018</v>
      </c>
      <c r="C37" s="966">
        <v>0</v>
      </c>
      <c r="D37" s="966">
        <v>0</v>
      </c>
      <c r="E37" s="966">
        <v>0</v>
      </c>
      <c r="G37" s="966">
        <v>0</v>
      </c>
      <c r="H37" s="966">
        <v>0</v>
      </c>
      <c r="I37" s="966">
        <v>0</v>
      </c>
      <c r="J37" s="13"/>
    </row>
    <row r="38" spans="1:10" x14ac:dyDescent="0.25">
      <c r="A38" s="577">
        <v>14</v>
      </c>
      <c r="B38" s="485">
        <v>2019</v>
      </c>
      <c r="C38" s="966">
        <v>0</v>
      </c>
      <c r="D38" s="966">
        <v>0</v>
      </c>
      <c r="E38" s="966">
        <v>0</v>
      </c>
      <c r="G38" s="966">
        <v>0</v>
      </c>
      <c r="H38" s="966">
        <v>0</v>
      </c>
      <c r="I38" s="966">
        <v>0</v>
      </c>
      <c r="J38" s="13"/>
    </row>
    <row r="39" spans="1:10" x14ac:dyDescent="0.25">
      <c r="A39" s="577">
        <v>15</v>
      </c>
      <c r="B39" s="485">
        <v>2020</v>
      </c>
      <c r="C39" s="966">
        <v>0</v>
      </c>
      <c r="D39" s="966">
        <v>0</v>
      </c>
      <c r="E39" s="966">
        <v>0</v>
      </c>
      <c r="G39" s="966">
        <v>0</v>
      </c>
      <c r="H39" s="966">
        <v>0</v>
      </c>
      <c r="I39" s="966">
        <v>0</v>
      </c>
      <c r="J39" s="13"/>
    </row>
    <row r="40" spans="1:10" x14ac:dyDescent="0.25">
      <c r="A40" s="577">
        <v>16</v>
      </c>
      <c r="B40" s="485">
        <v>2021</v>
      </c>
      <c r="C40" s="966">
        <v>0</v>
      </c>
      <c r="D40" s="966">
        <v>0</v>
      </c>
      <c r="E40" s="966">
        <v>0</v>
      </c>
      <c r="G40" s="966">
        <v>0</v>
      </c>
      <c r="H40" s="966">
        <v>0</v>
      </c>
      <c r="I40" s="966">
        <v>0</v>
      </c>
      <c r="J40" s="13"/>
    </row>
    <row r="41" spans="1:10" x14ac:dyDescent="0.25">
      <c r="A41" s="577">
        <v>17</v>
      </c>
      <c r="B41" s="485">
        <v>2022</v>
      </c>
      <c r="C41" s="966">
        <v>0</v>
      </c>
      <c r="D41" s="966">
        <v>0</v>
      </c>
      <c r="E41" s="966">
        <v>0</v>
      </c>
      <c r="G41" s="966">
        <v>0</v>
      </c>
      <c r="H41" s="966">
        <v>0</v>
      </c>
      <c r="I41" s="966">
        <v>0</v>
      </c>
      <c r="J41" s="13"/>
    </row>
    <row r="42" spans="1:10" x14ac:dyDescent="0.25">
      <c r="A42" s="577">
        <v>18</v>
      </c>
      <c r="B42" s="485">
        <v>2023</v>
      </c>
      <c r="C42" s="966">
        <v>0</v>
      </c>
      <c r="D42" s="966">
        <v>0</v>
      </c>
      <c r="E42" s="966">
        <v>0</v>
      </c>
      <c r="G42" s="966">
        <v>0</v>
      </c>
      <c r="H42" s="966">
        <v>0</v>
      </c>
      <c r="I42" s="966">
        <v>0</v>
      </c>
      <c r="J42" s="13"/>
    </row>
    <row r="43" spans="1:10" x14ac:dyDescent="0.25">
      <c r="A43" s="577">
        <v>19</v>
      </c>
      <c r="B43" s="485">
        <v>2024</v>
      </c>
      <c r="C43" s="966">
        <v>0</v>
      </c>
      <c r="D43" s="966">
        <v>0</v>
      </c>
      <c r="E43" s="966">
        <v>0</v>
      </c>
      <c r="G43" s="966">
        <v>0</v>
      </c>
      <c r="H43" s="966">
        <v>0</v>
      </c>
      <c r="I43" s="966">
        <v>0</v>
      </c>
      <c r="J43" s="13"/>
    </row>
    <row r="44" spans="1:10" x14ac:dyDescent="0.25">
      <c r="A44" s="577">
        <v>20</v>
      </c>
      <c r="B44" s="485">
        <v>2025</v>
      </c>
      <c r="C44" s="966">
        <v>0</v>
      </c>
      <c r="D44" s="966">
        <v>0</v>
      </c>
      <c r="E44" s="966">
        <v>0</v>
      </c>
      <c r="G44" s="966">
        <v>0</v>
      </c>
      <c r="H44" s="966">
        <v>0</v>
      </c>
      <c r="I44" s="966">
        <v>0</v>
      </c>
      <c r="J44" s="13"/>
    </row>
    <row r="45" spans="1:10" x14ac:dyDescent="0.25">
      <c r="A45" s="577">
        <v>21</v>
      </c>
      <c r="B45" s="485">
        <v>2026</v>
      </c>
      <c r="C45" s="966">
        <v>0</v>
      </c>
      <c r="D45" s="966">
        <v>0</v>
      </c>
      <c r="E45" s="966">
        <v>0</v>
      </c>
      <c r="G45" s="966">
        <v>0</v>
      </c>
      <c r="H45" s="966">
        <v>0</v>
      </c>
      <c r="I45" s="966">
        <v>0</v>
      </c>
      <c r="J45" s="13"/>
    </row>
    <row r="46" spans="1:10" x14ac:dyDescent="0.25">
      <c r="A46" s="577">
        <v>22</v>
      </c>
      <c r="B46" s="485">
        <v>2027</v>
      </c>
      <c r="C46" s="966">
        <v>0</v>
      </c>
      <c r="D46" s="966">
        <v>0</v>
      </c>
      <c r="E46" s="966">
        <v>0</v>
      </c>
      <c r="G46" s="966">
        <v>0</v>
      </c>
      <c r="H46" s="966">
        <v>0</v>
      </c>
      <c r="I46" s="966">
        <v>0</v>
      </c>
      <c r="J46" s="13"/>
    </row>
    <row r="47" spans="1:10" x14ac:dyDescent="0.25">
      <c r="A47" s="577">
        <v>23</v>
      </c>
      <c r="B47" s="485">
        <v>2028</v>
      </c>
      <c r="C47" s="966">
        <v>0</v>
      </c>
      <c r="D47" s="966">
        <v>0</v>
      </c>
      <c r="E47" s="966">
        <v>0</v>
      </c>
      <c r="G47" s="966">
        <v>0</v>
      </c>
      <c r="H47" s="966">
        <v>0</v>
      </c>
      <c r="I47" s="966">
        <v>0</v>
      </c>
      <c r="J47" s="13"/>
    </row>
    <row r="48" spans="1:10" x14ac:dyDescent="0.25">
      <c r="A48" s="577">
        <v>24</v>
      </c>
      <c r="B48" s="485">
        <v>2029</v>
      </c>
      <c r="C48" s="966">
        <v>0</v>
      </c>
      <c r="D48" s="966">
        <v>0</v>
      </c>
      <c r="E48" s="966">
        <v>0</v>
      </c>
      <c r="G48" s="966">
        <v>0</v>
      </c>
      <c r="H48" s="966">
        <v>0</v>
      </c>
      <c r="I48" s="966">
        <v>0</v>
      </c>
      <c r="J48" s="13"/>
    </row>
    <row r="49" spans="1:10" x14ac:dyDescent="0.25">
      <c r="A49" s="577">
        <v>25</v>
      </c>
      <c r="B49" s="485">
        <v>2030</v>
      </c>
      <c r="C49" s="966">
        <v>0</v>
      </c>
      <c r="D49" s="966">
        <v>0</v>
      </c>
      <c r="E49" s="966">
        <v>0</v>
      </c>
      <c r="G49" s="966">
        <v>0</v>
      </c>
      <c r="H49" s="966">
        <v>0</v>
      </c>
      <c r="I49" s="966">
        <v>0</v>
      </c>
      <c r="J49" s="13"/>
    </row>
    <row r="50" spans="1:10" x14ac:dyDescent="0.25">
      <c r="A50" s="577">
        <v>26</v>
      </c>
      <c r="B50" s="485">
        <v>2031</v>
      </c>
      <c r="C50" s="966">
        <v>0</v>
      </c>
      <c r="D50" s="966">
        <v>0</v>
      </c>
      <c r="E50" s="966">
        <v>0</v>
      </c>
      <c r="G50" s="966">
        <v>0</v>
      </c>
      <c r="H50" s="966">
        <v>0</v>
      </c>
      <c r="I50" s="966">
        <v>0</v>
      </c>
      <c r="J50" s="13"/>
    </row>
    <row r="51" spans="1:10" x14ac:dyDescent="0.25">
      <c r="A51" s="577">
        <v>27</v>
      </c>
      <c r="B51" s="485">
        <v>2032</v>
      </c>
      <c r="C51" s="966">
        <v>0</v>
      </c>
      <c r="D51" s="966">
        <v>0</v>
      </c>
      <c r="E51" s="966">
        <v>0</v>
      </c>
      <c r="G51" s="966">
        <v>0</v>
      </c>
      <c r="H51" s="966">
        <v>0</v>
      </c>
      <c r="I51" s="966">
        <v>0</v>
      </c>
      <c r="J51" s="13"/>
    </row>
    <row r="52" spans="1:10" x14ac:dyDescent="0.25">
      <c r="A52" s="577">
        <v>28</v>
      </c>
      <c r="B52" s="485">
        <v>2033</v>
      </c>
      <c r="C52" s="966">
        <v>0</v>
      </c>
      <c r="D52" s="966">
        <v>0</v>
      </c>
      <c r="E52" s="966">
        <v>0</v>
      </c>
      <c r="G52" s="966">
        <v>0</v>
      </c>
      <c r="H52" s="966">
        <v>0</v>
      </c>
      <c r="I52" s="966">
        <v>0</v>
      </c>
      <c r="J52" s="13"/>
    </row>
    <row r="53" spans="1:10" x14ac:dyDescent="0.25">
      <c r="A53" s="577">
        <v>29</v>
      </c>
      <c r="B53" s="485">
        <v>2034</v>
      </c>
      <c r="C53" s="966">
        <v>0</v>
      </c>
      <c r="D53" s="966">
        <v>0</v>
      </c>
      <c r="E53" s="966">
        <v>0</v>
      </c>
      <c r="G53" s="966">
        <v>0</v>
      </c>
      <c r="H53" s="966">
        <v>0</v>
      </c>
      <c r="I53" s="966">
        <v>0</v>
      </c>
      <c r="J53" s="13"/>
    </row>
    <row r="54" spans="1:10" x14ac:dyDescent="0.25">
      <c r="A54" s="577">
        <v>30</v>
      </c>
      <c r="B54" s="485">
        <v>2035</v>
      </c>
      <c r="C54" s="966">
        <v>0</v>
      </c>
      <c r="D54" s="966">
        <v>0</v>
      </c>
      <c r="E54" s="966">
        <v>0</v>
      </c>
      <c r="G54" s="966">
        <v>0</v>
      </c>
      <c r="H54" s="966">
        <v>0</v>
      </c>
      <c r="I54" s="966">
        <v>0</v>
      </c>
      <c r="J54" s="13"/>
    </row>
    <row r="55" spans="1:10" x14ac:dyDescent="0.25">
      <c r="A55" s="577">
        <v>31</v>
      </c>
      <c r="B55" s="580" t="s">
        <v>563</v>
      </c>
    </row>
    <row r="56" spans="1:10" x14ac:dyDescent="0.25">
      <c r="A56" s="577"/>
      <c r="B56" s="580"/>
    </row>
    <row r="57" spans="1:10" x14ac:dyDescent="0.25">
      <c r="A57" s="577"/>
      <c r="B57" s="43" t="s">
        <v>256</v>
      </c>
      <c r="C57" s="13"/>
      <c r="D57" s="13"/>
      <c r="E57" s="13"/>
      <c r="F57" s="13"/>
      <c r="G57" s="13"/>
      <c r="H57" s="13"/>
      <c r="I57" s="13"/>
      <c r="J57" s="13"/>
    </row>
    <row r="58" spans="1:10" x14ac:dyDescent="0.25">
      <c r="A58" s="577"/>
      <c r="B58" s="468" t="s">
        <v>1927</v>
      </c>
      <c r="C58" s="13"/>
      <c r="D58" s="13"/>
      <c r="E58" s="13"/>
      <c r="F58" s="13"/>
      <c r="G58" s="13"/>
      <c r="H58" s="13"/>
      <c r="I58" s="13"/>
      <c r="J58" s="13"/>
    </row>
    <row r="59" spans="1:10" x14ac:dyDescent="0.25">
      <c r="A59" s="577"/>
      <c r="B59" s="13"/>
      <c r="C59" s="13"/>
      <c r="D59" s="13"/>
      <c r="E59" s="13"/>
      <c r="F59" s="13"/>
      <c r="G59" s="13"/>
      <c r="H59" s="13"/>
      <c r="I59" s="13"/>
      <c r="J59" s="13"/>
    </row>
    <row r="60" spans="1:10" x14ac:dyDescent="0.25">
      <c r="A60" s="577"/>
      <c r="B60" s="43" t="s">
        <v>420</v>
      </c>
      <c r="C60" s="13"/>
      <c r="D60" s="13"/>
      <c r="E60" s="13"/>
      <c r="F60" s="13"/>
      <c r="G60" s="13"/>
      <c r="H60" s="13"/>
      <c r="I60" s="13"/>
      <c r="J60" s="13"/>
    </row>
    <row r="61" spans="1:10" x14ac:dyDescent="0.25">
      <c r="A61" s="577"/>
      <c r="B61" s="468" t="s">
        <v>421</v>
      </c>
      <c r="C61" s="13"/>
      <c r="D61" s="13"/>
      <c r="E61" s="13"/>
      <c r="F61" s="13"/>
      <c r="G61" s="13"/>
      <c r="H61" s="13"/>
      <c r="I61" s="13"/>
      <c r="J61" s="13"/>
    </row>
    <row r="62" spans="1:10" x14ac:dyDescent="0.25">
      <c r="A62" s="577"/>
      <c r="B62" s="465" t="s">
        <v>1928</v>
      </c>
      <c r="C62" s="13"/>
      <c r="D62" s="13"/>
      <c r="E62" s="13"/>
      <c r="F62" s="13"/>
      <c r="G62" s="13"/>
      <c r="H62" s="13"/>
      <c r="I62" s="13"/>
      <c r="J62" s="13"/>
    </row>
    <row r="63" spans="1:10" x14ac:dyDescent="0.25">
      <c r="A63" s="577"/>
      <c r="B63" s="465" t="s">
        <v>1929</v>
      </c>
      <c r="C63" s="13"/>
      <c r="D63" s="13"/>
      <c r="E63" s="13"/>
      <c r="F63" s="13"/>
      <c r="G63" s="13"/>
      <c r="H63" s="13"/>
      <c r="I63" s="13"/>
      <c r="J63" s="13"/>
    </row>
    <row r="64" spans="1:10" x14ac:dyDescent="0.25">
      <c r="A64" s="577"/>
      <c r="B64" s="470" t="s">
        <v>426</v>
      </c>
    </row>
    <row r="65" spans="1:9" x14ac:dyDescent="0.25">
      <c r="A65" s="577"/>
      <c r="B65" s="465" t="s">
        <v>427</v>
      </c>
      <c r="C65" s="13"/>
      <c r="D65" s="13"/>
      <c r="E65" s="13"/>
      <c r="F65" s="13"/>
      <c r="G65" s="13"/>
      <c r="H65" s="13"/>
      <c r="I65" s="13"/>
    </row>
    <row r="66" spans="1:9" x14ac:dyDescent="0.25">
      <c r="B66" s="470" t="s">
        <v>424</v>
      </c>
      <c r="C66" s="13"/>
      <c r="D66" s="13"/>
      <c r="E66" s="13"/>
      <c r="F66" s="13"/>
      <c r="G66" s="13"/>
    </row>
    <row r="67" spans="1:9" x14ac:dyDescent="0.25">
      <c r="B67" s="561" t="s">
        <v>565</v>
      </c>
      <c r="C67" s="13"/>
      <c r="D67" s="13"/>
      <c r="E67" s="13"/>
      <c r="F67" s="13"/>
      <c r="G67" s="13"/>
    </row>
    <row r="68" spans="1:9" x14ac:dyDescent="0.25">
      <c r="B68" s="468" t="s">
        <v>425</v>
      </c>
    </row>
    <row r="69" spans="1:9" x14ac:dyDescent="0.25">
      <c r="B69" s="468" t="s">
        <v>566</v>
      </c>
    </row>
  </sheetData>
  <pageMargins left="0.7" right="0.7" top="0.75" bottom="0.75" header="0.3" footer="0.3"/>
  <pageSetup scale="75" orientation="portrait" cellComments="asDisplayed" r:id="rId1"/>
  <headerFooter>
    <oddHeader xml:space="preserve">&amp;C&amp;"Arial,Bold"Schedule 12
Abandoned Plant&amp;"Arial,Regular"
</oddHeader>
    <oddFooter>&amp;R&amp;A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zoomScale="90" zoomScaleNormal="90" workbookViewId="0"/>
  </sheetViews>
  <sheetFormatPr defaultRowHeight="13.2" x14ac:dyDescent="0.25"/>
  <cols>
    <col min="1" max="1" width="4.6640625" customWidth="1"/>
    <col min="2" max="2" width="3.6640625" customWidth="1"/>
    <col min="3" max="3" width="14.6640625" customWidth="1"/>
    <col min="4" max="4" width="8.6640625" customWidth="1"/>
    <col min="5" max="5" width="15.33203125" customWidth="1"/>
    <col min="6" max="6" width="24.6640625" customWidth="1"/>
    <col min="7" max="7" width="35.6640625" customWidth="1"/>
  </cols>
  <sheetData>
    <row r="1" spans="1:7" x14ac:dyDescent="0.25">
      <c r="A1" s="1" t="s">
        <v>6</v>
      </c>
    </row>
    <row r="2" spans="1:7" x14ac:dyDescent="0.25">
      <c r="F2" s="42" t="s">
        <v>17</v>
      </c>
    </row>
    <row r="3" spans="1:7" x14ac:dyDescent="0.25">
      <c r="B3" s="1" t="s">
        <v>177</v>
      </c>
    </row>
    <row r="4" spans="1:7" x14ac:dyDescent="0.25">
      <c r="C4" s="11" t="s">
        <v>610</v>
      </c>
      <c r="E4" s="17"/>
      <c r="F4" s="27"/>
      <c r="G4" s="26"/>
    </row>
    <row r="5" spans="1:7" x14ac:dyDescent="0.25">
      <c r="C5" s="11" t="s">
        <v>611</v>
      </c>
      <c r="E5" s="17"/>
      <c r="F5" s="27"/>
      <c r="G5" s="26"/>
    </row>
    <row r="6" spans="1:7" x14ac:dyDescent="0.25">
      <c r="E6" s="17"/>
      <c r="F6" s="75"/>
      <c r="G6" s="26"/>
    </row>
    <row r="7" spans="1:7" x14ac:dyDescent="0.25">
      <c r="C7" s="20"/>
      <c r="D7" s="16"/>
      <c r="E7" s="25" t="s">
        <v>213</v>
      </c>
      <c r="F7" s="25" t="s">
        <v>1912</v>
      </c>
      <c r="G7" s="25"/>
    </row>
    <row r="8" spans="1:7" x14ac:dyDescent="0.25">
      <c r="A8" s="51" t="s">
        <v>350</v>
      </c>
      <c r="C8" s="24" t="s">
        <v>211</v>
      </c>
      <c r="D8" s="24" t="s">
        <v>212</v>
      </c>
      <c r="E8" s="24" t="s">
        <v>198</v>
      </c>
      <c r="F8" s="30" t="s">
        <v>1911</v>
      </c>
      <c r="G8" s="28" t="s">
        <v>187</v>
      </c>
    </row>
    <row r="9" spans="1:7" x14ac:dyDescent="0.25">
      <c r="A9" s="103">
        <v>1</v>
      </c>
      <c r="C9" s="267" t="s">
        <v>199</v>
      </c>
      <c r="D9" s="979" t="s">
        <v>1562</v>
      </c>
      <c r="E9" s="29" t="s">
        <v>609</v>
      </c>
      <c r="F9" s="966">
        <v>0</v>
      </c>
      <c r="G9" s="29" t="s">
        <v>95</v>
      </c>
    </row>
    <row r="10" spans="1:7" x14ac:dyDescent="0.25">
      <c r="A10" s="103">
        <f>A9+1</f>
        <v>2</v>
      </c>
      <c r="C10" s="850" t="s">
        <v>200</v>
      </c>
      <c r="D10" s="979" t="s">
        <v>1562</v>
      </c>
      <c r="E10" s="509" t="s">
        <v>33</v>
      </c>
      <c r="F10" s="966">
        <v>0</v>
      </c>
      <c r="G10" s="29"/>
    </row>
    <row r="11" spans="1:7" x14ac:dyDescent="0.25">
      <c r="A11" s="103">
        <f t="shared" ref="A11:A21" si="0">A10+1</f>
        <v>3</v>
      </c>
      <c r="C11" s="850" t="s">
        <v>201</v>
      </c>
      <c r="D11" s="979" t="s">
        <v>1562</v>
      </c>
      <c r="E11" s="509" t="s">
        <v>33</v>
      </c>
      <c r="F11" s="966">
        <v>0</v>
      </c>
      <c r="G11" s="29"/>
    </row>
    <row r="12" spans="1:7" x14ac:dyDescent="0.25">
      <c r="A12" s="103">
        <f t="shared" si="0"/>
        <v>4</v>
      </c>
      <c r="C12" s="850" t="s">
        <v>214</v>
      </c>
      <c r="D12" s="979" t="s">
        <v>1562</v>
      </c>
      <c r="E12" s="509" t="s">
        <v>33</v>
      </c>
      <c r="F12" s="966">
        <v>0</v>
      </c>
      <c r="G12" s="29"/>
    </row>
    <row r="13" spans="1:7" x14ac:dyDescent="0.25">
      <c r="A13" s="103">
        <f t="shared" si="0"/>
        <v>5</v>
      </c>
      <c r="C13" s="850" t="s">
        <v>202</v>
      </c>
      <c r="D13" s="979" t="s">
        <v>1562</v>
      </c>
      <c r="E13" s="509" t="s">
        <v>33</v>
      </c>
      <c r="F13" s="966">
        <v>0</v>
      </c>
      <c r="G13" s="29"/>
    </row>
    <row r="14" spans="1:7" x14ac:dyDescent="0.25">
      <c r="A14" s="103">
        <f t="shared" si="0"/>
        <v>6</v>
      </c>
      <c r="C14" s="850" t="s">
        <v>203</v>
      </c>
      <c r="D14" s="979" t="s">
        <v>1562</v>
      </c>
      <c r="E14" s="509" t="s">
        <v>33</v>
      </c>
      <c r="F14" s="966">
        <v>0</v>
      </c>
      <c r="G14" s="29"/>
    </row>
    <row r="15" spans="1:7" x14ac:dyDescent="0.25">
      <c r="A15" s="103">
        <f t="shared" si="0"/>
        <v>7</v>
      </c>
      <c r="C15" s="850" t="s">
        <v>1662</v>
      </c>
      <c r="D15" s="979" t="s">
        <v>1562</v>
      </c>
      <c r="E15" s="509" t="s">
        <v>33</v>
      </c>
      <c r="F15" s="966">
        <v>0</v>
      </c>
      <c r="G15" s="29"/>
    </row>
    <row r="16" spans="1:7" x14ac:dyDescent="0.25">
      <c r="A16" s="103">
        <f t="shared" si="0"/>
        <v>8</v>
      </c>
      <c r="C16" s="850" t="s">
        <v>205</v>
      </c>
      <c r="D16" s="979" t="s">
        <v>1562</v>
      </c>
      <c r="E16" s="509" t="s">
        <v>33</v>
      </c>
      <c r="F16" s="966">
        <v>0</v>
      </c>
      <c r="G16" s="29"/>
    </row>
    <row r="17" spans="1:7" x14ac:dyDescent="0.25">
      <c r="A17" s="103">
        <f t="shared" si="0"/>
        <v>9</v>
      </c>
      <c r="C17" s="850" t="s">
        <v>206</v>
      </c>
      <c r="D17" s="979" t="s">
        <v>1562</v>
      </c>
      <c r="E17" s="509" t="s">
        <v>33</v>
      </c>
      <c r="F17" s="966">
        <v>0</v>
      </c>
      <c r="G17" s="29"/>
    </row>
    <row r="18" spans="1:7" x14ac:dyDescent="0.25">
      <c r="A18" s="103">
        <f t="shared" si="0"/>
        <v>10</v>
      </c>
      <c r="C18" s="850" t="s">
        <v>207</v>
      </c>
      <c r="D18" s="979" t="s">
        <v>1562</v>
      </c>
      <c r="E18" s="509" t="s">
        <v>33</v>
      </c>
      <c r="F18" s="966">
        <v>0</v>
      </c>
      <c r="G18" s="29"/>
    </row>
    <row r="19" spans="1:7" x14ac:dyDescent="0.25">
      <c r="A19" s="103">
        <f t="shared" si="0"/>
        <v>11</v>
      </c>
      <c r="C19" s="850" t="s">
        <v>210</v>
      </c>
      <c r="D19" s="979" t="s">
        <v>1562</v>
      </c>
      <c r="E19" s="509" t="s">
        <v>33</v>
      </c>
      <c r="F19" s="966">
        <v>0</v>
      </c>
      <c r="G19" s="29"/>
    </row>
    <row r="20" spans="1:7" x14ac:dyDescent="0.25">
      <c r="A20" s="103">
        <f t="shared" si="0"/>
        <v>12</v>
      </c>
      <c r="C20" s="850" t="s">
        <v>209</v>
      </c>
      <c r="D20" s="979" t="s">
        <v>1562</v>
      </c>
      <c r="E20" s="509" t="s">
        <v>33</v>
      </c>
      <c r="F20" s="966">
        <v>0</v>
      </c>
      <c r="G20" s="29"/>
    </row>
    <row r="21" spans="1:7" x14ac:dyDescent="0.25">
      <c r="A21" s="103">
        <f t="shared" si="0"/>
        <v>13</v>
      </c>
      <c r="C21" s="20" t="s">
        <v>199</v>
      </c>
      <c r="D21" s="979" t="s">
        <v>1562</v>
      </c>
      <c r="E21" s="29" t="s">
        <v>608</v>
      </c>
      <c r="F21" s="966">
        <v>0</v>
      </c>
      <c r="G21" s="15" t="s">
        <v>100</v>
      </c>
    </row>
    <row r="22" spans="1:7" x14ac:dyDescent="0.25">
      <c r="A22" s="13"/>
      <c r="C22" s="21"/>
      <c r="D22" s="21"/>
      <c r="E22" s="519"/>
      <c r="F22" s="13"/>
      <c r="G22" s="29"/>
    </row>
    <row r="23" spans="1:7" x14ac:dyDescent="0.25">
      <c r="A23" s="103">
        <f>A21+1</f>
        <v>14</v>
      </c>
      <c r="C23" s="21"/>
      <c r="D23" s="21"/>
      <c r="E23" s="501" t="s">
        <v>2185</v>
      </c>
      <c r="F23" s="986">
        <v>0</v>
      </c>
      <c r="G23" s="105" t="str">
        <f>"(Sum Line "&amp;A9&amp;" to Line "&amp;A21&amp;") / 13"</f>
        <v>(Sum Line 1 to Line 13) / 13</v>
      </c>
    </row>
    <row r="24" spans="1:7" x14ac:dyDescent="0.25">
      <c r="A24" s="103">
        <f>A23+1</f>
        <v>15</v>
      </c>
      <c r="C24" s="21"/>
      <c r="D24" s="21"/>
      <c r="E24" s="33" t="s">
        <v>340</v>
      </c>
      <c r="F24" s="970" t="s">
        <v>2690</v>
      </c>
      <c r="G24" s="105" t="str">
        <f>"27-Allocators, Line "&amp;'27-Allocators'!A15&amp;""</f>
        <v>27-Allocators, Line 9</v>
      </c>
    </row>
    <row r="25" spans="1:7" x14ac:dyDescent="0.25">
      <c r="A25" s="13"/>
      <c r="C25" s="13"/>
      <c r="D25" s="21"/>
      <c r="E25" s="33"/>
      <c r="F25" s="32"/>
      <c r="G25" s="105"/>
    </row>
    <row r="26" spans="1:7" x14ac:dyDescent="0.25">
      <c r="A26" s="103">
        <f>A24+1</f>
        <v>16</v>
      </c>
      <c r="C26" s="21" t="s">
        <v>102</v>
      </c>
      <c r="D26" s="21"/>
      <c r="E26" s="340" t="s">
        <v>173</v>
      </c>
      <c r="F26" s="986">
        <v>0</v>
      </c>
      <c r="G26" s="45" t="str">
        <f>"Line "&amp;A21&amp;" * Line "&amp;A24&amp;""</f>
        <v>Line 13 * Line 15</v>
      </c>
    </row>
    <row r="27" spans="1:7" x14ac:dyDescent="0.25">
      <c r="A27" s="103">
        <f>A26+1</f>
        <v>17</v>
      </c>
      <c r="C27" s="21"/>
      <c r="D27" s="21"/>
      <c r="E27" s="501" t="s">
        <v>2186</v>
      </c>
      <c r="F27" s="986">
        <v>0</v>
      </c>
      <c r="G27" s="45" t="str">
        <f>"Line "&amp;A23&amp;" * Line "&amp;A24&amp;""</f>
        <v>Line 14 * Line 15</v>
      </c>
    </row>
    <row r="28" spans="1:7" x14ac:dyDescent="0.25">
      <c r="A28" s="13"/>
      <c r="C28" s="13"/>
      <c r="D28" s="13"/>
      <c r="E28" s="13"/>
      <c r="F28" s="13"/>
      <c r="G28" s="13"/>
    </row>
    <row r="29" spans="1:7" x14ac:dyDescent="0.25">
      <c r="A29" s="13"/>
      <c r="B29" s="1" t="s">
        <v>175</v>
      </c>
      <c r="C29" s="13"/>
      <c r="D29" s="13"/>
      <c r="E29" s="13"/>
      <c r="F29" s="13"/>
      <c r="G29" s="13"/>
    </row>
    <row r="30" spans="1:7" x14ac:dyDescent="0.25">
      <c r="A30" s="13"/>
      <c r="C30" s="13" t="s">
        <v>7</v>
      </c>
      <c r="D30" s="13"/>
      <c r="E30" s="519"/>
      <c r="F30" s="27"/>
      <c r="G30" s="26"/>
    </row>
    <row r="31" spans="1:7" x14ac:dyDescent="0.25">
      <c r="A31" s="13"/>
      <c r="C31" s="13" t="s">
        <v>2028</v>
      </c>
      <c r="D31" s="13"/>
      <c r="E31" s="519"/>
      <c r="F31" s="27"/>
      <c r="G31" s="26"/>
    </row>
    <row r="32" spans="1:7" x14ac:dyDescent="0.25">
      <c r="A32" s="13"/>
      <c r="C32" s="20"/>
      <c r="D32" s="245"/>
      <c r="E32" s="411" t="s">
        <v>213</v>
      </c>
      <c r="F32" s="75" t="s">
        <v>268</v>
      </c>
      <c r="G32" s="411"/>
    </row>
    <row r="33" spans="1:7" x14ac:dyDescent="0.25">
      <c r="A33" s="13"/>
      <c r="C33" s="28" t="s">
        <v>211</v>
      </c>
      <c r="D33" s="28" t="s">
        <v>212</v>
      </c>
      <c r="E33" s="28" t="s">
        <v>198</v>
      </c>
      <c r="F33" s="455" t="s">
        <v>2</v>
      </c>
      <c r="G33" s="28" t="s">
        <v>187</v>
      </c>
    </row>
    <row r="34" spans="1:7" x14ac:dyDescent="0.25">
      <c r="A34" s="103">
        <f>A27+1</f>
        <v>18</v>
      </c>
      <c r="C34" s="267" t="s">
        <v>199</v>
      </c>
      <c r="D34" s="979" t="s">
        <v>1562</v>
      </c>
      <c r="E34" s="509" t="s">
        <v>2053</v>
      </c>
      <c r="F34" s="986">
        <v>0</v>
      </c>
      <c r="G34" s="509" t="str">
        <f>"See Note 1, "&amp;B63&amp;""</f>
        <v>See Note 1, c</v>
      </c>
    </row>
    <row r="35" spans="1:7" x14ac:dyDescent="0.25">
      <c r="A35" s="103">
        <f>A34+1</f>
        <v>19</v>
      </c>
      <c r="C35" s="850" t="s">
        <v>200</v>
      </c>
      <c r="D35" s="979" t="s">
        <v>1562</v>
      </c>
      <c r="E35" s="509" t="s">
        <v>33</v>
      </c>
      <c r="F35" s="966">
        <v>0</v>
      </c>
      <c r="G35" s="509"/>
    </row>
    <row r="36" spans="1:7" x14ac:dyDescent="0.25">
      <c r="A36" s="103">
        <f t="shared" ref="A36:A46" si="1">A35+1</f>
        <v>20</v>
      </c>
      <c r="C36" s="850" t="s">
        <v>201</v>
      </c>
      <c r="D36" s="979" t="s">
        <v>1562</v>
      </c>
      <c r="E36" s="509" t="s">
        <v>33</v>
      </c>
      <c r="F36" s="966">
        <v>0</v>
      </c>
      <c r="G36" s="509"/>
    </row>
    <row r="37" spans="1:7" x14ac:dyDescent="0.25">
      <c r="A37" s="103">
        <f t="shared" si="1"/>
        <v>21</v>
      </c>
      <c r="C37" s="850" t="s">
        <v>214</v>
      </c>
      <c r="D37" s="979" t="s">
        <v>1562</v>
      </c>
      <c r="E37" s="509" t="s">
        <v>33</v>
      </c>
      <c r="F37" s="966">
        <v>0</v>
      </c>
      <c r="G37" s="509"/>
    </row>
    <row r="38" spans="1:7" x14ac:dyDescent="0.25">
      <c r="A38" s="103">
        <f t="shared" si="1"/>
        <v>22</v>
      </c>
      <c r="C38" s="850" t="s">
        <v>202</v>
      </c>
      <c r="D38" s="979" t="s">
        <v>1562</v>
      </c>
      <c r="E38" s="509" t="s">
        <v>33</v>
      </c>
      <c r="F38" s="966">
        <v>0</v>
      </c>
      <c r="G38" s="509"/>
    </row>
    <row r="39" spans="1:7" x14ac:dyDescent="0.25">
      <c r="A39" s="103">
        <f t="shared" si="1"/>
        <v>23</v>
      </c>
      <c r="C39" s="850" t="s">
        <v>203</v>
      </c>
      <c r="D39" s="979" t="s">
        <v>1562</v>
      </c>
      <c r="E39" s="509" t="s">
        <v>33</v>
      </c>
      <c r="F39" s="966">
        <v>0</v>
      </c>
      <c r="G39" s="509"/>
    </row>
    <row r="40" spans="1:7" x14ac:dyDescent="0.25">
      <c r="A40" s="103">
        <f t="shared" si="1"/>
        <v>24</v>
      </c>
      <c r="C40" s="850" t="s">
        <v>1662</v>
      </c>
      <c r="D40" s="979" t="s">
        <v>1562</v>
      </c>
      <c r="E40" s="509" t="s">
        <v>33</v>
      </c>
      <c r="F40" s="966">
        <v>0</v>
      </c>
      <c r="G40" s="509"/>
    </row>
    <row r="41" spans="1:7" x14ac:dyDescent="0.25">
      <c r="A41" s="103">
        <f t="shared" si="1"/>
        <v>25</v>
      </c>
      <c r="C41" s="850" t="s">
        <v>205</v>
      </c>
      <c r="D41" s="979" t="s">
        <v>1562</v>
      </c>
      <c r="E41" s="509" t="s">
        <v>33</v>
      </c>
      <c r="F41" s="966">
        <v>0</v>
      </c>
      <c r="G41" s="509"/>
    </row>
    <row r="42" spans="1:7" x14ac:dyDescent="0.25">
      <c r="A42" s="103">
        <f t="shared" si="1"/>
        <v>26</v>
      </c>
      <c r="C42" s="850" t="s">
        <v>206</v>
      </c>
      <c r="D42" s="979" t="s">
        <v>1562</v>
      </c>
      <c r="E42" s="509" t="s">
        <v>33</v>
      </c>
      <c r="F42" s="966">
        <v>0</v>
      </c>
      <c r="G42" s="509"/>
    </row>
    <row r="43" spans="1:7" x14ac:dyDescent="0.25">
      <c r="A43" s="103">
        <f t="shared" si="1"/>
        <v>27</v>
      </c>
      <c r="C43" s="850" t="s">
        <v>207</v>
      </c>
      <c r="D43" s="979" t="s">
        <v>1562</v>
      </c>
      <c r="E43" s="509" t="s">
        <v>33</v>
      </c>
      <c r="F43" s="966">
        <v>0</v>
      </c>
      <c r="G43" s="509"/>
    </row>
    <row r="44" spans="1:7" x14ac:dyDescent="0.25">
      <c r="A44" s="103">
        <f t="shared" si="1"/>
        <v>28</v>
      </c>
      <c r="C44" s="850" t="s">
        <v>210</v>
      </c>
      <c r="D44" s="979" t="s">
        <v>1562</v>
      </c>
      <c r="E44" s="509" t="s">
        <v>33</v>
      </c>
      <c r="F44" s="966">
        <v>0</v>
      </c>
      <c r="G44" s="509"/>
    </row>
    <row r="45" spans="1:7" x14ac:dyDescent="0.25">
      <c r="A45" s="103">
        <f t="shared" si="1"/>
        <v>29</v>
      </c>
      <c r="C45" s="850" t="s">
        <v>209</v>
      </c>
      <c r="D45" s="979" t="s">
        <v>1562</v>
      </c>
      <c r="E45" s="509" t="s">
        <v>33</v>
      </c>
      <c r="F45" s="966">
        <v>0</v>
      </c>
      <c r="G45" s="509"/>
    </row>
    <row r="46" spans="1:7" x14ac:dyDescent="0.25">
      <c r="A46" s="103">
        <f t="shared" si="1"/>
        <v>30</v>
      </c>
      <c r="C46" s="20" t="s">
        <v>199</v>
      </c>
      <c r="D46" s="979" t="s">
        <v>1562</v>
      </c>
      <c r="E46" s="509" t="s">
        <v>2030</v>
      </c>
      <c r="F46" s="986">
        <v>0</v>
      </c>
      <c r="G46" s="509" t="str">
        <f>"See Note 1, "&amp;B69&amp;""</f>
        <v>See Note 1, f</v>
      </c>
    </row>
    <row r="47" spans="1:7" x14ac:dyDescent="0.25">
      <c r="A47" s="13"/>
      <c r="C47" s="20"/>
      <c r="D47" s="23"/>
      <c r="E47" s="22"/>
      <c r="F47" s="32"/>
      <c r="G47" s="15"/>
    </row>
    <row r="48" spans="1:7" x14ac:dyDescent="0.25">
      <c r="A48" s="13"/>
      <c r="C48" s="643" t="s">
        <v>2026</v>
      </c>
      <c r="D48" s="643"/>
      <c r="E48" s="942"/>
      <c r="F48" s="13"/>
      <c r="G48" s="29"/>
    </row>
    <row r="49" spans="1:8" x14ac:dyDescent="0.25">
      <c r="A49" s="103">
        <f>A46+1</f>
        <v>31</v>
      </c>
      <c r="C49" s="21"/>
      <c r="D49" s="21"/>
      <c r="E49" s="682" t="s">
        <v>2027</v>
      </c>
      <c r="F49" s="986">
        <v>0</v>
      </c>
      <c r="G49" s="105" t="str">
        <f>"(Sum Line "&amp;A34&amp;" to Line "&amp;A46&amp;") / 13"</f>
        <v>(Sum Line 18 to Line 30) / 13</v>
      </c>
    </row>
    <row r="50" spans="1:8" x14ac:dyDescent="0.25">
      <c r="A50" s="103">
        <f>A49+1</f>
        <v>32</v>
      </c>
      <c r="C50" s="21"/>
      <c r="D50" s="21"/>
      <c r="E50" s="33" t="s">
        <v>340</v>
      </c>
      <c r="F50" s="971" t="s">
        <v>2690</v>
      </c>
      <c r="G50" s="105" t="str">
        <f>"27-Allocators, Line "&amp;'27-Allocators'!A15&amp;""</f>
        <v>27-Allocators, Line 9</v>
      </c>
    </row>
    <row r="51" spans="1:8" x14ac:dyDescent="0.25">
      <c r="A51" s="103">
        <f>A50+1</f>
        <v>33</v>
      </c>
      <c r="C51" s="21"/>
      <c r="D51" s="21"/>
      <c r="E51" s="943" t="s">
        <v>180</v>
      </c>
      <c r="F51" s="986">
        <v>0</v>
      </c>
      <c r="G51" s="45" t="str">
        <f>"Line "&amp;A49&amp;" * Line "&amp;A50&amp;""</f>
        <v>Line 31 * Line 32</v>
      </c>
    </row>
    <row r="52" spans="1:8" x14ac:dyDescent="0.25">
      <c r="A52" s="13"/>
      <c r="C52" s="21" t="s">
        <v>267</v>
      </c>
      <c r="D52" s="21"/>
      <c r="E52" s="519"/>
      <c r="F52" s="13"/>
      <c r="G52" s="34"/>
    </row>
    <row r="53" spans="1:8" x14ac:dyDescent="0.25">
      <c r="A53" s="103">
        <f>A51+1</f>
        <v>34</v>
      </c>
      <c r="C53" s="21"/>
      <c r="D53" s="21"/>
      <c r="E53" s="33" t="s">
        <v>173</v>
      </c>
      <c r="F53" s="986">
        <v>0</v>
      </c>
      <c r="G53" s="34" t="str">
        <f>"Line "&amp;A46&amp;""</f>
        <v>Line 30</v>
      </c>
    </row>
    <row r="54" spans="1:8" x14ac:dyDescent="0.25">
      <c r="A54" s="103">
        <f>A53+1</f>
        <v>35</v>
      </c>
      <c r="C54" s="21"/>
      <c r="D54" s="21"/>
      <c r="E54" s="33" t="s">
        <v>340</v>
      </c>
      <c r="F54" s="971" t="s">
        <v>2690</v>
      </c>
      <c r="G54" s="105" t="str">
        <f>"27-Allocators, Line "&amp;'27-Allocators'!A15&amp;""</f>
        <v>27-Allocators, Line 9</v>
      </c>
    </row>
    <row r="55" spans="1:8" x14ac:dyDescent="0.25">
      <c r="A55" s="103">
        <f>A54+1</f>
        <v>36</v>
      </c>
      <c r="C55" s="21"/>
      <c r="D55" s="21"/>
      <c r="E55" s="943" t="s">
        <v>180</v>
      </c>
      <c r="F55" s="986">
        <v>0</v>
      </c>
      <c r="G55" s="12" t="str">
        <f>"Line "&amp;A53&amp;" * Line "&amp;A54&amp;""</f>
        <v>Line 34 * Line 35</v>
      </c>
    </row>
    <row r="56" spans="1:8" x14ac:dyDescent="0.25">
      <c r="A56" s="13"/>
      <c r="B56" s="49" t="s">
        <v>256</v>
      </c>
      <c r="C56" s="14"/>
      <c r="E56" s="13"/>
    </row>
    <row r="57" spans="1:8" x14ac:dyDescent="0.25">
      <c r="A57" s="13"/>
      <c r="B57" t="s">
        <v>1908</v>
      </c>
      <c r="C57" s="468" t="str">
        <f>"Remove any amounts related to years prior to the effective date of the formula on "&amp;B62&amp;" and "&amp;B68&amp;" below."</f>
        <v>Remove any amounts related to years prior to the effective date of the formula on b and e below.</v>
      </c>
      <c r="E57" s="13"/>
    </row>
    <row r="58" spans="1:8" x14ac:dyDescent="0.25">
      <c r="A58" s="103"/>
      <c r="C58" s="13"/>
      <c r="E58" s="340"/>
      <c r="F58" s="6"/>
      <c r="G58" s="375"/>
      <c r="H58" s="1"/>
    </row>
    <row r="59" spans="1:8" x14ac:dyDescent="0.25">
      <c r="A59" s="103"/>
      <c r="C59" s="468" t="s">
        <v>2694</v>
      </c>
      <c r="E59" s="340"/>
      <c r="F59" s="75" t="s">
        <v>103</v>
      </c>
      <c r="G59" s="105"/>
    </row>
    <row r="60" spans="1:8" x14ac:dyDescent="0.25">
      <c r="A60" s="103"/>
      <c r="C60" s="13"/>
      <c r="E60" s="340"/>
      <c r="F60" s="30" t="s">
        <v>2</v>
      </c>
      <c r="G60" s="376" t="s">
        <v>198</v>
      </c>
    </row>
    <row r="61" spans="1:8" x14ac:dyDescent="0.25">
      <c r="A61" s="103"/>
      <c r="B61" s="576" t="s">
        <v>1916</v>
      </c>
      <c r="C61" s="267"/>
      <c r="E61" s="893" t="s">
        <v>1909</v>
      </c>
      <c r="F61" s="966">
        <v>0</v>
      </c>
      <c r="G61" s="29" t="s">
        <v>178</v>
      </c>
    </row>
    <row r="62" spans="1:8" ht="15" x14ac:dyDescent="0.4">
      <c r="A62" s="103"/>
      <c r="B62" s="576" t="s">
        <v>1917</v>
      </c>
      <c r="C62" s="13"/>
      <c r="E62" s="893" t="s">
        <v>1915</v>
      </c>
      <c r="F62" s="967">
        <v>0</v>
      </c>
      <c r="G62" s="470" t="s">
        <v>395</v>
      </c>
    </row>
    <row r="63" spans="1:8" x14ac:dyDescent="0.25">
      <c r="A63" s="103"/>
      <c r="B63" s="576" t="s">
        <v>1918</v>
      </c>
      <c r="C63" s="13"/>
      <c r="E63" s="80" t="s">
        <v>1910</v>
      </c>
      <c r="F63" s="986">
        <v>0</v>
      </c>
      <c r="G63" s="12" t="str">
        <f>""&amp;B61&amp;" - "&amp;B62&amp;""</f>
        <v>a - b</v>
      </c>
    </row>
    <row r="64" spans="1:8" x14ac:dyDescent="0.25">
      <c r="A64" s="103"/>
      <c r="C64" s="13"/>
      <c r="E64" s="13"/>
    </row>
    <row r="65" spans="1:7" x14ac:dyDescent="0.25">
      <c r="A65" s="103"/>
      <c r="C65" s="468" t="s">
        <v>2695</v>
      </c>
      <c r="E65" s="340"/>
      <c r="F65" s="75" t="s">
        <v>103</v>
      </c>
      <c r="G65" s="105"/>
    </row>
    <row r="66" spans="1:7" x14ac:dyDescent="0.25">
      <c r="A66" s="103"/>
      <c r="C66" s="13"/>
      <c r="E66" s="340"/>
      <c r="F66" s="30" t="s">
        <v>2</v>
      </c>
      <c r="G66" s="376" t="s">
        <v>198</v>
      </c>
    </row>
    <row r="67" spans="1:7" x14ac:dyDescent="0.25">
      <c r="A67" s="103"/>
      <c r="B67" s="576" t="s">
        <v>1919</v>
      </c>
      <c r="C67" s="267"/>
      <c r="E67" s="893" t="s">
        <v>1909</v>
      </c>
      <c r="F67" s="966">
        <v>0</v>
      </c>
      <c r="G67" s="29" t="s">
        <v>179</v>
      </c>
    </row>
    <row r="68" spans="1:7" ht="15" x14ac:dyDescent="0.4">
      <c r="A68" s="103"/>
      <c r="B68" s="576" t="s">
        <v>1920</v>
      </c>
      <c r="C68" s="13"/>
      <c r="E68" s="893" t="s">
        <v>1915</v>
      </c>
      <c r="F68" s="967">
        <v>0</v>
      </c>
      <c r="G68" s="470" t="s">
        <v>395</v>
      </c>
    </row>
    <row r="69" spans="1:7" x14ac:dyDescent="0.25">
      <c r="A69" s="103"/>
      <c r="B69" s="576" t="s">
        <v>1921</v>
      </c>
      <c r="C69" s="13"/>
      <c r="D69" s="13"/>
      <c r="E69" s="893" t="s">
        <v>1961</v>
      </c>
      <c r="F69" s="986">
        <v>0</v>
      </c>
      <c r="G69" s="12" t="str">
        <f>""&amp;B67&amp;" - "&amp;B68&amp;""</f>
        <v>d - e</v>
      </c>
    </row>
    <row r="73" spans="1:7" x14ac:dyDescent="0.25">
      <c r="F73" s="575"/>
    </row>
  </sheetData>
  <phoneticPr fontId="9" type="noConversion"/>
  <pageMargins left="0.75" right="0.75" top="1" bottom="1" header="0.5" footer="0.5"/>
  <pageSetup scale="72" orientation="portrait" cellComments="asDisplayed" r:id="rId1"/>
  <headerFooter alignWithMargins="0">
    <oddHeader xml:space="preserve">&amp;C&amp;"Arial,Bold"Schedule 13
Working Capital&amp;"Arial,Regular"
</oddHead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2"/>
  <sheetViews>
    <sheetView zoomScale="90" zoomScaleNormal="90" workbookViewId="0"/>
  </sheetViews>
  <sheetFormatPr defaultRowHeight="13.2" x14ac:dyDescent="0.25"/>
  <cols>
    <col min="1" max="1" width="4.6640625" customWidth="1"/>
    <col min="2" max="2" width="3.6640625" customWidth="1"/>
    <col min="3" max="3" width="16.6640625" customWidth="1"/>
    <col min="4" max="4" width="9.6640625" customWidth="1"/>
    <col min="5" max="8" width="15.6640625" customWidth="1"/>
    <col min="9" max="11" width="14.6640625" customWidth="1"/>
  </cols>
  <sheetData>
    <row r="1" spans="1:10" x14ac:dyDescent="0.25">
      <c r="A1" s="1" t="s">
        <v>270</v>
      </c>
    </row>
    <row r="2" spans="1:10" x14ac:dyDescent="0.25">
      <c r="A2" s="1" t="s">
        <v>271</v>
      </c>
    </row>
    <row r="3" spans="1:10" x14ac:dyDescent="0.25">
      <c r="B3" s="1"/>
      <c r="H3" s="168" t="s">
        <v>272</v>
      </c>
      <c r="I3" s="94"/>
      <c r="J3" s="54"/>
    </row>
    <row r="4" spans="1:10" x14ac:dyDescent="0.25">
      <c r="B4" s="1" t="s">
        <v>273</v>
      </c>
    </row>
    <row r="5" spans="1:10" x14ac:dyDescent="0.25">
      <c r="B5" s="53" t="s">
        <v>274</v>
      </c>
    </row>
    <row r="6" spans="1:10" x14ac:dyDescent="0.25">
      <c r="B6" s="53" t="s">
        <v>328</v>
      </c>
    </row>
    <row r="7" spans="1:10" x14ac:dyDescent="0.25">
      <c r="B7" s="99" t="s">
        <v>1089</v>
      </c>
    </row>
    <row r="8" spans="1:10" x14ac:dyDescent="0.25">
      <c r="B8" s="99" t="s">
        <v>1690</v>
      </c>
    </row>
    <row r="9" spans="1:10" x14ac:dyDescent="0.25">
      <c r="B9" s="99" t="s">
        <v>1691</v>
      </c>
      <c r="D9" s="1"/>
      <c r="E9" s="1"/>
    </row>
    <row r="10" spans="1:10" x14ac:dyDescent="0.25">
      <c r="B10" s="53"/>
    </row>
    <row r="11" spans="1:10" x14ac:dyDescent="0.25">
      <c r="B11" s="53"/>
      <c r="C11" s="11" t="s">
        <v>391</v>
      </c>
    </row>
    <row r="12" spans="1:10" x14ac:dyDescent="0.25">
      <c r="B12" s="53"/>
      <c r="C12" s="470" t="s">
        <v>1693</v>
      </c>
    </row>
    <row r="13" spans="1:10" x14ac:dyDescent="0.25">
      <c r="B13" s="53"/>
      <c r="C13" s="465" t="s">
        <v>2054</v>
      </c>
      <c r="D13" s="13"/>
      <c r="E13" s="13"/>
      <c r="F13" s="13"/>
      <c r="G13" s="13"/>
      <c r="H13" s="13"/>
    </row>
    <row r="14" spans="1:10" x14ac:dyDescent="0.25">
      <c r="B14" s="53"/>
      <c r="C14" s="470" t="s">
        <v>1694</v>
      </c>
    </row>
    <row r="15" spans="1:10" x14ac:dyDescent="0.25">
      <c r="B15" s="53"/>
      <c r="C15" s="490" t="s">
        <v>1695</v>
      </c>
    </row>
    <row r="16" spans="1:10" x14ac:dyDescent="0.25">
      <c r="B16" s="53"/>
      <c r="C16" s="470" t="s">
        <v>1697</v>
      </c>
    </row>
    <row r="17" spans="1:10" x14ac:dyDescent="0.25">
      <c r="B17" s="53"/>
      <c r="C17" s="470" t="s">
        <v>1696</v>
      </c>
    </row>
    <row r="18" spans="1:10" x14ac:dyDescent="0.25">
      <c r="B18" s="53"/>
      <c r="C18" s="12"/>
    </row>
    <row r="19" spans="1:10" x14ac:dyDescent="0.25">
      <c r="C19" s="1" t="s">
        <v>1088</v>
      </c>
    </row>
    <row r="20" spans="1:10" x14ac:dyDescent="0.25">
      <c r="C20" s="1"/>
      <c r="E20" s="3" t="s">
        <v>394</v>
      </c>
      <c r="F20" s="3" t="s">
        <v>378</v>
      </c>
      <c r="G20" s="3" t="s">
        <v>379</v>
      </c>
    </row>
    <row r="21" spans="1:10" x14ac:dyDescent="0.25">
      <c r="B21" s="1"/>
      <c r="F21" s="2" t="s">
        <v>73</v>
      </c>
      <c r="G21" s="2" t="s">
        <v>18</v>
      </c>
    </row>
    <row r="22" spans="1:10" x14ac:dyDescent="0.25">
      <c r="B22" s="1"/>
      <c r="E22" s="2" t="s">
        <v>73</v>
      </c>
      <c r="F22" s="4" t="s">
        <v>254</v>
      </c>
      <c r="G22" s="2" t="s">
        <v>327</v>
      </c>
    </row>
    <row r="23" spans="1:10" x14ac:dyDescent="0.25">
      <c r="B23" s="1"/>
      <c r="C23" s="11"/>
      <c r="E23" s="2" t="s">
        <v>253</v>
      </c>
      <c r="F23" s="2" t="s">
        <v>255</v>
      </c>
      <c r="G23" s="2" t="s">
        <v>1</v>
      </c>
    </row>
    <row r="24" spans="1:10" x14ac:dyDescent="0.25">
      <c r="B24" s="1"/>
      <c r="C24" s="2" t="s">
        <v>8</v>
      </c>
      <c r="E24" s="2" t="s">
        <v>266</v>
      </c>
      <c r="F24" s="2" t="s">
        <v>266</v>
      </c>
      <c r="G24" s="4" t="s">
        <v>10</v>
      </c>
    </row>
    <row r="25" spans="1:10" x14ac:dyDescent="0.25">
      <c r="A25" s="49" t="s">
        <v>360</v>
      </c>
      <c r="B25" s="1"/>
      <c r="C25" s="3" t="s">
        <v>250</v>
      </c>
      <c r="E25" s="3" t="s">
        <v>194</v>
      </c>
      <c r="F25" s="3" t="s">
        <v>194</v>
      </c>
      <c r="G25" s="3" t="s">
        <v>194</v>
      </c>
      <c r="H25" s="3" t="s">
        <v>256</v>
      </c>
      <c r="I25" s="48"/>
      <c r="J25" s="48"/>
    </row>
    <row r="26" spans="1:10" x14ac:dyDescent="0.25">
      <c r="A26" s="2">
        <v>1</v>
      </c>
      <c r="B26" s="1"/>
      <c r="C26" s="11" t="s">
        <v>369</v>
      </c>
      <c r="E26" s="986">
        <v>0</v>
      </c>
      <c r="F26" s="986">
        <v>0</v>
      </c>
      <c r="G26" s="986">
        <v>0</v>
      </c>
      <c r="H26" s="45" t="str">
        <f>"10-CWIP Lines "&amp;'10-CWIP'!A25&amp;", "&amp;'10-CWIP'!A26&amp;", and "&amp;'10-CWIP'!A113&amp;""</f>
        <v>10-CWIP Lines 13, 14, and 80</v>
      </c>
    </row>
    <row r="27" spans="1:10" x14ac:dyDescent="0.25">
      <c r="A27" s="2">
        <f t="shared" ref="A27:A37" si="0">A26+1</f>
        <v>2</v>
      </c>
      <c r="B27" s="1"/>
      <c r="C27" s="11" t="s">
        <v>370</v>
      </c>
      <c r="E27" s="986">
        <v>0</v>
      </c>
      <c r="F27" s="986">
        <v>0</v>
      </c>
      <c r="G27" s="986">
        <v>0</v>
      </c>
      <c r="H27" s="45" t="str">
        <f>"10-CWIP Lines "&amp;'10-CWIP'!A25&amp;", "&amp;'10-CWIP'!A26&amp;", and "&amp;'10-CWIP'!A146&amp;""</f>
        <v>10-CWIP Lines 13, 14, and 106</v>
      </c>
    </row>
    <row r="28" spans="1:10" x14ac:dyDescent="0.25">
      <c r="A28" s="2">
        <f t="shared" si="0"/>
        <v>3</v>
      </c>
      <c r="B28" s="1"/>
      <c r="C28" s="11" t="s">
        <v>371</v>
      </c>
      <c r="E28" s="986">
        <v>0</v>
      </c>
      <c r="F28" s="986">
        <v>0</v>
      </c>
      <c r="G28" s="986">
        <v>0</v>
      </c>
      <c r="H28" s="45" t="str">
        <f>"10-CWIP Lines "&amp;'10-CWIP'!A25&amp;", "&amp;'10-CWIP'!A26&amp;", and "&amp;'10-CWIP'!A177&amp;""</f>
        <v>10-CWIP Lines 13, 14, and 132</v>
      </c>
    </row>
    <row r="29" spans="1:10" x14ac:dyDescent="0.25">
      <c r="A29" s="2">
        <f t="shared" si="0"/>
        <v>4</v>
      </c>
      <c r="B29" s="1"/>
      <c r="C29" s="11" t="s">
        <v>1094</v>
      </c>
      <c r="E29" s="986">
        <v>0</v>
      </c>
      <c r="F29" s="986">
        <v>0</v>
      </c>
      <c r="G29" s="986">
        <v>0</v>
      </c>
      <c r="H29" s="45" t="str">
        <f>"10-CWIP Lines "&amp;'10-CWIP'!A25&amp;", "&amp;'10-CWIP'!A26&amp;", and "&amp;'10-CWIP'!A210&amp;""</f>
        <v>10-CWIP Lines 13, 14, and 158</v>
      </c>
    </row>
    <row r="30" spans="1:10" x14ac:dyDescent="0.25">
      <c r="A30" s="2">
        <f t="shared" si="0"/>
        <v>5</v>
      </c>
      <c r="B30" s="1"/>
      <c r="C30" s="11" t="s">
        <v>1095</v>
      </c>
      <c r="E30" s="986">
        <v>0</v>
      </c>
      <c r="F30" s="986">
        <v>0</v>
      </c>
      <c r="G30" s="986">
        <v>0</v>
      </c>
      <c r="H30" s="45" t="str">
        <f>"10-CWIP Lines "&amp;'10-CWIP'!A25&amp;", "&amp;'10-CWIP'!A26&amp;", and "&amp;'10-CWIP'!A241&amp;""</f>
        <v>10-CWIP Lines 13, 14, and 184</v>
      </c>
    </row>
    <row r="31" spans="1:10" x14ac:dyDescent="0.25">
      <c r="A31" s="2">
        <f t="shared" si="0"/>
        <v>6</v>
      </c>
      <c r="B31" s="1"/>
      <c r="C31" s="11" t="s">
        <v>1096</v>
      </c>
      <c r="E31" s="986">
        <v>0</v>
      </c>
      <c r="F31" s="986">
        <v>0</v>
      </c>
      <c r="G31" s="986">
        <v>0</v>
      </c>
      <c r="H31" s="45" t="str">
        <f>"10-CWIP Lines "&amp;'10-CWIP'!A45&amp;", "&amp;'10-CWIP'!A46&amp;", and "&amp;'10-CWIP'!A274&amp;""</f>
        <v>10-CWIP Lines 27, 28, and 210</v>
      </c>
    </row>
    <row r="32" spans="1:10" x14ac:dyDescent="0.25">
      <c r="A32" s="2">
        <f t="shared" si="0"/>
        <v>7</v>
      </c>
      <c r="B32" s="1"/>
      <c r="C32" s="11" t="s">
        <v>1097</v>
      </c>
      <c r="E32" s="986">
        <v>0</v>
      </c>
      <c r="F32" s="986">
        <v>0</v>
      </c>
      <c r="G32" s="986">
        <v>0</v>
      </c>
      <c r="H32" s="45" t="str">
        <f>"10-CWIP Lines "&amp;'10-CWIP'!A45&amp;", "&amp;'10-CWIP'!A46&amp;", and "&amp;'10-CWIP'!A305&amp;""</f>
        <v>10-CWIP Lines 27, 28, and 236</v>
      </c>
    </row>
    <row r="33" spans="1:10" x14ac:dyDescent="0.25">
      <c r="A33" s="2">
        <f t="shared" si="0"/>
        <v>8</v>
      </c>
      <c r="B33" s="1"/>
      <c r="C33" s="11" t="s">
        <v>1098</v>
      </c>
      <c r="E33" s="986">
        <v>0</v>
      </c>
      <c r="F33" s="986">
        <v>0</v>
      </c>
      <c r="G33" s="986">
        <v>0</v>
      </c>
      <c r="H33" s="45" t="str">
        <f>"10-CWIP Lines "&amp;'10-CWIP'!A45&amp;", "&amp;'10-CWIP'!A46&amp;", and "&amp;'10-CWIP'!A338&amp;""</f>
        <v>10-CWIP Lines 27, 28, and 262</v>
      </c>
    </row>
    <row r="34" spans="1:10" x14ac:dyDescent="0.25">
      <c r="A34" s="2">
        <f t="shared" si="0"/>
        <v>9</v>
      </c>
      <c r="B34" s="1"/>
      <c r="C34" s="11" t="s">
        <v>1099</v>
      </c>
      <c r="E34" s="986">
        <v>0</v>
      </c>
      <c r="F34" s="986">
        <v>0</v>
      </c>
      <c r="G34" s="986">
        <v>0</v>
      </c>
      <c r="H34" s="45" t="str">
        <f>"10-CWIP Lines "&amp;'10-CWIP'!A45&amp;", "&amp;'10-CWIP'!A46&amp;", and "&amp;'10-CWIP'!A369&amp;""</f>
        <v>10-CWIP Lines 27, 28, and 288</v>
      </c>
    </row>
    <row r="35" spans="1:10" x14ac:dyDescent="0.25">
      <c r="A35" s="2">
        <f t="shared" si="0"/>
        <v>10</v>
      </c>
      <c r="B35" s="1"/>
      <c r="C35" s="538" t="s">
        <v>563</v>
      </c>
      <c r="E35" s="174"/>
      <c r="F35" s="174"/>
      <c r="G35" s="174"/>
      <c r="H35" s="538" t="s">
        <v>563</v>
      </c>
      <c r="I35" s="13"/>
      <c r="J35" s="13"/>
    </row>
    <row r="36" spans="1:10" x14ac:dyDescent="0.25">
      <c r="A36" s="2">
        <f t="shared" si="0"/>
        <v>11</v>
      </c>
      <c r="B36" s="1"/>
      <c r="C36" s="169"/>
      <c r="E36" s="174"/>
      <c r="F36" s="174"/>
      <c r="G36" s="174"/>
      <c r="H36" s="12"/>
    </row>
    <row r="37" spans="1:10" x14ac:dyDescent="0.25">
      <c r="A37" s="2">
        <f t="shared" si="0"/>
        <v>12</v>
      </c>
      <c r="B37" s="1"/>
      <c r="D37" s="35" t="s">
        <v>216</v>
      </c>
      <c r="E37" s="986">
        <v>0</v>
      </c>
      <c r="F37" s="986">
        <v>0</v>
      </c>
      <c r="G37" s="986">
        <v>0</v>
      </c>
      <c r="H37" s="50"/>
    </row>
    <row r="38" spans="1:10" x14ac:dyDescent="0.25">
      <c r="B38" s="1"/>
    </row>
    <row r="39" spans="1:10" x14ac:dyDescent="0.25">
      <c r="B39" s="1"/>
      <c r="C39" s="1" t="s">
        <v>1388</v>
      </c>
    </row>
    <row r="40" spans="1:10" x14ac:dyDescent="0.25">
      <c r="B40" s="1"/>
      <c r="C40" s="1"/>
    </row>
    <row r="41" spans="1:10" x14ac:dyDescent="0.25">
      <c r="B41" s="1"/>
      <c r="E41" s="3" t="s">
        <v>394</v>
      </c>
      <c r="F41" s="3" t="s">
        <v>378</v>
      </c>
      <c r="G41" s="3" t="s">
        <v>379</v>
      </c>
    </row>
    <row r="42" spans="1:10" x14ac:dyDescent="0.25">
      <c r="B42" s="1"/>
      <c r="E42" s="475" t="s">
        <v>1665</v>
      </c>
      <c r="F42" s="3"/>
      <c r="G42" s="3"/>
    </row>
    <row r="43" spans="1:10" x14ac:dyDescent="0.25">
      <c r="B43" s="1"/>
      <c r="E43" s="2" t="s">
        <v>73</v>
      </c>
      <c r="F43" s="2" t="s">
        <v>330</v>
      </c>
      <c r="G43" s="2" t="s">
        <v>330</v>
      </c>
    </row>
    <row r="44" spans="1:10" x14ac:dyDescent="0.25">
      <c r="B44" s="1"/>
      <c r="E44" s="2" t="s">
        <v>8</v>
      </c>
      <c r="F44" s="2" t="s">
        <v>1</v>
      </c>
      <c r="G44" s="2" t="s">
        <v>329</v>
      </c>
    </row>
    <row r="45" spans="1:10" x14ac:dyDescent="0.25">
      <c r="B45" s="1"/>
      <c r="E45" s="3" t="s">
        <v>192</v>
      </c>
      <c r="F45" s="3" t="s">
        <v>275</v>
      </c>
      <c r="G45" s="3" t="s">
        <v>3</v>
      </c>
      <c r="H45" s="3" t="s">
        <v>256</v>
      </c>
    </row>
    <row r="46" spans="1:10" x14ac:dyDescent="0.25">
      <c r="A46" s="2">
        <f>A37+1</f>
        <v>13</v>
      </c>
      <c r="B46" s="1"/>
      <c r="C46" t="s">
        <v>251</v>
      </c>
      <c r="E46" s="986">
        <v>0</v>
      </c>
      <c r="F46" s="986">
        <v>0</v>
      </c>
      <c r="G46" s="986">
        <v>0</v>
      </c>
      <c r="H46" s="12" t="str">
        <f>"Line "&amp;A84&amp;", C4"</f>
        <v>Line 37, C4</v>
      </c>
    </row>
    <row r="47" spans="1:10" x14ac:dyDescent="0.25">
      <c r="A47" s="2">
        <f>A46+1</f>
        <v>14</v>
      </c>
      <c r="B47" s="1"/>
      <c r="C47" t="s">
        <v>252</v>
      </c>
      <c r="E47" s="986">
        <v>0</v>
      </c>
      <c r="F47" s="986">
        <v>0</v>
      </c>
      <c r="G47" s="986">
        <v>0</v>
      </c>
      <c r="H47" s="12" t="str">
        <f>"Line "&amp;A26&amp;", C1, and Line "&amp;A84&amp;", C2"</f>
        <v>Line 1, C1, and Line 37, C2</v>
      </c>
    </row>
    <row r="48" spans="1:10" x14ac:dyDescent="0.25">
      <c r="A48" s="2">
        <f>A47+1</f>
        <v>15</v>
      </c>
      <c r="B48" s="1"/>
      <c r="C48" s="466" t="s">
        <v>1884</v>
      </c>
      <c r="E48" s="986">
        <v>0</v>
      </c>
      <c r="F48" s="986">
        <v>0</v>
      </c>
      <c r="G48" s="986">
        <v>0</v>
      </c>
      <c r="H48" s="12" t="str">
        <f>"Line "&amp;A27&amp;", C1, and Line "&amp;A84&amp;", C3"</f>
        <v>Line 2, C1, and Line 37, C3</v>
      </c>
    </row>
    <row r="49" spans="1:8" x14ac:dyDescent="0.25">
      <c r="A49" s="2">
        <f>A48+1</f>
        <v>16</v>
      </c>
      <c r="B49" s="1"/>
      <c r="C49" s="538" t="s">
        <v>563</v>
      </c>
      <c r="E49" s="93"/>
      <c r="F49" s="93"/>
      <c r="G49" s="93"/>
      <c r="H49" s="538" t="s">
        <v>563</v>
      </c>
    </row>
    <row r="50" spans="1:8" x14ac:dyDescent="0.25">
      <c r="A50" s="2">
        <f>A49+1</f>
        <v>17</v>
      </c>
      <c r="B50" s="1"/>
      <c r="C50" s="169"/>
      <c r="E50" s="93"/>
      <c r="F50" s="93"/>
      <c r="G50" s="93"/>
      <c r="H50" s="12"/>
    </row>
    <row r="51" spans="1:8" x14ac:dyDescent="0.25">
      <c r="A51" s="2">
        <f>A50+1</f>
        <v>18</v>
      </c>
      <c r="B51" s="1"/>
      <c r="D51" s="464" t="s">
        <v>1888</v>
      </c>
      <c r="E51" s="986">
        <v>0</v>
      </c>
      <c r="F51" s="93"/>
      <c r="G51" s="93"/>
      <c r="H51" s="470" t="s">
        <v>1889</v>
      </c>
    </row>
    <row r="52" spans="1:8" x14ac:dyDescent="0.25">
      <c r="B52" s="1"/>
    </row>
    <row r="53" spans="1:8" x14ac:dyDescent="0.25">
      <c r="B53" s="1"/>
      <c r="C53" s="1" t="s">
        <v>1692</v>
      </c>
    </row>
    <row r="54" spans="1:8" x14ac:dyDescent="0.25">
      <c r="B54" s="1"/>
      <c r="C54" s="1"/>
    </row>
    <row r="55" spans="1:8" x14ac:dyDescent="0.25">
      <c r="B55" s="1"/>
      <c r="C55" s="1"/>
      <c r="E55" s="3" t="s">
        <v>394</v>
      </c>
      <c r="F55" s="3" t="s">
        <v>378</v>
      </c>
      <c r="G55" s="3" t="s">
        <v>379</v>
      </c>
    </row>
    <row r="56" spans="1:8" x14ac:dyDescent="0.25">
      <c r="B56" s="1"/>
      <c r="E56" s="475" t="s">
        <v>1665</v>
      </c>
      <c r="G56" s="2" t="s">
        <v>10</v>
      </c>
    </row>
    <row r="57" spans="1:8" x14ac:dyDescent="0.25">
      <c r="B57" s="1"/>
      <c r="E57" s="2" t="s">
        <v>73</v>
      </c>
      <c r="F57" s="2" t="s">
        <v>10</v>
      </c>
      <c r="G57" s="2" t="s">
        <v>329</v>
      </c>
    </row>
    <row r="58" spans="1:8" x14ac:dyDescent="0.25">
      <c r="B58" s="1"/>
      <c r="C58" s="2" t="s">
        <v>8</v>
      </c>
      <c r="E58" s="2" t="s">
        <v>8</v>
      </c>
      <c r="F58" s="2" t="s">
        <v>1</v>
      </c>
      <c r="G58" s="2" t="s">
        <v>3</v>
      </c>
    </row>
    <row r="59" spans="1:8" ht="12.75" customHeight="1" x14ac:dyDescent="0.25">
      <c r="B59" s="1"/>
      <c r="C59" s="3" t="s">
        <v>250</v>
      </c>
      <c r="E59" s="3" t="s">
        <v>192</v>
      </c>
      <c r="F59" s="3" t="s">
        <v>275</v>
      </c>
      <c r="G59" s="3" t="s">
        <v>275</v>
      </c>
      <c r="H59" s="3" t="s">
        <v>256</v>
      </c>
    </row>
    <row r="60" spans="1:8" x14ac:dyDescent="0.25">
      <c r="A60" s="2">
        <f>A51+1</f>
        <v>19</v>
      </c>
      <c r="B60" s="1"/>
      <c r="C60" t="s">
        <v>251</v>
      </c>
      <c r="E60" s="986">
        <v>0</v>
      </c>
      <c r="F60" s="986">
        <v>0</v>
      </c>
      <c r="G60" s="986">
        <v>0</v>
      </c>
      <c r="H60" s="12" t="str">
        <f>"Line "&amp;A85&amp;", C4"</f>
        <v>Line 38, C4</v>
      </c>
    </row>
    <row r="61" spans="1:8" x14ac:dyDescent="0.25">
      <c r="A61" s="2">
        <f>A60+1</f>
        <v>20</v>
      </c>
      <c r="B61" s="1"/>
      <c r="C61" t="s">
        <v>252</v>
      </c>
      <c r="E61" s="986">
        <v>0</v>
      </c>
      <c r="F61" s="986">
        <v>0</v>
      </c>
      <c r="G61" s="986">
        <v>0</v>
      </c>
      <c r="H61" s="12" t="str">
        <f>"Line "&amp;A26&amp;", C2, and Line "&amp;A85&amp;", C2"</f>
        <v>Line 1, C2, and Line 38, C2</v>
      </c>
    </row>
    <row r="62" spans="1:8" x14ac:dyDescent="0.25">
      <c r="A62" s="2">
        <f>A61+1</f>
        <v>21</v>
      </c>
      <c r="B62" s="1"/>
      <c r="C62" s="11" t="s">
        <v>600</v>
      </c>
      <c r="E62" s="986">
        <v>0</v>
      </c>
      <c r="F62" s="986">
        <v>0</v>
      </c>
      <c r="G62" s="986">
        <v>0</v>
      </c>
      <c r="H62" s="12" t="str">
        <f>"Line "&amp;A27&amp;", C2, and Line "&amp;A85&amp;", C3"</f>
        <v>Line 2, C2, and Line 38, C3</v>
      </c>
    </row>
    <row r="63" spans="1:8" x14ac:dyDescent="0.25">
      <c r="A63" s="2">
        <f>A62+1</f>
        <v>22</v>
      </c>
      <c r="B63" s="1"/>
      <c r="C63" s="538" t="s">
        <v>563</v>
      </c>
      <c r="E63" s="93"/>
      <c r="F63" s="93"/>
      <c r="G63" s="93"/>
      <c r="H63" s="538" t="s">
        <v>563</v>
      </c>
    </row>
    <row r="64" spans="1:8" x14ac:dyDescent="0.25">
      <c r="A64" s="2">
        <f>A63+1</f>
        <v>23</v>
      </c>
      <c r="B64" s="1"/>
      <c r="C64" s="169"/>
      <c r="E64" s="93"/>
      <c r="F64" s="93"/>
      <c r="G64" s="93"/>
      <c r="H64" s="12"/>
    </row>
    <row r="65" spans="1:11" x14ac:dyDescent="0.25">
      <c r="A65" s="2">
        <f>A64+1</f>
        <v>24</v>
      </c>
      <c r="B65" s="1"/>
      <c r="D65" s="464" t="s">
        <v>1888</v>
      </c>
      <c r="E65" s="986">
        <v>0</v>
      </c>
      <c r="H65" s="561" t="s">
        <v>1890</v>
      </c>
    </row>
    <row r="66" spans="1:11" x14ac:dyDescent="0.25">
      <c r="A66" s="520"/>
      <c r="B66" s="1"/>
      <c r="D66" s="91"/>
      <c r="E66" s="6"/>
    </row>
    <row r="67" spans="1:11" x14ac:dyDescent="0.25">
      <c r="C67" s="1" t="s">
        <v>1100</v>
      </c>
    </row>
    <row r="68" spans="1:11" x14ac:dyDescent="0.25">
      <c r="E68" s="84" t="s">
        <v>394</v>
      </c>
      <c r="F68" s="84" t="s">
        <v>378</v>
      </c>
      <c r="G68" s="84" t="s">
        <v>379</v>
      </c>
      <c r="H68" s="84" t="s">
        <v>380</v>
      </c>
      <c r="I68" s="84" t="s">
        <v>381</v>
      </c>
      <c r="J68" s="84"/>
    </row>
    <row r="69" spans="1:11" x14ac:dyDescent="0.25">
      <c r="C69" s="2" t="s">
        <v>589</v>
      </c>
      <c r="E69" s="2" t="s">
        <v>592</v>
      </c>
      <c r="F69" s="883" t="str">
        <f>"L "&amp;A117&amp;" to L "&amp;A129&amp;", C3"</f>
        <v>L 53 to L 65, C3</v>
      </c>
      <c r="G69" s="883" t="str">
        <f>"L "&amp;A157&amp;" to L "&amp;A169&amp;", C3"</f>
        <v>L 79 to L 91, C3</v>
      </c>
      <c r="H69" s="883" t="str">
        <f>"L "&amp;A137&amp;" to L "&amp;A149&amp;", C3"</f>
        <v>L 66 to L 78, C3</v>
      </c>
      <c r="I69" s="94"/>
      <c r="K69" s="2"/>
    </row>
    <row r="70" spans="1:11" x14ac:dyDescent="0.25">
      <c r="C70" s="2" t="s">
        <v>212</v>
      </c>
      <c r="E70" s="2" t="s">
        <v>593</v>
      </c>
      <c r="G70" s="2" t="s">
        <v>374</v>
      </c>
      <c r="H70" s="2" t="s">
        <v>590</v>
      </c>
      <c r="I70" s="170"/>
      <c r="J70" s="339"/>
      <c r="K70" s="2"/>
    </row>
    <row r="71" spans="1:11" x14ac:dyDescent="0.25">
      <c r="A71" s="49"/>
      <c r="C71" s="24" t="s">
        <v>211</v>
      </c>
      <c r="D71" s="24" t="s">
        <v>212</v>
      </c>
      <c r="E71" s="3" t="s">
        <v>3</v>
      </c>
      <c r="F71" s="3" t="s">
        <v>249</v>
      </c>
      <c r="G71" s="3" t="s">
        <v>375</v>
      </c>
      <c r="H71" s="3" t="s">
        <v>591</v>
      </c>
      <c r="I71" s="171"/>
      <c r="J71" s="3" t="s">
        <v>187</v>
      </c>
    </row>
    <row r="72" spans="1:11" x14ac:dyDescent="0.25">
      <c r="A72" s="2">
        <f>A65+1</f>
        <v>25</v>
      </c>
      <c r="C72" s="19" t="s">
        <v>199</v>
      </c>
      <c r="D72" s="979" t="s">
        <v>1562</v>
      </c>
      <c r="E72" s="986">
        <v>0</v>
      </c>
      <c r="F72" s="986">
        <v>0</v>
      </c>
      <c r="G72" s="986">
        <v>0</v>
      </c>
      <c r="H72" s="986">
        <v>0</v>
      </c>
      <c r="I72" s="339" t="s">
        <v>86</v>
      </c>
      <c r="J72" s="48" t="s">
        <v>1104</v>
      </c>
    </row>
    <row r="73" spans="1:11" x14ac:dyDescent="0.25">
      <c r="A73" s="2">
        <f>A72+1</f>
        <v>26</v>
      </c>
      <c r="C73" s="19" t="s">
        <v>200</v>
      </c>
      <c r="D73" s="979" t="s">
        <v>1562</v>
      </c>
      <c r="E73" s="986">
        <v>0</v>
      </c>
      <c r="F73" s="986">
        <v>0</v>
      </c>
      <c r="G73" s="986">
        <v>0</v>
      </c>
      <c r="H73" s="986">
        <v>0</v>
      </c>
      <c r="I73" s="339" t="s">
        <v>86</v>
      </c>
      <c r="J73" s="12" t="s">
        <v>1103</v>
      </c>
    </row>
    <row r="74" spans="1:11" x14ac:dyDescent="0.25">
      <c r="A74" s="2">
        <f t="shared" ref="A74:A85" si="1">A73+1</f>
        <v>27</v>
      </c>
      <c r="C74" s="20" t="s">
        <v>201</v>
      </c>
      <c r="D74" s="979" t="s">
        <v>1562</v>
      </c>
      <c r="E74" s="986">
        <v>0</v>
      </c>
      <c r="F74" s="986">
        <v>0</v>
      </c>
      <c r="G74" s="986">
        <v>0</v>
      </c>
      <c r="H74" s="986">
        <v>0</v>
      </c>
      <c r="I74" s="339" t="s">
        <v>86</v>
      </c>
      <c r="J74" s="339" t="s">
        <v>1102</v>
      </c>
      <c r="K74" s="2"/>
    </row>
    <row r="75" spans="1:11" x14ac:dyDescent="0.25">
      <c r="A75" s="2">
        <f t="shared" si="1"/>
        <v>28</v>
      </c>
      <c r="C75" s="20" t="s">
        <v>214</v>
      </c>
      <c r="D75" s="979" t="s">
        <v>1562</v>
      </c>
      <c r="E75" s="986">
        <v>0</v>
      </c>
      <c r="F75" s="986">
        <v>0</v>
      </c>
      <c r="G75" s="986">
        <v>0</v>
      </c>
      <c r="H75" s="986">
        <v>0</v>
      </c>
      <c r="I75" s="339" t="s">
        <v>86</v>
      </c>
      <c r="J75" s="339"/>
      <c r="K75" s="2"/>
    </row>
    <row r="76" spans="1:11" x14ac:dyDescent="0.25">
      <c r="A76" s="2">
        <f t="shared" si="1"/>
        <v>29</v>
      </c>
      <c r="C76" s="19" t="s">
        <v>202</v>
      </c>
      <c r="D76" s="979" t="s">
        <v>1562</v>
      </c>
      <c r="E76" s="986">
        <v>0</v>
      </c>
      <c r="F76" s="986">
        <v>0</v>
      </c>
      <c r="G76" s="986">
        <v>0</v>
      </c>
      <c r="H76" s="986">
        <v>0</v>
      </c>
      <c r="I76" s="339" t="s">
        <v>86</v>
      </c>
      <c r="J76" s="339"/>
      <c r="K76" s="2"/>
    </row>
    <row r="77" spans="1:11" x14ac:dyDescent="0.25">
      <c r="A77" s="2">
        <f t="shared" si="1"/>
        <v>30</v>
      </c>
      <c r="C77" s="20" t="s">
        <v>203</v>
      </c>
      <c r="D77" s="979" t="s">
        <v>1562</v>
      </c>
      <c r="E77" s="986">
        <v>0</v>
      </c>
      <c r="F77" s="986">
        <v>0</v>
      </c>
      <c r="G77" s="986">
        <v>0</v>
      </c>
      <c r="H77" s="986">
        <v>0</v>
      </c>
      <c r="I77" s="339" t="s">
        <v>86</v>
      </c>
      <c r="J77" s="339"/>
      <c r="K77" s="2"/>
    </row>
    <row r="78" spans="1:11" x14ac:dyDescent="0.25">
      <c r="A78" s="2">
        <f t="shared" si="1"/>
        <v>31</v>
      </c>
      <c r="C78" s="20" t="s">
        <v>204</v>
      </c>
      <c r="D78" s="979" t="s">
        <v>1562</v>
      </c>
      <c r="E78" s="986">
        <v>0</v>
      </c>
      <c r="F78" s="986">
        <v>0</v>
      </c>
      <c r="G78" s="986">
        <v>0</v>
      </c>
      <c r="H78" s="986">
        <v>0</v>
      </c>
      <c r="I78" s="339" t="s">
        <v>86</v>
      </c>
      <c r="J78" s="339"/>
      <c r="K78" s="2"/>
    </row>
    <row r="79" spans="1:11" x14ac:dyDescent="0.25">
      <c r="A79" s="2">
        <f t="shared" si="1"/>
        <v>32</v>
      </c>
      <c r="C79" s="19" t="s">
        <v>205</v>
      </c>
      <c r="D79" s="979" t="s">
        <v>1562</v>
      </c>
      <c r="E79" s="986">
        <v>0</v>
      </c>
      <c r="F79" s="986">
        <v>0</v>
      </c>
      <c r="G79" s="986">
        <v>0</v>
      </c>
      <c r="H79" s="986">
        <v>0</v>
      </c>
      <c r="I79" s="339" t="s">
        <v>86</v>
      </c>
      <c r="J79" s="339"/>
      <c r="K79" s="83"/>
    </row>
    <row r="80" spans="1:11" x14ac:dyDescent="0.25">
      <c r="A80" s="2">
        <f t="shared" si="1"/>
        <v>33</v>
      </c>
      <c r="C80" s="20" t="s">
        <v>206</v>
      </c>
      <c r="D80" s="979" t="s">
        <v>1562</v>
      </c>
      <c r="E80" s="986">
        <v>0</v>
      </c>
      <c r="F80" s="986">
        <v>0</v>
      </c>
      <c r="G80" s="986">
        <v>0</v>
      </c>
      <c r="H80" s="986">
        <v>0</v>
      </c>
      <c r="I80" s="339" t="s">
        <v>86</v>
      </c>
      <c r="J80" s="339"/>
      <c r="K80" s="2"/>
    </row>
    <row r="81" spans="1:11" x14ac:dyDescent="0.25">
      <c r="A81" s="2">
        <f t="shared" si="1"/>
        <v>34</v>
      </c>
      <c r="C81" s="20" t="s">
        <v>207</v>
      </c>
      <c r="D81" s="979" t="s">
        <v>1562</v>
      </c>
      <c r="E81" s="986">
        <v>0</v>
      </c>
      <c r="F81" s="986">
        <v>0</v>
      </c>
      <c r="G81" s="986">
        <v>0</v>
      </c>
      <c r="H81" s="986">
        <v>0</v>
      </c>
      <c r="I81" s="339" t="s">
        <v>86</v>
      </c>
      <c r="J81" s="339"/>
      <c r="K81" s="2"/>
    </row>
    <row r="82" spans="1:11" x14ac:dyDescent="0.25">
      <c r="A82" s="2">
        <f t="shared" si="1"/>
        <v>35</v>
      </c>
      <c r="C82" s="19" t="s">
        <v>208</v>
      </c>
      <c r="D82" s="979" t="s">
        <v>1562</v>
      </c>
      <c r="E82" s="986">
        <v>0</v>
      </c>
      <c r="F82" s="986">
        <v>0</v>
      </c>
      <c r="G82" s="986">
        <v>0</v>
      </c>
      <c r="H82" s="986">
        <v>0</v>
      </c>
      <c r="I82" s="339" t="s">
        <v>86</v>
      </c>
      <c r="J82" s="339"/>
      <c r="K82" s="2"/>
    </row>
    <row r="83" spans="1:11" x14ac:dyDescent="0.25">
      <c r="A83" s="2">
        <f t="shared" si="1"/>
        <v>36</v>
      </c>
      <c r="C83" s="19" t="s">
        <v>209</v>
      </c>
      <c r="D83" s="979" t="s">
        <v>1562</v>
      </c>
      <c r="E83" s="986">
        <v>0</v>
      </c>
      <c r="F83" s="986">
        <v>0</v>
      </c>
      <c r="G83" s="986">
        <v>0</v>
      </c>
      <c r="H83" s="986">
        <v>0</v>
      </c>
      <c r="I83" s="339" t="s">
        <v>86</v>
      </c>
      <c r="J83" s="339"/>
      <c r="K83" s="2"/>
    </row>
    <row r="84" spans="1:11" ht="15" x14ac:dyDescent="0.4">
      <c r="A84" s="2">
        <f t="shared" si="1"/>
        <v>37</v>
      </c>
      <c r="C84" s="19" t="s">
        <v>199</v>
      </c>
      <c r="D84" s="979" t="s">
        <v>1562</v>
      </c>
      <c r="E84" s="987">
        <v>0</v>
      </c>
      <c r="F84" s="987">
        <v>0</v>
      </c>
      <c r="G84" s="987">
        <v>0</v>
      </c>
      <c r="H84" s="987">
        <v>0</v>
      </c>
      <c r="I84" s="339" t="s">
        <v>86</v>
      </c>
      <c r="J84" s="339"/>
      <c r="K84" s="2"/>
    </row>
    <row r="85" spans="1:11" x14ac:dyDescent="0.25">
      <c r="A85" s="2">
        <f t="shared" si="1"/>
        <v>38</v>
      </c>
      <c r="C85" s="19"/>
      <c r="D85" s="173" t="s">
        <v>597</v>
      </c>
      <c r="E85" s="986">
        <v>0</v>
      </c>
      <c r="F85" s="986">
        <v>0</v>
      </c>
      <c r="G85" s="986">
        <v>0</v>
      </c>
      <c r="H85" s="986">
        <v>0</v>
      </c>
      <c r="I85" s="1"/>
      <c r="J85" s="1"/>
      <c r="K85" s="2"/>
    </row>
    <row r="87" spans="1:11" x14ac:dyDescent="0.25">
      <c r="A87" s="520"/>
      <c r="C87" s="521" t="s">
        <v>1752</v>
      </c>
      <c r="D87" s="522"/>
      <c r="E87" s="523"/>
      <c r="F87" s="523"/>
      <c r="G87" s="523"/>
      <c r="H87" s="523"/>
      <c r="I87" s="1"/>
      <c r="J87" s="1"/>
    </row>
    <row r="88" spans="1:11" x14ac:dyDescent="0.25">
      <c r="A88" s="520"/>
      <c r="C88" s="521"/>
      <c r="D88" s="522"/>
      <c r="E88" s="84" t="s">
        <v>394</v>
      </c>
      <c r="F88" s="84" t="s">
        <v>378</v>
      </c>
      <c r="G88" s="84" t="s">
        <v>379</v>
      </c>
      <c r="H88" s="523"/>
      <c r="I88" s="1"/>
      <c r="J88" s="1"/>
    </row>
    <row r="89" spans="1:11" x14ac:dyDescent="0.25">
      <c r="A89" s="520"/>
      <c r="C89" s="499"/>
      <c r="D89" s="522"/>
      <c r="G89" s="475" t="s">
        <v>1885</v>
      </c>
      <c r="H89" s="523"/>
      <c r="I89" s="1"/>
      <c r="J89" s="1"/>
    </row>
    <row r="90" spans="1:11" x14ac:dyDescent="0.25">
      <c r="A90" s="520"/>
      <c r="C90" s="499"/>
      <c r="D90" s="522"/>
      <c r="E90" s="336" t="s">
        <v>482</v>
      </c>
      <c r="F90" s="523"/>
      <c r="G90" s="524" t="s">
        <v>1753</v>
      </c>
      <c r="H90" s="523"/>
      <c r="I90" s="1"/>
      <c r="J90" s="1"/>
    </row>
    <row r="91" spans="1:11" x14ac:dyDescent="0.25">
      <c r="A91" s="520"/>
      <c r="C91" s="520" t="s">
        <v>589</v>
      </c>
      <c r="E91" s="336" t="s">
        <v>1754</v>
      </c>
      <c r="F91" s="336" t="s">
        <v>110</v>
      </c>
      <c r="G91" s="336" t="s">
        <v>1754</v>
      </c>
      <c r="H91" s="523"/>
      <c r="I91" s="1"/>
      <c r="J91" s="1"/>
    </row>
    <row r="92" spans="1:11" x14ac:dyDescent="0.25">
      <c r="A92" s="520"/>
      <c r="C92" s="520" t="s">
        <v>212</v>
      </c>
      <c r="E92" s="336" t="s">
        <v>8</v>
      </c>
      <c r="F92" s="4" t="s">
        <v>1755</v>
      </c>
      <c r="G92" s="336" t="s">
        <v>8</v>
      </c>
      <c r="H92" s="523"/>
      <c r="I92" s="1"/>
      <c r="J92" s="1"/>
    </row>
    <row r="93" spans="1:11" x14ac:dyDescent="0.25">
      <c r="A93" s="520"/>
      <c r="C93" s="24" t="s">
        <v>211</v>
      </c>
      <c r="D93" s="24" t="s">
        <v>212</v>
      </c>
      <c r="E93" s="337" t="s">
        <v>1756</v>
      </c>
      <c r="F93" s="3" t="s">
        <v>1757</v>
      </c>
      <c r="G93" s="337" t="s">
        <v>1756</v>
      </c>
      <c r="H93" s="337" t="s">
        <v>1758</v>
      </c>
      <c r="I93" s="1"/>
      <c r="J93" s="1"/>
    </row>
    <row r="94" spans="1:11" ht="12.75" customHeight="1" x14ac:dyDescent="0.25">
      <c r="A94" s="520">
        <f>A85+1</f>
        <v>39</v>
      </c>
      <c r="C94" s="499" t="s">
        <v>199</v>
      </c>
      <c r="D94" s="979" t="s">
        <v>1562</v>
      </c>
      <c r="E94" s="986">
        <v>0</v>
      </c>
      <c r="F94" s="966">
        <v>0</v>
      </c>
      <c r="G94" s="986">
        <v>0</v>
      </c>
      <c r="H94" s="528" t="s">
        <v>1772</v>
      </c>
      <c r="I94" s="1"/>
      <c r="J94" s="6"/>
    </row>
    <row r="95" spans="1:11" x14ac:dyDescent="0.25">
      <c r="A95" s="520">
        <f>A94+1</f>
        <v>40</v>
      </c>
      <c r="C95" s="499" t="s">
        <v>200</v>
      </c>
      <c r="D95" s="979" t="s">
        <v>1562</v>
      </c>
      <c r="E95" s="986">
        <v>0</v>
      </c>
      <c r="F95" s="966">
        <v>0</v>
      </c>
      <c r="G95" s="986">
        <v>0</v>
      </c>
      <c r="H95" s="528" t="s">
        <v>1771</v>
      </c>
      <c r="I95" s="74"/>
      <c r="J95" s="6"/>
    </row>
    <row r="96" spans="1:11" x14ac:dyDescent="0.25">
      <c r="A96" s="520">
        <f t="shared" ref="A96:A107" si="2">A95+1</f>
        <v>41</v>
      </c>
      <c r="C96" s="497" t="s">
        <v>201</v>
      </c>
      <c r="D96" s="979" t="s">
        <v>1562</v>
      </c>
      <c r="E96" s="986">
        <v>0</v>
      </c>
      <c r="F96" s="966">
        <v>0</v>
      </c>
      <c r="G96" s="986">
        <v>0</v>
      </c>
      <c r="H96" s="528"/>
      <c r="I96" s="74"/>
      <c r="J96" s="6"/>
    </row>
    <row r="97" spans="1:10" x14ac:dyDescent="0.25">
      <c r="A97" s="520">
        <f t="shared" si="2"/>
        <v>42</v>
      </c>
      <c r="C97" s="497" t="s">
        <v>214</v>
      </c>
      <c r="D97" s="979" t="s">
        <v>1562</v>
      </c>
      <c r="E97" s="986">
        <v>0</v>
      </c>
      <c r="F97" s="966">
        <v>0</v>
      </c>
      <c r="G97" s="986">
        <v>0</v>
      </c>
      <c r="H97" s="523"/>
      <c r="I97" s="74"/>
      <c r="J97" s="6"/>
    </row>
    <row r="98" spans="1:10" x14ac:dyDescent="0.25">
      <c r="A98" s="520">
        <f t="shared" si="2"/>
        <v>43</v>
      </c>
      <c r="C98" s="499" t="s">
        <v>202</v>
      </c>
      <c r="D98" s="979" t="s">
        <v>1562</v>
      </c>
      <c r="E98" s="986">
        <v>0</v>
      </c>
      <c r="F98" s="966">
        <v>0</v>
      </c>
      <c r="G98" s="986">
        <v>0</v>
      </c>
      <c r="H98" s="523"/>
      <c r="I98" s="74"/>
      <c r="J98" s="6"/>
    </row>
    <row r="99" spans="1:10" x14ac:dyDescent="0.25">
      <c r="A99" s="520">
        <f t="shared" si="2"/>
        <v>44</v>
      </c>
      <c r="C99" s="497" t="s">
        <v>203</v>
      </c>
      <c r="D99" s="979" t="s">
        <v>1562</v>
      </c>
      <c r="E99" s="986">
        <v>0</v>
      </c>
      <c r="F99" s="966">
        <v>0</v>
      </c>
      <c r="G99" s="986">
        <v>0</v>
      </c>
      <c r="H99" s="523"/>
      <c r="I99" s="74"/>
      <c r="J99" s="6"/>
    </row>
    <row r="100" spans="1:10" x14ac:dyDescent="0.25">
      <c r="A100" s="520">
        <f t="shared" si="2"/>
        <v>45</v>
      </c>
      <c r="C100" s="497" t="s">
        <v>204</v>
      </c>
      <c r="D100" s="979" t="s">
        <v>1562</v>
      </c>
      <c r="E100" s="986">
        <v>0</v>
      </c>
      <c r="F100" s="966">
        <v>0</v>
      </c>
      <c r="G100" s="986">
        <v>0</v>
      </c>
      <c r="H100" s="523"/>
      <c r="I100" s="74"/>
      <c r="J100" s="6"/>
    </row>
    <row r="101" spans="1:10" x14ac:dyDescent="0.25">
      <c r="A101" s="520">
        <f t="shared" si="2"/>
        <v>46</v>
      </c>
      <c r="C101" s="499" t="s">
        <v>205</v>
      </c>
      <c r="D101" s="979" t="s">
        <v>1562</v>
      </c>
      <c r="E101" s="986">
        <v>0</v>
      </c>
      <c r="F101" s="966">
        <v>0</v>
      </c>
      <c r="G101" s="986">
        <v>0</v>
      </c>
      <c r="H101" s="523"/>
      <c r="I101" s="74"/>
      <c r="J101" s="6"/>
    </row>
    <row r="102" spans="1:10" x14ac:dyDescent="0.25">
      <c r="A102" s="520">
        <f t="shared" si="2"/>
        <v>47</v>
      </c>
      <c r="C102" s="497" t="s">
        <v>206</v>
      </c>
      <c r="D102" s="979" t="s">
        <v>1562</v>
      </c>
      <c r="E102" s="986">
        <v>0</v>
      </c>
      <c r="F102" s="966">
        <v>0</v>
      </c>
      <c r="G102" s="986">
        <v>0</v>
      </c>
      <c r="H102" s="523"/>
      <c r="I102" s="74"/>
      <c r="J102" s="6"/>
    </row>
    <row r="103" spans="1:10" x14ac:dyDescent="0.25">
      <c r="A103" s="520">
        <f t="shared" si="2"/>
        <v>48</v>
      </c>
      <c r="C103" s="497" t="s">
        <v>207</v>
      </c>
      <c r="D103" s="979" t="s">
        <v>1562</v>
      </c>
      <c r="E103" s="986">
        <v>0</v>
      </c>
      <c r="F103" s="966">
        <v>0</v>
      </c>
      <c r="G103" s="986">
        <v>0</v>
      </c>
      <c r="H103" s="523"/>
      <c r="I103" s="74"/>
      <c r="J103" s="6"/>
    </row>
    <row r="104" spans="1:10" x14ac:dyDescent="0.25">
      <c r="A104" s="520">
        <f t="shared" si="2"/>
        <v>49</v>
      </c>
      <c r="C104" s="499" t="s">
        <v>208</v>
      </c>
      <c r="D104" s="979" t="s">
        <v>1562</v>
      </c>
      <c r="E104" s="986">
        <v>0</v>
      </c>
      <c r="F104" s="966">
        <v>0</v>
      </c>
      <c r="G104" s="986">
        <v>0</v>
      </c>
      <c r="H104" s="523"/>
      <c r="I104" s="74"/>
      <c r="J104" s="6"/>
    </row>
    <row r="105" spans="1:10" x14ac:dyDescent="0.25">
      <c r="A105" s="520">
        <f t="shared" si="2"/>
        <v>50</v>
      </c>
      <c r="C105" s="499" t="s">
        <v>209</v>
      </c>
      <c r="D105" s="979" t="s">
        <v>1562</v>
      </c>
      <c r="E105" s="986">
        <v>0</v>
      </c>
      <c r="F105" s="966">
        <v>0</v>
      </c>
      <c r="G105" s="986">
        <v>0</v>
      </c>
      <c r="H105" s="523"/>
      <c r="I105" s="74"/>
      <c r="J105" s="6"/>
    </row>
    <row r="106" spans="1:10" ht="15" x14ac:dyDescent="0.4">
      <c r="A106" s="520">
        <f t="shared" si="2"/>
        <v>51</v>
      </c>
      <c r="C106" s="499" t="s">
        <v>199</v>
      </c>
      <c r="D106" s="979" t="s">
        <v>1562</v>
      </c>
      <c r="E106" s="987">
        <v>0</v>
      </c>
      <c r="F106" s="967">
        <v>0</v>
      </c>
      <c r="G106" s="987">
        <v>0</v>
      </c>
      <c r="H106" s="523"/>
      <c r="I106" s="74"/>
      <c r="J106" s="6"/>
    </row>
    <row r="107" spans="1:10" x14ac:dyDescent="0.25">
      <c r="A107" s="520">
        <f t="shared" si="2"/>
        <v>52</v>
      </c>
      <c r="C107" s="499" t="s">
        <v>215</v>
      </c>
      <c r="D107" s="510"/>
      <c r="E107" s="986">
        <v>0</v>
      </c>
      <c r="F107" s="986">
        <v>0</v>
      </c>
      <c r="G107" s="986">
        <v>0</v>
      </c>
      <c r="H107" s="523"/>
      <c r="I107" s="74"/>
      <c r="J107" s="1"/>
    </row>
    <row r="108" spans="1:10" x14ac:dyDescent="0.25">
      <c r="A108" s="520"/>
      <c r="C108" s="499"/>
      <c r="D108" s="510"/>
      <c r="E108" s="61"/>
      <c r="F108" s="523"/>
      <c r="G108" s="523"/>
      <c r="H108" s="523"/>
      <c r="I108" s="74"/>
      <c r="J108" s="1"/>
    </row>
    <row r="110" spans="1:10" x14ac:dyDescent="0.25">
      <c r="C110" s="172" t="s">
        <v>1759</v>
      </c>
    </row>
    <row r="112" spans="1:10" x14ac:dyDescent="0.25">
      <c r="C112" s="1" t="s">
        <v>1760</v>
      </c>
      <c r="E112" s="84" t="s">
        <v>394</v>
      </c>
      <c r="F112" s="84" t="s">
        <v>378</v>
      </c>
      <c r="G112" s="84" t="s">
        <v>379</v>
      </c>
      <c r="H112" s="84" t="s">
        <v>380</v>
      </c>
    </row>
    <row r="113" spans="1:9" x14ac:dyDescent="0.25">
      <c r="G113" s="475" t="s">
        <v>1885</v>
      </c>
      <c r="H113" s="475" t="s">
        <v>1886</v>
      </c>
    </row>
    <row r="114" spans="1:9" x14ac:dyDescent="0.25">
      <c r="C114" s="520" t="s">
        <v>589</v>
      </c>
      <c r="H114" s="467" t="s">
        <v>1887</v>
      </c>
    </row>
    <row r="115" spans="1:9" x14ac:dyDescent="0.25">
      <c r="C115" s="520" t="s">
        <v>212</v>
      </c>
      <c r="E115" s="520" t="s">
        <v>414</v>
      </c>
      <c r="F115" s="520" t="s">
        <v>1761</v>
      </c>
      <c r="G115" s="520" t="s">
        <v>1090</v>
      </c>
      <c r="H115" s="520" t="s">
        <v>1254</v>
      </c>
    </row>
    <row r="116" spans="1:9" x14ac:dyDescent="0.25">
      <c r="C116" s="24" t="s">
        <v>211</v>
      </c>
      <c r="D116" s="24" t="s">
        <v>212</v>
      </c>
      <c r="E116" s="3" t="s">
        <v>1762</v>
      </c>
      <c r="F116" s="3" t="s">
        <v>1203</v>
      </c>
      <c r="G116" s="3" t="s">
        <v>3</v>
      </c>
      <c r="H116" s="3" t="s">
        <v>1757</v>
      </c>
    </row>
    <row r="117" spans="1:9" x14ac:dyDescent="0.25">
      <c r="A117" s="520">
        <f>A107+1</f>
        <v>53</v>
      </c>
      <c r="C117" s="499" t="s">
        <v>199</v>
      </c>
      <c r="D117" s="979" t="s">
        <v>1562</v>
      </c>
      <c r="E117" s="966">
        <v>0</v>
      </c>
      <c r="F117" s="966">
        <v>0</v>
      </c>
      <c r="G117" s="986">
        <v>0</v>
      </c>
      <c r="H117" s="986">
        <v>0</v>
      </c>
      <c r="I117" s="578"/>
    </row>
    <row r="118" spans="1:9" x14ac:dyDescent="0.25">
      <c r="A118" s="520">
        <f>A117+1</f>
        <v>54</v>
      </c>
      <c r="C118" s="499" t="s">
        <v>200</v>
      </c>
      <c r="D118" s="979" t="s">
        <v>1562</v>
      </c>
      <c r="E118" s="966">
        <v>0</v>
      </c>
      <c r="F118" s="966">
        <v>0</v>
      </c>
      <c r="G118" s="986">
        <v>0</v>
      </c>
      <c r="H118" s="986">
        <v>0</v>
      </c>
    </row>
    <row r="119" spans="1:9" x14ac:dyDescent="0.25">
      <c r="A119" s="520">
        <f t="shared" ref="A119:A129" si="3">A118+1</f>
        <v>55</v>
      </c>
      <c r="C119" s="497" t="s">
        <v>201</v>
      </c>
      <c r="D119" s="979" t="s">
        <v>1562</v>
      </c>
      <c r="E119" s="966">
        <v>0</v>
      </c>
      <c r="F119" s="966">
        <v>0</v>
      </c>
      <c r="G119" s="986">
        <v>0</v>
      </c>
      <c r="H119" s="986">
        <v>0</v>
      </c>
    </row>
    <row r="120" spans="1:9" x14ac:dyDescent="0.25">
      <c r="A120" s="520">
        <f t="shared" si="3"/>
        <v>56</v>
      </c>
      <c r="C120" s="497" t="s">
        <v>214</v>
      </c>
      <c r="D120" s="979" t="s">
        <v>1562</v>
      </c>
      <c r="E120" s="966">
        <v>0</v>
      </c>
      <c r="F120" s="966">
        <v>0</v>
      </c>
      <c r="G120" s="986">
        <v>0</v>
      </c>
      <c r="H120" s="986">
        <v>0</v>
      </c>
    </row>
    <row r="121" spans="1:9" x14ac:dyDescent="0.25">
      <c r="A121" s="520">
        <f t="shared" si="3"/>
        <v>57</v>
      </c>
      <c r="C121" s="499" t="s">
        <v>202</v>
      </c>
      <c r="D121" s="979" t="s">
        <v>1562</v>
      </c>
      <c r="E121" s="966">
        <v>0</v>
      </c>
      <c r="F121" s="966">
        <v>0</v>
      </c>
      <c r="G121" s="986">
        <v>0</v>
      </c>
      <c r="H121" s="986">
        <v>0</v>
      </c>
    </row>
    <row r="122" spans="1:9" x14ac:dyDescent="0.25">
      <c r="A122" s="520">
        <f t="shared" si="3"/>
        <v>58</v>
      </c>
      <c r="C122" s="497" t="s">
        <v>203</v>
      </c>
      <c r="D122" s="979" t="s">
        <v>1562</v>
      </c>
      <c r="E122" s="966">
        <v>0</v>
      </c>
      <c r="F122" s="966">
        <v>0</v>
      </c>
      <c r="G122" s="986">
        <v>0</v>
      </c>
      <c r="H122" s="986">
        <v>0</v>
      </c>
    </row>
    <row r="123" spans="1:9" x14ac:dyDescent="0.25">
      <c r="A123" s="520">
        <f t="shared" si="3"/>
        <v>59</v>
      </c>
      <c r="C123" s="497" t="s">
        <v>204</v>
      </c>
      <c r="D123" s="979" t="s">
        <v>1562</v>
      </c>
      <c r="E123" s="966">
        <v>0</v>
      </c>
      <c r="F123" s="966">
        <v>0</v>
      </c>
      <c r="G123" s="986">
        <v>0</v>
      </c>
      <c r="H123" s="986">
        <v>0</v>
      </c>
    </row>
    <row r="124" spans="1:9" x14ac:dyDescent="0.25">
      <c r="A124" s="520">
        <f t="shared" si="3"/>
        <v>60</v>
      </c>
      <c r="C124" s="499" t="s">
        <v>205</v>
      </c>
      <c r="D124" s="979" t="s">
        <v>1562</v>
      </c>
      <c r="E124" s="966">
        <v>0</v>
      </c>
      <c r="F124" s="966">
        <v>0</v>
      </c>
      <c r="G124" s="986">
        <v>0</v>
      </c>
      <c r="H124" s="986">
        <v>0</v>
      </c>
    </row>
    <row r="125" spans="1:9" x14ac:dyDescent="0.25">
      <c r="A125" s="520">
        <f t="shared" si="3"/>
        <v>61</v>
      </c>
      <c r="C125" s="497" t="s">
        <v>206</v>
      </c>
      <c r="D125" s="979" t="s">
        <v>1562</v>
      </c>
      <c r="E125" s="966">
        <v>0</v>
      </c>
      <c r="F125" s="966">
        <v>0</v>
      </c>
      <c r="G125" s="986">
        <v>0</v>
      </c>
      <c r="H125" s="986">
        <v>0</v>
      </c>
    </row>
    <row r="126" spans="1:9" x14ac:dyDescent="0.25">
      <c r="A126" s="520">
        <f t="shared" si="3"/>
        <v>62</v>
      </c>
      <c r="C126" s="497" t="s">
        <v>207</v>
      </c>
      <c r="D126" s="979" t="s">
        <v>1562</v>
      </c>
      <c r="E126" s="966">
        <v>0</v>
      </c>
      <c r="F126" s="966">
        <v>0</v>
      </c>
      <c r="G126" s="986">
        <v>0</v>
      </c>
      <c r="H126" s="986">
        <v>0</v>
      </c>
    </row>
    <row r="127" spans="1:9" x14ac:dyDescent="0.25">
      <c r="A127" s="520">
        <f t="shared" si="3"/>
        <v>63</v>
      </c>
      <c r="C127" s="499" t="s">
        <v>208</v>
      </c>
      <c r="D127" s="979" t="s">
        <v>1562</v>
      </c>
      <c r="E127" s="966">
        <v>0</v>
      </c>
      <c r="F127" s="966">
        <v>0</v>
      </c>
      <c r="G127" s="986">
        <v>0</v>
      </c>
      <c r="H127" s="986">
        <v>0</v>
      </c>
    </row>
    <row r="128" spans="1:9" x14ac:dyDescent="0.25">
      <c r="A128" s="520">
        <f t="shared" si="3"/>
        <v>64</v>
      </c>
      <c r="C128" s="499" t="s">
        <v>209</v>
      </c>
      <c r="D128" s="979" t="s">
        <v>1562</v>
      </c>
      <c r="E128" s="966">
        <v>0</v>
      </c>
      <c r="F128" s="966">
        <v>0</v>
      </c>
      <c r="G128" s="986">
        <v>0</v>
      </c>
      <c r="H128" s="986">
        <v>0</v>
      </c>
    </row>
    <row r="129" spans="1:8" x14ac:dyDescent="0.25">
      <c r="A129" s="520">
        <f t="shared" si="3"/>
        <v>65</v>
      </c>
      <c r="C129" s="499" t="s">
        <v>199</v>
      </c>
      <c r="D129" s="979" t="s">
        <v>1562</v>
      </c>
      <c r="E129" s="966">
        <v>0</v>
      </c>
      <c r="F129" s="966">
        <v>0</v>
      </c>
      <c r="G129" s="986">
        <v>0</v>
      </c>
      <c r="H129" s="986">
        <v>0</v>
      </c>
    </row>
    <row r="130" spans="1:8" x14ac:dyDescent="0.25">
      <c r="A130" s="520"/>
      <c r="C130" s="499"/>
      <c r="D130" s="510"/>
    </row>
    <row r="132" spans="1:8" x14ac:dyDescent="0.25">
      <c r="C132" s="172" t="s">
        <v>1763</v>
      </c>
      <c r="E132" s="84" t="s">
        <v>394</v>
      </c>
      <c r="F132" s="84" t="s">
        <v>378</v>
      </c>
      <c r="G132" s="84" t="s">
        <v>379</v>
      </c>
      <c r="H132" s="84" t="s">
        <v>380</v>
      </c>
    </row>
    <row r="133" spans="1:8" x14ac:dyDescent="0.25">
      <c r="G133" s="475" t="s">
        <v>1885</v>
      </c>
      <c r="H133" s="475" t="s">
        <v>1886</v>
      </c>
    </row>
    <row r="134" spans="1:8" x14ac:dyDescent="0.25">
      <c r="C134" s="520" t="s">
        <v>589</v>
      </c>
      <c r="H134" s="467" t="s">
        <v>1887</v>
      </c>
    </row>
    <row r="135" spans="1:8" x14ac:dyDescent="0.25">
      <c r="C135" s="520" t="s">
        <v>212</v>
      </c>
      <c r="E135" s="520" t="s">
        <v>414</v>
      </c>
      <c r="F135" s="520" t="s">
        <v>1761</v>
      </c>
      <c r="G135" s="520" t="s">
        <v>1090</v>
      </c>
      <c r="H135" s="520" t="s">
        <v>1254</v>
      </c>
    </row>
    <row r="136" spans="1:8" x14ac:dyDescent="0.25">
      <c r="C136" s="24" t="s">
        <v>211</v>
      </c>
      <c r="D136" s="24" t="s">
        <v>212</v>
      </c>
      <c r="E136" s="3" t="s">
        <v>1762</v>
      </c>
      <c r="F136" s="3" t="s">
        <v>1203</v>
      </c>
      <c r="G136" s="3" t="s">
        <v>3</v>
      </c>
      <c r="H136" s="3" t="s">
        <v>1757</v>
      </c>
    </row>
    <row r="137" spans="1:8" x14ac:dyDescent="0.25">
      <c r="A137" s="520">
        <f>A129+1</f>
        <v>66</v>
      </c>
      <c r="C137" s="499" t="s">
        <v>199</v>
      </c>
      <c r="D137" s="979" t="s">
        <v>1562</v>
      </c>
      <c r="E137" s="966">
        <v>0</v>
      </c>
      <c r="F137" s="966">
        <v>0</v>
      </c>
      <c r="G137" s="986">
        <v>0</v>
      </c>
      <c r="H137" s="986">
        <v>0</v>
      </c>
    </row>
    <row r="138" spans="1:8" x14ac:dyDescent="0.25">
      <c r="A138" s="520">
        <f>A137+1</f>
        <v>67</v>
      </c>
      <c r="C138" s="499" t="s">
        <v>200</v>
      </c>
      <c r="D138" s="979" t="s">
        <v>1562</v>
      </c>
      <c r="E138" s="966">
        <v>0</v>
      </c>
      <c r="F138" s="966">
        <v>0</v>
      </c>
      <c r="G138" s="986">
        <v>0</v>
      </c>
      <c r="H138" s="986">
        <v>0</v>
      </c>
    </row>
    <row r="139" spans="1:8" x14ac:dyDescent="0.25">
      <c r="A139" s="520">
        <f t="shared" ref="A139:A149" si="4">A138+1</f>
        <v>68</v>
      </c>
      <c r="C139" s="497" t="s">
        <v>201</v>
      </c>
      <c r="D139" s="979" t="s">
        <v>1562</v>
      </c>
      <c r="E139" s="966">
        <v>0</v>
      </c>
      <c r="F139" s="966">
        <v>0</v>
      </c>
      <c r="G139" s="986">
        <v>0</v>
      </c>
      <c r="H139" s="986">
        <v>0</v>
      </c>
    </row>
    <row r="140" spans="1:8" x14ac:dyDescent="0.25">
      <c r="A140" s="520">
        <f t="shared" si="4"/>
        <v>69</v>
      </c>
      <c r="C140" s="497" t="s">
        <v>214</v>
      </c>
      <c r="D140" s="979" t="s">
        <v>1562</v>
      </c>
      <c r="E140" s="966">
        <v>0</v>
      </c>
      <c r="F140" s="966">
        <v>0</v>
      </c>
      <c r="G140" s="986">
        <v>0</v>
      </c>
      <c r="H140" s="986">
        <v>0</v>
      </c>
    </row>
    <row r="141" spans="1:8" x14ac:dyDescent="0.25">
      <c r="A141" s="520">
        <f t="shared" si="4"/>
        <v>70</v>
      </c>
      <c r="C141" s="499" t="s">
        <v>202</v>
      </c>
      <c r="D141" s="979" t="s">
        <v>1562</v>
      </c>
      <c r="E141" s="966">
        <v>0</v>
      </c>
      <c r="F141" s="966">
        <v>0</v>
      </c>
      <c r="G141" s="986">
        <v>0</v>
      </c>
      <c r="H141" s="986">
        <v>0</v>
      </c>
    </row>
    <row r="142" spans="1:8" x14ac:dyDescent="0.25">
      <c r="A142" s="520">
        <f t="shared" si="4"/>
        <v>71</v>
      </c>
      <c r="C142" s="497" t="s">
        <v>203</v>
      </c>
      <c r="D142" s="979" t="s">
        <v>1562</v>
      </c>
      <c r="E142" s="966">
        <v>0</v>
      </c>
      <c r="F142" s="966">
        <v>0</v>
      </c>
      <c r="G142" s="986">
        <v>0</v>
      </c>
      <c r="H142" s="986">
        <v>0</v>
      </c>
    </row>
    <row r="143" spans="1:8" x14ac:dyDescent="0.25">
      <c r="A143" s="520">
        <f t="shared" si="4"/>
        <v>72</v>
      </c>
      <c r="C143" s="497" t="s">
        <v>204</v>
      </c>
      <c r="D143" s="979" t="s">
        <v>1562</v>
      </c>
      <c r="E143" s="966">
        <v>0</v>
      </c>
      <c r="F143" s="966">
        <v>0</v>
      </c>
      <c r="G143" s="986">
        <v>0</v>
      </c>
      <c r="H143" s="986">
        <v>0</v>
      </c>
    </row>
    <row r="144" spans="1:8" x14ac:dyDescent="0.25">
      <c r="A144" s="520">
        <f t="shared" si="4"/>
        <v>73</v>
      </c>
      <c r="C144" s="499" t="s">
        <v>205</v>
      </c>
      <c r="D144" s="979" t="s">
        <v>1562</v>
      </c>
      <c r="E144" s="966">
        <v>0</v>
      </c>
      <c r="F144" s="966">
        <v>0</v>
      </c>
      <c r="G144" s="986">
        <v>0</v>
      </c>
      <c r="H144" s="986">
        <v>0</v>
      </c>
    </row>
    <row r="145" spans="1:8" x14ac:dyDescent="0.25">
      <c r="A145" s="520">
        <f t="shared" si="4"/>
        <v>74</v>
      </c>
      <c r="C145" s="497" t="s">
        <v>206</v>
      </c>
      <c r="D145" s="979" t="s">
        <v>1562</v>
      </c>
      <c r="E145" s="966">
        <v>0</v>
      </c>
      <c r="F145" s="966">
        <v>0</v>
      </c>
      <c r="G145" s="986">
        <v>0</v>
      </c>
      <c r="H145" s="986">
        <v>0</v>
      </c>
    </row>
    <row r="146" spans="1:8" x14ac:dyDescent="0.25">
      <c r="A146" s="520">
        <f t="shared" si="4"/>
        <v>75</v>
      </c>
      <c r="C146" s="497" t="s">
        <v>207</v>
      </c>
      <c r="D146" s="979" t="s">
        <v>1562</v>
      </c>
      <c r="E146" s="966">
        <v>0</v>
      </c>
      <c r="F146" s="966">
        <v>0</v>
      </c>
      <c r="G146" s="986">
        <v>0</v>
      </c>
      <c r="H146" s="986">
        <v>0</v>
      </c>
    </row>
    <row r="147" spans="1:8" x14ac:dyDescent="0.25">
      <c r="A147" s="520">
        <f t="shared" si="4"/>
        <v>76</v>
      </c>
      <c r="C147" s="499" t="s">
        <v>208</v>
      </c>
      <c r="D147" s="979" t="s">
        <v>1562</v>
      </c>
      <c r="E147" s="966">
        <v>0</v>
      </c>
      <c r="F147" s="966">
        <v>0</v>
      </c>
      <c r="G147" s="986">
        <v>0</v>
      </c>
      <c r="H147" s="986">
        <v>0</v>
      </c>
    </row>
    <row r="148" spans="1:8" x14ac:dyDescent="0.25">
      <c r="A148" s="520">
        <f t="shared" si="4"/>
        <v>77</v>
      </c>
      <c r="C148" s="499" t="s">
        <v>209</v>
      </c>
      <c r="D148" s="979" t="s">
        <v>1562</v>
      </c>
      <c r="E148" s="966">
        <v>0</v>
      </c>
      <c r="F148" s="966">
        <v>0</v>
      </c>
      <c r="G148" s="986">
        <v>0</v>
      </c>
      <c r="H148" s="986">
        <v>0</v>
      </c>
    </row>
    <row r="149" spans="1:8" x14ac:dyDescent="0.25">
      <c r="A149" s="520">
        <f t="shared" si="4"/>
        <v>78</v>
      </c>
      <c r="C149" s="499" t="s">
        <v>199</v>
      </c>
      <c r="D149" s="979" t="s">
        <v>1562</v>
      </c>
      <c r="E149" s="966">
        <v>0</v>
      </c>
      <c r="F149" s="966">
        <v>0</v>
      </c>
      <c r="G149" s="986">
        <v>0</v>
      </c>
      <c r="H149" s="986">
        <v>0</v>
      </c>
    </row>
    <row r="150" spans="1:8" x14ac:dyDescent="0.25">
      <c r="A150" s="520"/>
    </row>
    <row r="151" spans="1:8" ht="12.75" customHeight="1" x14ac:dyDescent="0.25"/>
    <row r="152" spans="1:8" x14ac:dyDescent="0.25">
      <c r="C152" s="172" t="s">
        <v>1764</v>
      </c>
      <c r="E152" s="84" t="s">
        <v>394</v>
      </c>
      <c r="F152" s="84" t="s">
        <v>378</v>
      </c>
      <c r="G152" s="84" t="s">
        <v>379</v>
      </c>
      <c r="H152" s="84" t="s">
        <v>380</v>
      </c>
    </row>
    <row r="153" spans="1:8" x14ac:dyDescent="0.25">
      <c r="G153" s="475" t="s">
        <v>1885</v>
      </c>
      <c r="H153" s="475" t="s">
        <v>1886</v>
      </c>
    </row>
    <row r="154" spans="1:8" x14ac:dyDescent="0.25">
      <c r="C154" s="520" t="s">
        <v>589</v>
      </c>
      <c r="H154" s="467" t="s">
        <v>1887</v>
      </c>
    </row>
    <row r="155" spans="1:8" x14ac:dyDescent="0.25">
      <c r="C155" s="520" t="s">
        <v>212</v>
      </c>
      <c r="E155" s="520" t="s">
        <v>414</v>
      </c>
      <c r="F155" s="520" t="s">
        <v>1761</v>
      </c>
      <c r="G155" s="520" t="s">
        <v>1090</v>
      </c>
      <c r="H155" s="520" t="s">
        <v>1254</v>
      </c>
    </row>
    <row r="156" spans="1:8" x14ac:dyDescent="0.25">
      <c r="C156" s="24" t="s">
        <v>211</v>
      </c>
      <c r="D156" s="24" t="s">
        <v>212</v>
      </c>
      <c r="E156" s="3" t="s">
        <v>1762</v>
      </c>
      <c r="F156" s="3" t="s">
        <v>1203</v>
      </c>
      <c r="G156" s="3" t="s">
        <v>3</v>
      </c>
      <c r="H156" s="3" t="s">
        <v>1757</v>
      </c>
    </row>
    <row r="157" spans="1:8" x14ac:dyDescent="0.25">
      <c r="A157" s="520">
        <f>A149+1</f>
        <v>79</v>
      </c>
      <c r="C157" s="499" t="s">
        <v>199</v>
      </c>
      <c r="D157" s="979" t="s">
        <v>1562</v>
      </c>
      <c r="E157" s="966">
        <v>0</v>
      </c>
      <c r="F157" s="966">
        <v>0</v>
      </c>
      <c r="G157" s="986">
        <v>0</v>
      </c>
      <c r="H157" s="986">
        <v>0</v>
      </c>
    </row>
    <row r="158" spans="1:8" x14ac:dyDescent="0.25">
      <c r="A158" s="520">
        <f>A157+1</f>
        <v>80</v>
      </c>
      <c r="C158" s="499" t="s">
        <v>200</v>
      </c>
      <c r="D158" s="979" t="s">
        <v>1562</v>
      </c>
      <c r="E158" s="966">
        <v>0</v>
      </c>
      <c r="F158" s="966">
        <v>0</v>
      </c>
      <c r="G158" s="986">
        <v>0</v>
      </c>
      <c r="H158" s="986">
        <v>0</v>
      </c>
    </row>
    <row r="159" spans="1:8" x14ac:dyDescent="0.25">
      <c r="A159" s="520">
        <f t="shared" ref="A159:A169" si="5">A158+1</f>
        <v>81</v>
      </c>
      <c r="C159" s="497" t="s">
        <v>201</v>
      </c>
      <c r="D159" s="979" t="s">
        <v>1562</v>
      </c>
      <c r="E159" s="966">
        <v>0</v>
      </c>
      <c r="F159" s="966">
        <v>0</v>
      </c>
      <c r="G159" s="986">
        <v>0</v>
      </c>
      <c r="H159" s="986">
        <v>0</v>
      </c>
    </row>
    <row r="160" spans="1:8" x14ac:dyDescent="0.25">
      <c r="A160" s="520">
        <f t="shared" si="5"/>
        <v>82</v>
      </c>
      <c r="C160" s="497" t="s">
        <v>214</v>
      </c>
      <c r="D160" s="979" t="s">
        <v>1562</v>
      </c>
      <c r="E160" s="966">
        <v>0</v>
      </c>
      <c r="F160" s="966">
        <v>0</v>
      </c>
      <c r="G160" s="986">
        <v>0</v>
      </c>
      <c r="H160" s="986">
        <v>0</v>
      </c>
    </row>
    <row r="161" spans="1:8" x14ac:dyDescent="0.25">
      <c r="A161" s="520">
        <f t="shared" si="5"/>
        <v>83</v>
      </c>
      <c r="C161" s="499" t="s">
        <v>202</v>
      </c>
      <c r="D161" s="979" t="s">
        <v>1562</v>
      </c>
      <c r="E161" s="966">
        <v>0</v>
      </c>
      <c r="F161" s="966">
        <v>0</v>
      </c>
      <c r="G161" s="986">
        <v>0</v>
      </c>
      <c r="H161" s="986">
        <v>0</v>
      </c>
    </row>
    <row r="162" spans="1:8" x14ac:dyDescent="0.25">
      <c r="A162" s="520">
        <f t="shared" si="5"/>
        <v>84</v>
      </c>
      <c r="C162" s="497" t="s">
        <v>203</v>
      </c>
      <c r="D162" s="979" t="s">
        <v>1562</v>
      </c>
      <c r="E162" s="966">
        <v>0</v>
      </c>
      <c r="F162" s="966">
        <v>0</v>
      </c>
      <c r="G162" s="986">
        <v>0</v>
      </c>
      <c r="H162" s="986">
        <v>0</v>
      </c>
    </row>
    <row r="163" spans="1:8" x14ac:dyDescent="0.25">
      <c r="A163" s="520">
        <f t="shared" si="5"/>
        <v>85</v>
      </c>
      <c r="C163" s="497" t="s">
        <v>204</v>
      </c>
      <c r="D163" s="979" t="s">
        <v>1562</v>
      </c>
      <c r="E163" s="966">
        <v>0</v>
      </c>
      <c r="F163" s="966">
        <v>0</v>
      </c>
      <c r="G163" s="986">
        <v>0</v>
      </c>
      <c r="H163" s="986">
        <v>0</v>
      </c>
    </row>
    <row r="164" spans="1:8" x14ac:dyDescent="0.25">
      <c r="A164" s="520">
        <f t="shared" si="5"/>
        <v>86</v>
      </c>
      <c r="C164" s="499" t="s">
        <v>205</v>
      </c>
      <c r="D164" s="979" t="s">
        <v>1562</v>
      </c>
      <c r="E164" s="966">
        <v>0</v>
      </c>
      <c r="F164" s="966">
        <v>0</v>
      </c>
      <c r="G164" s="986">
        <v>0</v>
      </c>
      <c r="H164" s="986">
        <v>0</v>
      </c>
    </row>
    <row r="165" spans="1:8" x14ac:dyDescent="0.25">
      <c r="A165" s="520">
        <f t="shared" si="5"/>
        <v>87</v>
      </c>
      <c r="C165" s="497" t="s">
        <v>206</v>
      </c>
      <c r="D165" s="979" t="s">
        <v>1562</v>
      </c>
      <c r="E165" s="966">
        <v>0</v>
      </c>
      <c r="F165" s="966">
        <v>0</v>
      </c>
      <c r="G165" s="986">
        <v>0</v>
      </c>
      <c r="H165" s="986">
        <v>0</v>
      </c>
    </row>
    <row r="166" spans="1:8" x14ac:dyDescent="0.25">
      <c r="A166" s="520">
        <f t="shared" si="5"/>
        <v>88</v>
      </c>
      <c r="C166" s="497" t="s">
        <v>207</v>
      </c>
      <c r="D166" s="979" t="s">
        <v>1562</v>
      </c>
      <c r="E166" s="966">
        <v>0</v>
      </c>
      <c r="F166" s="966">
        <v>0</v>
      </c>
      <c r="G166" s="986">
        <v>0</v>
      </c>
      <c r="H166" s="986">
        <v>0</v>
      </c>
    </row>
    <row r="167" spans="1:8" x14ac:dyDescent="0.25">
      <c r="A167" s="520">
        <f t="shared" si="5"/>
        <v>89</v>
      </c>
      <c r="C167" s="499" t="s">
        <v>208</v>
      </c>
      <c r="D167" s="979" t="s">
        <v>1562</v>
      </c>
      <c r="E167" s="966">
        <v>0</v>
      </c>
      <c r="F167" s="966">
        <v>0</v>
      </c>
      <c r="G167" s="986">
        <v>0</v>
      </c>
      <c r="H167" s="986">
        <v>0</v>
      </c>
    </row>
    <row r="168" spans="1:8" x14ac:dyDescent="0.25">
      <c r="A168" s="520">
        <f t="shared" si="5"/>
        <v>90</v>
      </c>
      <c r="C168" s="499" t="s">
        <v>209</v>
      </c>
      <c r="D168" s="979" t="s">
        <v>1562</v>
      </c>
      <c r="E168" s="966">
        <v>0</v>
      </c>
      <c r="F168" s="966">
        <v>0</v>
      </c>
      <c r="G168" s="986">
        <v>0</v>
      </c>
      <c r="H168" s="986">
        <v>0</v>
      </c>
    </row>
    <row r="169" spans="1:8" x14ac:dyDescent="0.25">
      <c r="A169" s="520">
        <f t="shared" si="5"/>
        <v>91</v>
      </c>
      <c r="C169" s="499" t="s">
        <v>199</v>
      </c>
      <c r="D169" s="979" t="s">
        <v>1562</v>
      </c>
      <c r="E169" s="966">
        <v>0</v>
      </c>
      <c r="F169" s="966">
        <v>0</v>
      </c>
      <c r="G169" s="986">
        <v>0</v>
      </c>
      <c r="H169" s="986">
        <v>0</v>
      </c>
    </row>
    <row r="171" spans="1:8" x14ac:dyDescent="0.25">
      <c r="C171" s="172" t="s">
        <v>1765</v>
      </c>
      <c r="E171" s="84" t="s">
        <v>394</v>
      </c>
      <c r="F171" s="84" t="s">
        <v>378</v>
      </c>
      <c r="G171" s="84" t="s">
        <v>379</v>
      </c>
      <c r="H171" s="84" t="s">
        <v>380</v>
      </c>
    </row>
    <row r="172" spans="1:8" x14ac:dyDescent="0.25">
      <c r="G172" s="475" t="s">
        <v>1885</v>
      </c>
      <c r="H172" s="475" t="s">
        <v>1886</v>
      </c>
    </row>
    <row r="173" spans="1:8" x14ac:dyDescent="0.25">
      <c r="C173" s="520" t="s">
        <v>589</v>
      </c>
      <c r="H173" s="467" t="s">
        <v>1887</v>
      </c>
    </row>
    <row r="174" spans="1:8" x14ac:dyDescent="0.25">
      <c r="C174" s="520" t="s">
        <v>212</v>
      </c>
      <c r="E174" s="520" t="s">
        <v>414</v>
      </c>
      <c r="F174" s="520" t="s">
        <v>1761</v>
      </c>
      <c r="G174" s="520" t="s">
        <v>1090</v>
      </c>
      <c r="H174" s="520" t="s">
        <v>1254</v>
      </c>
    </row>
    <row r="175" spans="1:8" x14ac:dyDescent="0.25">
      <c r="C175" s="24" t="s">
        <v>211</v>
      </c>
      <c r="D175" s="24" t="s">
        <v>212</v>
      </c>
      <c r="E175" s="3" t="s">
        <v>1762</v>
      </c>
      <c r="F175" s="3" t="s">
        <v>1203</v>
      </c>
      <c r="G175" s="3" t="s">
        <v>3</v>
      </c>
      <c r="H175" s="3" t="s">
        <v>1757</v>
      </c>
    </row>
    <row r="176" spans="1:8" x14ac:dyDescent="0.25">
      <c r="A176" s="520">
        <f>A169+1</f>
        <v>92</v>
      </c>
      <c r="C176" s="499" t="s">
        <v>199</v>
      </c>
      <c r="D176" s="979" t="s">
        <v>1562</v>
      </c>
      <c r="E176" s="966">
        <v>0</v>
      </c>
      <c r="F176" s="966">
        <v>0</v>
      </c>
      <c r="G176" s="986">
        <v>0</v>
      </c>
      <c r="H176" s="986">
        <v>0</v>
      </c>
    </row>
    <row r="177" spans="1:8" x14ac:dyDescent="0.25">
      <c r="A177" s="520">
        <f>A176+1</f>
        <v>93</v>
      </c>
      <c r="C177" s="499" t="s">
        <v>200</v>
      </c>
      <c r="D177" s="979" t="s">
        <v>1562</v>
      </c>
      <c r="E177" s="966">
        <v>0</v>
      </c>
      <c r="F177" s="966">
        <v>0</v>
      </c>
      <c r="G177" s="986">
        <v>0</v>
      </c>
      <c r="H177" s="986">
        <v>0</v>
      </c>
    </row>
    <row r="178" spans="1:8" x14ac:dyDescent="0.25">
      <c r="A178" s="520">
        <f t="shared" ref="A178:A188" si="6">A177+1</f>
        <v>94</v>
      </c>
      <c r="C178" s="497" t="s">
        <v>201</v>
      </c>
      <c r="D178" s="979" t="s">
        <v>1562</v>
      </c>
      <c r="E178" s="966">
        <v>0</v>
      </c>
      <c r="F178" s="966">
        <v>0</v>
      </c>
      <c r="G178" s="986">
        <v>0</v>
      </c>
      <c r="H178" s="986">
        <v>0</v>
      </c>
    </row>
    <row r="179" spans="1:8" x14ac:dyDescent="0.25">
      <c r="A179" s="520">
        <f t="shared" si="6"/>
        <v>95</v>
      </c>
      <c r="C179" s="497" t="s">
        <v>214</v>
      </c>
      <c r="D179" s="979" t="s">
        <v>1562</v>
      </c>
      <c r="E179" s="966">
        <v>0</v>
      </c>
      <c r="F179" s="966">
        <v>0</v>
      </c>
      <c r="G179" s="986">
        <v>0</v>
      </c>
      <c r="H179" s="986">
        <v>0</v>
      </c>
    </row>
    <row r="180" spans="1:8" x14ac:dyDescent="0.25">
      <c r="A180" s="520">
        <f t="shared" si="6"/>
        <v>96</v>
      </c>
      <c r="C180" s="499" t="s">
        <v>202</v>
      </c>
      <c r="D180" s="979" t="s">
        <v>1562</v>
      </c>
      <c r="E180" s="966">
        <v>0</v>
      </c>
      <c r="F180" s="966">
        <v>0</v>
      </c>
      <c r="G180" s="986">
        <v>0</v>
      </c>
      <c r="H180" s="986">
        <v>0</v>
      </c>
    </row>
    <row r="181" spans="1:8" x14ac:dyDescent="0.25">
      <c r="A181" s="520">
        <f t="shared" si="6"/>
        <v>97</v>
      </c>
      <c r="C181" s="497" t="s">
        <v>203</v>
      </c>
      <c r="D181" s="979" t="s">
        <v>1562</v>
      </c>
      <c r="E181" s="966">
        <v>0</v>
      </c>
      <c r="F181" s="966">
        <v>0</v>
      </c>
      <c r="G181" s="986">
        <v>0</v>
      </c>
      <c r="H181" s="986">
        <v>0</v>
      </c>
    </row>
    <row r="182" spans="1:8" x14ac:dyDescent="0.25">
      <c r="A182" s="520">
        <f t="shared" si="6"/>
        <v>98</v>
      </c>
      <c r="C182" s="497" t="s">
        <v>204</v>
      </c>
      <c r="D182" s="979" t="s">
        <v>1562</v>
      </c>
      <c r="E182" s="966">
        <v>0</v>
      </c>
      <c r="F182" s="966">
        <v>0</v>
      </c>
      <c r="G182" s="986">
        <v>0</v>
      </c>
      <c r="H182" s="986">
        <v>0</v>
      </c>
    </row>
    <row r="183" spans="1:8" x14ac:dyDescent="0.25">
      <c r="A183" s="520">
        <f t="shared" si="6"/>
        <v>99</v>
      </c>
      <c r="C183" s="499" t="s">
        <v>205</v>
      </c>
      <c r="D183" s="979" t="s">
        <v>1562</v>
      </c>
      <c r="E183" s="966">
        <v>0</v>
      </c>
      <c r="F183" s="966">
        <v>0</v>
      </c>
      <c r="G183" s="986">
        <v>0</v>
      </c>
      <c r="H183" s="986">
        <v>0</v>
      </c>
    </row>
    <row r="184" spans="1:8" x14ac:dyDescent="0.25">
      <c r="A184" s="520">
        <f t="shared" si="6"/>
        <v>100</v>
      </c>
      <c r="C184" s="497" t="s">
        <v>206</v>
      </c>
      <c r="D184" s="979" t="s">
        <v>1562</v>
      </c>
      <c r="E184" s="966">
        <v>0</v>
      </c>
      <c r="F184" s="966">
        <v>0</v>
      </c>
      <c r="G184" s="986">
        <v>0</v>
      </c>
      <c r="H184" s="986">
        <v>0</v>
      </c>
    </row>
    <row r="185" spans="1:8" x14ac:dyDescent="0.25">
      <c r="A185" s="520">
        <f t="shared" si="6"/>
        <v>101</v>
      </c>
      <c r="C185" s="497" t="s">
        <v>207</v>
      </c>
      <c r="D185" s="979" t="s">
        <v>1562</v>
      </c>
      <c r="E185" s="966">
        <v>0</v>
      </c>
      <c r="F185" s="966">
        <v>0</v>
      </c>
      <c r="G185" s="986">
        <v>0</v>
      </c>
      <c r="H185" s="986">
        <v>0</v>
      </c>
    </row>
    <row r="186" spans="1:8" x14ac:dyDescent="0.25">
      <c r="A186" s="520">
        <f t="shared" si="6"/>
        <v>102</v>
      </c>
      <c r="C186" s="499" t="s">
        <v>208</v>
      </c>
      <c r="D186" s="979" t="s">
        <v>1562</v>
      </c>
      <c r="E186" s="966">
        <v>0</v>
      </c>
      <c r="F186" s="966">
        <v>0</v>
      </c>
      <c r="G186" s="986">
        <v>0</v>
      </c>
      <c r="H186" s="986">
        <v>0</v>
      </c>
    </row>
    <row r="187" spans="1:8" x14ac:dyDescent="0.25">
      <c r="A187" s="520">
        <f t="shared" si="6"/>
        <v>103</v>
      </c>
      <c r="C187" s="499" t="s">
        <v>209</v>
      </c>
      <c r="D187" s="979" t="s">
        <v>1562</v>
      </c>
      <c r="E187" s="966">
        <v>0</v>
      </c>
      <c r="F187" s="966">
        <v>0</v>
      </c>
      <c r="G187" s="986">
        <v>0</v>
      </c>
      <c r="H187" s="986">
        <v>0</v>
      </c>
    </row>
    <row r="188" spans="1:8" x14ac:dyDescent="0.25">
      <c r="A188" s="520">
        <f t="shared" si="6"/>
        <v>104</v>
      </c>
      <c r="C188" s="499" t="s">
        <v>199</v>
      </c>
      <c r="D188" s="979" t="s">
        <v>1562</v>
      </c>
      <c r="E188" s="966">
        <v>0</v>
      </c>
      <c r="F188" s="966">
        <v>0</v>
      </c>
      <c r="G188" s="986">
        <v>0</v>
      </c>
      <c r="H188" s="986">
        <v>0</v>
      </c>
    </row>
    <row r="190" spans="1:8" x14ac:dyDescent="0.25">
      <c r="C190" s="172" t="s">
        <v>1766</v>
      </c>
      <c r="E190" s="84" t="s">
        <v>394</v>
      </c>
      <c r="F190" s="84" t="s">
        <v>378</v>
      </c>
      <c r="G190" s="84" t="s">
        <v>379</v>
      </c>
      <c r="H190" s="84" t="s">
        <v>380</v>
      </c>
    </row>
    <row r="191" spans="1:8" x14ac:dyDescent="0.25">
      <c r="G191" s="475" t="s">
        <v>1885</v>
      </c>
      <c r="H191" s="475" t="s">
        <v>1886</v>
      </c>
    </row>
    <row r="192" spans="1:8" x14ac:dyDescent="0.25">
      <c r="C192" s="520" t="s">
        <v>589</v>
      </c>
      <c r="H192" s="467" t="s">
        <v>1887</v>
      </c>
    </row>
    <row r="193" spans="1:8" x14ac:dyDescent="0.25">
      <c r="C193" s="520" t="s">
        <v>212</v>
      </c>
      <c r="E193" s="520" t="s">
        <v>414</v>
      </c>
      <c r="F193" s="520" t="s">
        <v>1761</v>
      </c>
      <c r="G193" s="520" t="s">
        <v>1090</v>
      </c>
      <c r="H193" s="520" t="s">
        <v>1254</v>
      </c>
    </row>
    <row r="194" spans="1:8" x14ac:dyDescent="0.25">
      <c r="C194" s="24" t="s">
        <v>211</v>
      </c>
      <c r="D194" s="24" t="s">
        <v>212</v>
      </c>
      <c r="E194" s="3" t="s">
        <v>1762</v>
      </c>
      <c r="F194" s="3" t="s">
        <v>1203</v>
      </c>
      <c r="G194" s="3" t="s">
        <v>3</v>
      </c>
      <c r="H194" s="3" t="s">
        <v>1757</v>
      </c>
    </row>
    <row r="195" spans="1:8" x14ac:dyDescent="0.25">
      <c r="A195" s="520">
        <f>A188+1</f>
        <v>105</v>
      </c>
      <c r="C195" s="499" t="s">
        <v>199</v>
      </c>
      <c r="D195" s="979" t="s">
        <v>1562</v>
      </c>
      <c r="E195" s="966">
        <v>0</v>
      </c>
      <c r="F195" s="966">
        <v>0</v>
      </c>
      <c r="G195" s="986">
        <v>0</v>
      </c>
      <c r="H195" s="986">
        <v>0</v>
      </c>
    </row>
    <row r="196" spans="1:8" x14ac:dyDescent="0.25">
      <c r="A196" s="520">
        <f>A195+1</f>
        <v>106</v>
      </c>
      <c r="C196" s="499" t="s">
        <v>200</v>
      </c>
      <c r="D196" s="979" t="s">
        <v>1562</v>
      </c>
      <c r="E196" s="966">
        <v>0</v>
      </c>
      <c r="F196" s="966">
        <v>0</v>
      </c>
      <c r="G196" s="986">
        <v>0</v>
      </c>
      <c r="H196" s="986">
        <v>0</v>
      </c>
    </row>
    <row r="197" spans="1:8" x14ac:dyDescent="0.25">
      <c r="A197" s="520">
        <f t="shared" ref="A197:A207" si="7">A196+1</f>
        <v>107</v>
      </c>
      <c r="C197" s="497" t="s">
        <v>201</v>
      </c>
      <c r="D197" s="979" t="s">
        <v>1562</v>
      </c>
      <c r="E197" s="966">
        <v>0</v>
      </c>
      <c r="F197" s="966">
        <v>0</v>
      </c>
      <c r="G197" s="986">
        <v>0</v>
      </c>
      <c r="H197" s="986">
        <v>0</v>
      </c>
    </row>
    <row r="198" spans="1:8" x14ac:dyDescent="0.25">
      <c r="A198" s="520">
        <f t="shared" si="7"/>
        <v>108</v>
      </c>
      <c r="C198" s="497" t="s">
        <v>214</v>
      </c>
      <c r="D198" s="979" t="s">
        <v>1562</v>
      </c>
      <c r="E198" s="966">
        <v>0</v>
      </c>
      <c r="F198" s="966">
        <v>0</v>
      </c>
      <c r="G198" s="986">
        <v>0</v>
      </c>
      <c r="H198" s="986">
        <v>0</v>
      </c>
    </row>
    <row r="199" spans="1:8" x14ac:dyDescent="0.25">
      <c r="A199" s="520">
        <f t="shared" si="7"/>
        <v>109</v>
      </c>
      <c r="C199" s="499" t="s">
        <v>202</v>
      </c>
      <c r="D199" s="979" t="s">
        <v>1562</v>
      </c>
      <c r="E199" s="966">
        <v>0</v>
      </c>
      <c r="F199" s="966">
        <v>0</v>
      </c>
      <c r="G199" s="986">
        <v>0</v>
      </c>
      <c r="H199" s="986">
        <v>0</v>
      </c>
    </row>
    <row r="200" spans="1:8" x14ac:dyDescent="0.25">
      <c r="A200" s="520">
        <f t="shared" si="7"/>
        <v>110</v>
      </c>
      <c r="C200" s="497" t="s">
        <v>203</v>
      </c>
      <c r="D200" s="979" t="s">
        <v>1562</v>
      </c>
      <c r="E200" s="966">
        <v>0</v>
      </c>
      <c r="F200" s="966">
        <v>0</v>
      </c>
      <c r="G200" s="986">
        <v>0</v>
      </c>
      <c r="H200" s="986">
        <v>0</v>
      </c>
    </row>
    <row r="201" spans="1:8" x14ac:dyDescent="0.25">
      <c r="A201" s="520">
        <f t="shared" si="7"/>
        <v>111</v>
      </c>
      <c r="C201" s="497" t="s">
        <v>204</v>
      </c>
      <c r="D201" s="979" t="s">
        <v>1562</v>
      </c>
      <c r="E201" s="966">
        <v>0</v>
      </c>
      <c r="F201" s="966">
        <v>0</v>
      </c>
      <c r="G201" s="986">
        <v>0</v>
      </c>
      <c r="H201" s="986">
        <v>0</v>
      </c>
    </row>
    <row r="202" spans="1:8" x14ac:dyDescent="0.25">
      <c r="A202" s="520">
        <f t="shared" si="7"/>
        <v>112</v>
      </c>
      <c r="C202" s="499" t="s">
        <v>205</v>
      </c>
      <c r="D202" s="979" t="s">
        <v>1562</v>
      </c>
      <c r="E202" s="966">
        <v>0</v>
      </c>
      <c r="F202" s="966">
        <v>0</v>
      </c>
      <c r="G202" s="986">
        <v>0</v>
      </c>
      <c r="H202" s="986">
        <v>0</v>
      </c>
    </row>
    <row r="203" spans="1:8" x14ac:dyDescent="0.25">
      <c r="A203" s="520">
        <f t="shared" si="7"/>
        <v>113</v>
      </c>
      <c r="C203" s="497" t="s">
        <v>206</v>
      </c>
      <c r="D203" s="979" t="s">
        <v>1562</v>
      </c>
      <c r="E203" s="966">
        <v>0</v>
      </c>
      <c r="F203" s="966">
        <v>0</v>
      </c>
      <c r="G203" s="986">
        <v>0</v>
      </c>
      <c r="H203" s="986">
        <v>0</v>
      </c>
    </row>
    <row r="204" spans="1:8" x14ac:dyDescent="0.25">
      <c r="A204" s="520">
        <f t="shared" si="7"/>
        <v>114</v>
      </c>
      <c r="C204" s="497" t="s">
        <v>207</v>
      </c>
      <c r="D204" s="979" t="s">
        <v>1562</v>
      </c>
      <c r="E204" s="966">
        <v>0</v>
      </c>
      <c r="F204" s="966">
        <v>0</v>
      </c>
      <c r="G204" s="986">
        <v>0</v>
      </c>
      <c r="H204" s="986">
        <v>0</v>
      </c>
    </row>
    <row r="205" spans="1:8" x14ac:dyDescent="0.25">
      <c r="A205" s="520">
        <f t="shared" si="7"/>
        <v>115</v>
      </c>
      <c r="C205" s="499" t="s">
        <v>208</v>
      </c>
      <c r="D205" s="979" t="s">
        <v>1562</v>
      </c>
      <c r="E205" s="966">
        <v>0</v>
      </c>
      <c r="F205" s="966">
        <v>0</v>
      </c>
      <c r="G205" s="986">
        <v>0</v>
      </c>
      <c r="H205" s="986">
        <v>0</v>
      </c>
    </row>
    <row r="206" spans="1:8" x14ac:dyDescent="0.25">
      <c r="A206" s="520">
        <f t="shared" si="7"/>
        <v>116</v>
      </c>
      <c r="C206" s="499" t="s">
        <v>209</v>
      </c>
      <c r="D206" s="979" t="s">
        <v>1562</v>
      </c>
      <c r="E206" s="966">
        <v>0</v>
      </c>
      <c r="F206" s="966">
        <v>0</v>
      </c>
      <c r="G206" s="986">
        <v>0</v>
      </c>
      <c r="H206" s="986">
        <v>0</v>
      </c>
    </row>
    <row r="207" spans="1:8" x14ac:dyDescent="0.25">
      <c r="A207" s="520">
        <f t="shared" si="7"/>
        <v>117</v>
      </c>
      <c r="C207" s="499" t="s">
        <v>199</v>
      </c>
      <c r="D207" s="979" t="s">
        <v>1562</v>
      </c>
      <c r="E207" s="966">
        <v>0</v>
      </c>
      <c r="F207" s="966">
        <v>0</v>
      </c>
      <c r="G207" s="986">
        <v>0</v>
      </c>
      <c r="H207" s="986">
        <v>0</v>
      </c>
    </row>
    <row r="209" spans="1:8" x14ac:dyDescent="0.25">
      <c r="C209" s="172" t="s">
        <v>1767</v>
      </c>
      <c r="E209" s="84" t="s">
        <v>394</v>
      </c>
      <c r="F209" s="84" t="s">
        <v>378</v>
      </c>
      <c r="G209" s="84" t="s">
        <v>379</v>
      </c>
      <c r="H209" s="84" t="s">
        <v>380</v>
      </c>
    </row>
    <row r="210" spans="1:8" x14ac:dyDescent="0.25">
      <c r="G210" s="475" t="s">
        <v>1885</v>
      </c>
      <c r="H210" s="475" t="s">
        <v>1886</v>
      </c>
    </row>
    <row r="211" spans="1:8" x14ac:dyDescent="0.25">
      <c r="C211" s="520" t="s">
        <v>589</v>
      </c>
      <c r="H211" s="467" t="s">
        <v>1887</v>
      </c>
    </row>
    <row r="212" spans="1:8" x14ac:dyDescent="0.25">
      <c r="C212" s="520" t="s">
        <v>212</v>
      </c>
      <c r="E212" s="520" t="s">
        <v>414</v>
      </c>
      <c r="F212" s="520" t="s">
        <v>1761</v>
      </c>
      <c r="G212" s="520" t="s">
        <v>1090</v>
      </c>
      <c r="H212" s="520" t="s">
        <v>1254</v>
      </c>
    </row>
    <row r="213" spans="1:8" x14ac:dyDescent="0.25">
      <c r="C213" s="24" t="s">
        <v>211</v>
      </c>
      <c r="D213" s="24" t="s">
        <v>212</v>
      </c>
      <c r="E213" s="3" t="s">
        <v>1762</v>
      </c>
      <c r="F213" s="3" t="s">
        <v>1203</v>
      </c>
      <c r="G213" s="3" t="s">
        <v>3</v>
      </c>
      <c r="H213" s="3" t="s">
        <v>1757</v>
      </c>
    </row>
    <row r="214" spans="1:8" x14ac:dyDescent="0.25">
      <c r="A214" s="520">
        <f>A207+1</f>
        <v>118</v>
      </c>
      <c r="C214" s="499" t="s">
        <v>199</v>
      </c>
      <c r="D214" s="979" t="s">
        <v>1562</v>
      </c>
      <c r="E214" s="966">
        <v>0</v>
      </c>
      <c r="F214" s="966">
        <v>0</v>
      </c>
      <c r="G214" s="986">
        <v>0</v>
      </c>
      <c r="H214" s="986">
        <v>0</v>
      </c>
    </row>
    <row r="215" spans="1:8" x14ac:dyDescent="0.25">
      <c r="A215" s="520">
        <f>A214+1</f>
        <v>119</v>
      </c>
      <c r="C215" s="499" t="s">
        <v>200</v>
      </c>
      <c r="D215" s="979" t="s">
        <v>1562</v>
      </c>
      <c r="E215" s="966">
        <v>0</v>
      </c>
      <c r="F215" s="966">
        <v>0</v>
      </c>
      <c r="G215" s="986">
        <v>0</v>
      </c>
      <c r="H215" s="986">
        <v>0</v>
      </c>
    </row>
    <row r="216" spans="1:8" x14ac:dyDescent="0.25">
      <c r="A216" s="520">
        <f t="shared" ref="A216:A226" si="8">A215+1</f>
        <v>120</v>
      </c>
      <c r="C216" s="497" t="s">
        <v>201</v>
      </c>
      <c r="D216" s="979" t="s">
        <v>1562</v>
      </c>
      <c r="E216" s="966">
        <v>0</v>
      </c>
      <c r="F216" s="966">
        <v>0</v>
      </c>
      <c r="G216" s="986">
        <v>0</v>
      </c>
      <c r="H216" s="986">
        <v>0</v>
      </c>
    </row>
    <row r="217" spans="1:8" x14ac:dyDescent="0.25">
      <c r="A217" s="520">
        <f t="shared" si="8"/>
        <v>121</v>
      </c>
      <c r="C217" s="497" t="s">
        <v>214</v>
      </c>
      <c r="D217" s="979" t="s">
        <v>1562</v>
      </c>
      <c r="E217" s="966">
        <v>0</v>
      </c>
      <c r="F217" s="966">
        <v>0</v>
      </c>
      <c r="G217" s="986">
        <v>0</v>
      </c>
      <c r="H217" s="986">
        <v>0</v>
      </c>
    </row>
    <row r="218" spans="1:8" x14ac:dyDescent="0.25">
      <c r="A218" s="520">
        <f t="shared" si="8"/>
        <v>122</v>
      </c>
      <c r="C218" s="499" t="s">
        <v>202</v>
      </c>
      <c r="D218" s="979" t="s">
        <v>1562</v>
      </c>
      <c r="E218" s="966">
        <v>0</v>
      </c>
      <c r="F218" s="966">
        <v>0</v>
      </c>
      <c r="G218" s="986">
        <v>0</v>
      </c>
      <c r="H218" s="986">
        <v>0</v>
      </c>
    </row>
    <row r="219" spans="1:8" x14ac:dyDescent="0.25">
      <c r="A219" s="520">
        <f t="shared" si="8"/>
        <v>123</v>
      </c>
      <c r="C219" s="497" t="s">
        <v>203</v>
      </c>
      <c r="D219" s="979" t="s">
        <v>1562</v>
      </c>
      <c r="E219" s="966">
        <v>0</v>
      </c>
      <c r="F219" s="966">
        <v>0</v>
      </c>
      <c r="G219" s="986">
        <v>0</v>
      </c>
      <c r="H219" s="986">
        <v>0</v>
      </c>
    </row>
    <row r="220" spans="1:8" x14ac:dyDescent="0.25">
      <c r="A220" s="520">
        <f t="shared" si="8"/>
        <v>124</v>
      </c>
      <c r="C220" s="497" t="s">
        <v>204</v>
      </c>
      <c r="D220" s="979" t="s">
        <v>1562</v>
      </c>
      <c r="E220" s="966">
        <v>0</v>
      </c>
      <c r="F220" s="966">
        <v>0</v>
      </c>
      <c r="G220" s="986">
        <v>0</v>
      </c>
      <c r="H220" s="986">
        <v>0</v>
      </c>
    </row>
    <row r="221" spans="1:8" x14ac:dyDescent="0.25">
      <c r="A221" s="520">
        <f t="shared" si="8"/>
        <v>125</v>
      </c>
      <c r="C221" s="499" t="s">
        <v>205</v>
      </c>
      <c r="D221" s="979" t="s">
        <v>1562</v>
      </c>
      <c r="E221" s="966">
        <v>0</v>
      </c>
      <c r="F221" s="966">
        <v>0</v>
      </c>
      <c r="G221" s="986">
        <v>0</v>
      </c>
      <c r="H221" s="986">
        <v>0</v>
      </c>
    </row>
    <row r="222" spans="1:8" x14ac:dyDescent="0.25">
      <c r="A222" s="520">
        <f t="shared" si="8"/>
        <v>126</v>
      </c>
      <c r="C222" s="497" t="s">
        <v>206</v>
      </c>
      <c r="D222" s="979" t="s">
        <v>1562</v>
      </c>
      <c r="E222" s="966">
        <v>0</v>
      </c>
      <c r="F222" s="966">
        <v>0</v>
      </c>
      <c r="G222" s="986">
        <v>0</v>
      </c>
      <c r="H222" s="986">
        <v>0</v>
      </c>
    </row>
    <row r="223" spans="1:8" x14ac:dyDescent="0.25">
      <c r="A223" s="520">
        <f t="shared" si="8"/>
        <v>127</v>
      </c>
      <c r="C223" s="497" t="s">
        <v>207</v>
      </c>
      <c r="D223" s="979" t="s">
        <v>1562</v>
      </c>
      <c r="E223" s="966">
        <v>0</v>
      </c>
      <c r="F223" s="966">
        <v>0</v>
      </c>
      <c r="G223" s="986">
        <v>0</v>
      </c>
      <c r="H223" s="986">
        <v>0</v>
      </c>
    </row>
    <row r="224" spans="1:8" x14ac:dyDescent="0.25">
      <c r="A224" s="520">
        <f t="shared" si="8"/>
        <v>128</v>
      </c>
      <c r="C224" s="499" t="s">
        <v>208</v>
      </c>
      <c r="D224" s="979" t="s">
        <v>1562</v>
      </c>
      <c r="E224" s="966">
        <v>0</v>
      </c>
      <c r="F224" s="966">
        <v>0</v>
      </c>
      <c r="G224" s="986">
        <v>0</v>
      </c>
      <c r="H224" s="986">
        <v>0</v>
      </c>
    </row>
    <row r="225" spans="1:8" x14ac:dyDescent="0.25">
      <c r="A225" s="520">
        <f t="shared" si="8"/>
        <v>129</v>
      </c>
      <c r="C225" s="499" t="s">
        <v>209</v>
      </c>
      <c r="D225" s="979" t="s">
        <v>1562</v>
      </c>
      <c r="E225" s="966">
        <v>0</v>
      </c>
      <c r="F225" s="966">
        <v>0</v>
      </c>
      <c r="G225" s="986">
        <v>0</v>
      </c>
      <c r="H225" s="986">
        <v>0</v>
      </c>
    </row>
    <row r="226" spans="1:8" x14ac:dyDescent="0.25">
      <c r="A226" s="520">
        <f t="shared" si="8"/>
        <v>130</v>
      </c>
      <c r="C226" s="499" t="s">
        <v>199</v>
      </c>
      <c r="D226" s="979" t="s">
        <v>1562</v>
      </c>
      <c r="E226" s="966">
        <v>0</v>
      </c>
      <c r="F226" s="966">
        <v>0</v>
      </c>
      <c r="G226" s="986">
        <v>0</v>
      </c>
      <c r="H226" s="986">
        <v>0</v>
      </c>
    </row>
    <row r="228" spans="1:8" x14ac:dyDescent="0.25">
      <c r="C228" s="172" t="s">
        <v>1808</v>
      </c>
      <c r="H228" s="84" t="s">
        <v>380</v>
      </c>
    </row>
    <row r="229" spans="1:8" x14ac:dyDescent="0.25">
      <c r="E229" s="84" t="s">
        <v>394</v>
      </c>
      <c r="F229" s="84" t="s">
        <v>378</v>
      </c>
      <c r="G229" s="84" t="s">
        <v>379</v>
      </c>
      <c r="H229" s="475" t="s">
        <v>1886</v>
      </c>
    </row>
    <row r="230" spans="1:8" x14ac:dyDescent="0.25">
      <c r="C230" s="520" t="s">
        <v>589</v>
      </c>
      <c r="G230" s="475" t="s">
        <v>1885</v>
      </c>
      <c r="H230" s="467" t="s">
        <v>1887</v>
      </c>
    </row>
    <row r="231" spans="1:8" x14ac:dyDescent="0.25">
      <c r="C231" s="520" t="s">
        <v>212</v>
      </c>
      <c r="E231" s="520" t="s">
        <v>414</v>
      </c>
      <c r="F231" s="520" t="s">
        <v>1761</v>
      </c>
      <c r="G231" s="520" t="s">
        <v>1090</v>
      </c>
      <c r="H231" s="520" t="s">
        <v>1254</v>
      </c>
    </row>
    <row r="232" spans="1:8" x14ac:dyDescent="0.25">
      <c r="C232" s="24" t="s">
        <v>211</v>
      </c>
      <c r="D232" s="24" t="s">
        <v>212</v>
      </c>
      <c r="E232" s="3" t="s">
        <v>1762</v>
      </c>
      <c r="F232" s="3" t="s">
        <v>1203</v>
      </c>
      <c r="G232" s="3" t="s">
        <v>3</v>
      </c>
      <c r="H232" s="3" t="s">
        <v>1757</v>
      </c>
    </row>
    <row r="233" spans="1:8" x14ac:dyDescent="0.25">
      <c r="A233" s="520">
        <f>A226+1</f>
        <v>131</v>
      </c>
      <c r="C233" s="499" t="s">
        <v>199</v>
      </c>
      <c r="D233" s="979" t="s">
        <v>1562</v>
      </c>
      <c r="E233" s="966">
        <v>0</v>
      </c>
      <c r="F233" s="966">
        <v>0</v>
      </c>
      <c r="G233" s="986">
        <v>0</v>
      </c>
      <c r="H233" s="986">
        <v>0</v>
      </c>
    </row>
    <row r="234" spans="1:8" x14ac:dyDescent="0.25">
      <c r="A234" s="520">
        <f>A233+1</f>
        <v>132</v>
      </c>
      <c r="C234" s="499" t="s">
        <v>200</v>
      </c>
      <c r="D234" s="979" t="s">
        <v>1562</v>
      </c>
      <c r="E234" s="966">
        <v>0</v>
      </c>
      <c r="F234" s="966">
        <v>0</v>
      </c>
      <c r="G234" s="986">
        <v>0</v>
      </c>
      <c r="H234" s="986">
        <v>0</v>
      </c>
    </row>
    <row r="235" spans="1:8" x14ac:dyDescent="0.25">
      <c r="A235" s="520">
        <f t="shared" ref="A235:A245" si="9">A234+1</f>
        <v>133</v>
      </c>
      <c r="C235" s="497" t="s">
        <v>201</v>
      </c>
      <c r="D235" s="979" t="s">
        <v>1562</v>
      </c>
      <c r="E235" s="966">
        <v>0</v>
      </c>
      <c r="F235" s="966">
        <v>0</v>
      </c>
      <c r="G235" s="986">
        <v>0</v>
      </c>
      <c r="H235" s="986">
        <v>0</v>
      </c>
    </row>
    <row r="236" spans="1:8" x14ac:dyDescent="0.25">
      <c r="A236" s="520">
        <f t="shared" si="9"/>
        <v>134</v>
      </c>
      <c r="C236" s="497" t="s">
        <v>214</v>
      </c>
      <c r="D236" s="979" t="s">
        <v>1562</v>
      </c>
      <c r="E236" s="966">
        <v>0</v>
      </c>
      <c r="F236" s="966">
        <v>0</v>
      </c>
      <c r="G236" s="986">
        <v>0</v>
      </c>
      <c r="H236" s="986">
        <v>0</v>
      </c>
    </row>
    <row r="237" spans="1:8" x14ac:dyDescent="0.25">
      <c r="A237" s="520">
        <f t="shared" si="9"/>
        <v>135</v>
      </c>
      <c r="C237" s="499" t="s">
        <v>202</v>
      </c>
      <c r="D237" s="979" t="s">
        <v>1562</v>
      </c>
      <c r="E237" s="966">
        <v>0</v>
      </c>
      <c r="F237" s="966">
        <v>0</v>
      </c>
      <c r="G237" s="986">
        <v>0</v>
      </c>
      <c r="H237" s="986">
        <v>0</v>
      </c>
    </row>
    <row r="238" spans="1:8" x14ac:dyDescent="0.25">
      <c r="A238" s="520">
        <f t="shared" si="9"/>
        <v>136</v>
      </c>
      <c r="C238" s="497" t="s">
        <v>203</v>
      </c>
      <c r="D238" s="979" t="s">
        <v>1562</v>
      </c>
      <c r="E238" s="966">
        <v>0</v>
      </c>
      <c r="F238" s="966">
        <v>0</v>
      </c>
      <c r="G238" s="986">
        <v>0</v>
      </c>
      <c r="H238" s="986">
        <v>0</v>
      </c>
    </row>
    <row r="239" spans="1:8" x14ac:dyDescent="0.25">
      <c r="A239" s="520">
        <f t="shared" si="9"/>
        <v>137</v>
      </c>
      <c r="C239" s="497" t="s">
        <v>204</v>
      </c>
      <c r="D239" s="979" t="s">
        <v>1562</v>
      </c>
      <c r="E239" s="966">
        <v>0</v>
      </c>
      <c r="F239" s="966">
        <v>0</v>
      </c>
      <c r="G239" s="986">
        <v>0</v>
      </c>
      <c r="H239" s="986">
        <v>0</v>
      </c>
    </row>
    <row r="240" spans="1:8" x14ac:dyDescent="0.25">
      <c r="A240" s="520">
        <f t="shared" si="9"/>
        <v>138</v>
      </c>
      <c r="C240" s="499" t="s">
        <v>205</v>
      </c>
      <c r="D240" s="979" t="s">
        <v>1562</v>
      </c>
      <c r="E240" s="966">
        <v>0</v>
      </c>
      <c r="F240" s="966">
        <v>0</v>
      </c>
      <c r="G240" s="986">
        <v>0</v>
      </c>
      <c r="H240" s="986">
        <v>0</v>
      </c>
    </row>
    <row r="241" spans="1:8" x14ac:dyDescent="0.25">
      <c r="A241" s="520">
        <f t="shared" si="9"/>
        <v>139</v>
      </c>
      <c r="C241" s="497" t="s">
        <v>206</v>
      </c>
      <c r="D241" s="979" t="s">
        <v>1562</v>
      </c>
      <c r="E241" s="966">
        <v>0</v>
      </c>
      <c r="F241" s="966">
        <v>0</v>
      </c>
      <c r="G241" s="986">
        <v>0</v>
      </c>
      <c r="H241" s="986">
        <v>0</v>
      </c>
    </row>
    <row r="242" spans="1:8" x14ac:dyDescent="0.25">
      <c r="A242" s="520">
        <f t="shared" si="9"/>
        <v>140</v>
      </c>
      <c r="C242" s="497" t="s">
        <v>207</v>
      </c>
      <c r="D242" s="979" t="s">
        <v>1562</v>
      </c>
      <c r="E242" s="966">
        <v>0</v>
      </c>
      <c r="F242" s="966">
        <v>0</v>
      </c>
      <c r="G242" s="986">
        <v>0</v>
      </c>
      <c r="H242" s="986">
        <v>0</v>
      </c>
    </row>
    <row r="243" spans="1:8" x14ac:dyDescent="0.25">
      <c r="A243" s="520">
        <f t="shared" si="9"/>
        <v>141</v>
      </c>
      <c r="C243" s="499" t="s">
        <v>208</v>
      </c>
      <c r="D243" s="979" t="s">
        <v>1562</v>
      </c>
      <c r="E243" s="966">
        <v>0</v>
      </c>
      <c r="F243" s="966">
        <v>0</v>
      </c>
      <c r="G243" s="986">
        <v>0</v>
      </c>
      <c r="H243" s="986">
        <v>0</v>
      </c>
    </row>
    <row r="244" spans="1:8" x14ac:dyDescent="0.25">
      <c r="A244" s="520">
        <f t="shared" si="9"/>
        <v>142</v>
      </c>
      <c r="C244" s="499" t="s">
        <v>209</v>
      </c>
      <c r="D244" s="979" t="s">
        <v>1562</v>
      </c>
      <c r="E244" s="966">
        <v>0</v>
      </c>
      <c r="F244" s="966">
        <v>0</v>
      </c>
      <c r="G244" s="986">
        <v>0</v>
      </c>
      <c r="H244" s="986">
        <v>0</v>
      </c>
    </row>
    <row r="245" spans="1:8" x14ac:dyDescent="0.25">
      <c r="A245" s="520">
        <f t="shared" si="9"/>
        <v>143</v>
      </c>
      <c r="C245" s="499" t="s">
        <v>199</v>
      </c>
      <c r="D245" s="979" t="s">
        <v>1562</v>
      </c>
      <c r="E245" s="966">
        <v>0</v>
      </c>
      <c r="F245" s="966">
        <v>0</v>
      </c>
      <c r="G245" s="986">
        <v>0</v>
      </c>
      <c r="H245" s="986">
        <v>0</v>
      </c>
    </row>
    <row r="247" spans="1:8" x14ac:dyDescent="0.25">
      <c r="C247" s="172" t="s">
        <v>1809</v>
      </c>
      <c r="H247" s="84" t="s">
        <v>380</v>
      </c>
    </row>
    <row r="248" spans="1:8" x14ac:dyDescent="0.25">
      <c r="E248" s="84" t="s">
        <v>394</v>
      </c>
      <c r="F248" s="84" t="s">
        <v>378</v>
      </c>
      <c r="G248" s="84" t="s">
        <v>379</v>
      </c>
      <c r="H248" s="475" t="s">
        <v>1886</v>
      </c>
    </row>
    <row r="249" spans="1:8" x14ac:dyDescent="0.25">
      <c r="C249" s="520" t="s">
        <v>589</v>
      </c>
      <c r="G249" s="475" t="s">
        <v>1885</v>
      </c>
      <c r="H249" s="467" t="s">
        <v>1887</v>
      </c>
    </row>
    <row r="250" spans="1:8" x14ac:dyDescent="0.25">
      <c r="C250" s="520" t="s">
        <v>212</v>
      </c>
      <c r="E250" s="520" t="s">
        <v>414</v>
      </c>
      <c r="F250" s="520" t="s">
        <v>1761</v>
      </c>
      <c r="G250" s="520" t="s">
        <v>1090</v>
      </c>
      <c r="H250" s="520" t="s">
        <v>1254</v>
      </c>
    </row>
    <row r="251" spans="1:8" x14ac:dyDescent="0.25">
      <c r="C251" s="24" t="s">
        <v>211</v>
      </c>
      <c r="D251" s="24" t="s">
        <v>212</v>
      </c>
      <c r="E251" s="3" t="s">
        <v>1762</v>
      </c>
      <c r="F251" s="3" t="s">
        <v>1203</v>
      </c>
      <c r="G251" s="3" t="s">
        <v>3</v>
      </c>
      <c r="H251" s="3" t="s">
        <v>1757</v>
      </c>
    </row>
    <row r="252" spans="1:8" x14ac:dyDescent="0.25">
      <c r="A252" s="520">
        <f>A245+1</f>
        <v>144</v>
      </c>
      <c r="C252" s="499" t="s">
        <v>199</v>
      </c>
      <c r="D252" s="979" t="s">
        <v>1562</v>
      </c>
      <c r="E252" s="966">
        <v>0</v>
      </c>
      <c r="F252" s="966">
        <v>0</v>
      </c>
      <c r="G252" s="986">
        <v>0</v>
      </c>
      <c r="H252" s="986">
        <v>0</v>
      </c>
    </row>
    <row r="253" spans="1:8" x14ac:dyDescent="0.25">
      <c r="A253" s="520">
        <f>A252+1</f>
        <v>145</v>
      </c>
      <c r="C253" s="499" t="s">
        <v>200</v>
      </c>
      <c r="D253" s="979" t="s">
        <v>1562</v>
      </c>
      <c r="E253" s="966">
        <v>0</v>
      </c>
      <c r="F253" s="966">
        <v>0</v>
      </c>
      <c r="G253" s="986">
        <v>0</v>
      </c>
      <c r="H253" s="986">
        <v>0</v>
      </c>
    </row>
    <row r="254" spans="1:8" x14ac:dyDescent="0.25">
      <c r="A254" s="520">
        <f t="shared" ref="A254:A264" si="10">A253+1</f>
        <v>146</v>
      </c>
      <c r="C254" s="497" t="s">
        <v>201</v>
      </c>
      <c r="D254" s="979" t="s">
        <v>1562</v>
      </c>
      <c r="E254" s="966">
        <v>0</v>
      </c>
      <c r="F254" s="966">
        <v>0</v>
      </c>
      <c r="G254" s="986">
        <v>0</v>
      </c>
      <c r="H254" s="986">
        <v>0</v>
      </c>
    </row>
    <row r="255" spans="1:8" x14ac:dyDescent="0.25">
      <c r="A255" s="520">
        <f t="shared" si="10"/>
        <v>147</v>
      </c>
      <c r="C255" s="497" t="s">
        <v>214</v>
      </c>
      <c r="D255" s="979" t="s">
        <v>1562</v>
      </c>
      <c r="E255" s="966">
        <v>0</v>
      </c>
      <c r="F255" s="966">
        <v>0</v>
      </c>
      <c r="G255" s="986">
        <v>0</v>
      </c>
      <c r="H255" s="986">
        <v>0</v>
      </c>
    </row>
    <row r="256" spans="1:8" x14ac:dyDescent="0.25">
      <c r="A256" s="520">
        <f t="shared" si="10"/>
        <v>148</v>
      </c>
      <c r="C256" s="499" t="s">
        <v>202</v>
      </c>
      <c r="D256" s="979" t="s">
        <v>1562</v>
      </c>
      <c r="E256" s="966">
        <v>0</v>
      </c>
      <c r="F256" s="966">
        <v>0</v>
      </c>
      <c r="G256" s="986">
        <v>0</v>
      </c>
      <c r="H256" s="986">
        <v>0</v>
      </c>
    </row>
    <row r="257" spans="1:8" x14ac:dyDescent="0.25">
      <c r="A257" s="520">
        <f t="shared" si="10"/>
        <v>149</v>
      </c>
      <c r="C257" s="497" t="s">
        <v>203</v>
      </c>
      <c r="D257" s="979" t="s">
        <v>1562</v>
      </c>
      <c r="E257" s="966">
        <v>0</v>
      </c>
      <c r="F257" s="966">
        <v>0</v>
      </c>
      <c r="G257" s="986">
        <v>0</v>
      </c>
      <c r="H257" s="986">
        <v>0</v>
      </c>
    </row>
    <row r="258" spans="1:8" x14ac:dyDescent="0.25">
      <c r="A258" s="520">
        <f t="shared" si="10"/>
        <v>150</v>
      </c>
      <c r="C258" s="497" t="s">
        <v>204</v>
      </c>
      <c r="D258" s="979" t="s">
        <v>1562</v>
      </c>
      <c r="E258" s="966">
        <v>0</v>
      </c>
      <c r="F258" s="966">
        <v>0</v>
      </c>
      <c r="G258" s="986">
        <v>0</v>
      </c>
      <c r="H258" s="986">
        <v>0</v>
      </c>
    </row>
    <row r="259" spans="1:8" x14ac:dyDescent="0.25">
      <c r="A259" s="520">
        <f t="shared" si="10"/>
        <v>151</v>
      </c>
      <c r="C259" s="499" t="s">
        <v>205</v>
      </c>
      <c r="D259" s="979" t="s">
        <v>1562</v>
      </c>
      <c r="E259" s="966">
        <v>0</v>
      </c>
      <c r="F259" s="966">
        <v>0</v>
      </c>
      <c r="G259" s="986">
        <v>0</v>
      </c>
      <c r="H259" s="986">
        <v>0</v>
      </c>
    </row>
    <row r="260" spans="1:8" x14ac:dyDescent="0.25">
      <c r="A260" s="520">
        <f t="shared" si="10"/>
        <v>152</v>
      </c>
      <c r="C260" s="497" t="s">
        <v>206</v>
      </c>
      <c r="D260" s="979" t="s">
        <v>1562</v>
      </c>
      <c r="E260" s="966">
        <v>0</v>
      </c>
      <c r="F260" s="966">
        <v>0</v>
      </c>
      <c r="G260" s="986">
        <v>0</v>
      </c>
      <c r="H260" s="986">
        <v>0</v>
      </c>
    </row>
    <row r="261" spans="1:8" x14ac:dyDescent="0.25">
      <c r="A261" s="520">
        <f t="shared" si="10"/>
        <v>153</v>
      </c>
      <c r="C261" s="497" t="s">
        <v>207</v>
      </c>
      <c r="D261" s="979" t="s">
        <v>1562</v>
      </c>
      <c r="E261" s="966">
        <v>0</v>
      </c>
      <c r="F261" s="966">
        <v>0</v>
      </c>
      <c r="G261" s="986">
        <v>0</v>
      </c>
      <c r="H261" s="986">
        <v>0</v>
      </c>
    </row>
    <row r="262" spans="1:8" x14ac:dyDescent="0.25">
      <c r="A262" s="520">
        <f t="shared" si="10"/>
        <v>154</v>
      </c>
      <c r="C262" s="499" t="s">
        <v>208</v>
      </c>
      <c r="D262" s="979" t="s">
        <v>1562</v>
      </c>
      <c r="E262" s="966">
        <v>0</v>
      </c>
      <c r="F262" s="966">
        <v>0</v>
      </c>
      <c r="G262" s="986">
        <v>0</v>
      </c>
      <c r="H262" s="986">
        <v>0</v>
      </c>
    </row>
    <row r="263" spans="1:8" x14ac:dyDescent="0.25">
      <c r="A263" s="520">
        <f t="shared" si="10"/>
        <v>155</v>
      </c>
      <c r="C263" s="499" t="s">
        <v>209</v>
      </c>
      <c r="D263" s="979" t="s">
        <v>1562</v>
      </c>
      <c r="E263" s="966">
        <v>0</v>
      </c>
      <c r="F263" s="966">
        <v>0</v>
      </c>
      <c r="G263" s="986">
        <v>0</v>
      </c>
      <c r="H263" s="986">
        <v>0</v>
      </c>
    </row>
    <row r="264" spans="1:8" x14ac:dyDescent="0.25">
      <c r="A264" s="520">
        <f t="shared" si="10"/>
        <v>156</v>
      </c>
      <c r="C264" s="499" t="s">
        <v>199</v>
      </c>
      <c r="D264" s="979" t="s">
        <v>1562</v>
      </c>
      <c r="E264" s="966">
        <v>0</v>
      </c>
      <c r="F264" s="966">
        <v>0</v>
      </c>
      <c r="G264" s="986">
        <v>0</v>
      </c>
      <c r="H264" s="986">
        <v>0</v>
      </c>
    </row>
    <row r="266" spans="1:8" x14ac:dyDescent="0.25">
      <c r="C266" s="172" t="s">
        <v>1768</v>
      </c>
      <c r="E266" s="84" t="s">
        <v>394</v>
      </c>
      <c r="F266" s="84" t="s">
        <v>378</v>
      </c>
      <c r="G266" s="84" t="s">
        <v>379</v>
      </c>
      <c r="H266" s="84" t="s">
        <v>380</v>
      </c>
    </row>
    <row r="267" spans="1:8" x14ac:dyDescent="0.25">
      <c r="G267" s="475" t="s">
        <v>1885</v>
      </c>
      <c r="H267" s="475" t="s">
        <v>1886</v>
      </c>
    </row>
    <row r="268" spans="1:8" x14ac:dyDescent="0.25">
      <c r="C268" s="520" t="s">
        <v>589</v>
      </c>
      <c r="H268" s="467" t="s">
        <v>1887</v>
      </c>
    </row>
    <row r="269" spans="1:8" x14ac:dyDescent="0.25">
      <c r="C269" s="520" t="s">
        <v>212</v>
      </c>
      <c r="E269" s="520" t="s">
        <v>414</v>
      </c>
      <c r="F269" s="520" t="s">
        <v>1761</v>
      </c>
      <c r="G269" s="520" t="s">
        <v>1090</v>
      </c>
      <c r="H269" s="520" t="s">
        <v>1254</v>
      </c>
    </row>
    <row r="270" spans="1:8" x14ac:dyDescent="0.25">
      <c r="C270" s="24" t="s">
        <v>211</v>
      </c>
      <c r="D270" s="24" t="s">
        <v>212</v>
      </c>
      <c r="E270" s="3" t="s">
        <v>1762</v>
      </c>
      <c r="F270" s="3" t="s">
        <v>1203</v>
      </c>
      <c r="G270" s="3" t="s">
        <v>3</v>
      </c>
      <c r="H270" s="3" t="s">
        <v>1757</v>
      </c>
    </row>
    <row r="271" spans="1:8" x14ac:dyDescent="0.25">
      <c r="A271" s="520">
        <f>A264+1</f>
        <v>157</v>
      </c>
      <c r="C271" s="499" t="s">
        <v>199</v>
      </c>
      <c r="D271" s="979" t="s">
        <v>1562</v>
      </c>
      <c r="E271" s="966">
        <v>0</v>
      </c>
      <c r="F271" s="966">
        <v>0</v>
      </c>
      <c r="G271" s="986">
        <v>0</v>
      </c>
      <c r="H271" s="986">
        <v>0</v>
      </c>
    </row>
    <row r="272" spans="1:8" x14ac:dyDescent="0.25">
      <c r="A272" s="520">
        <f>A271+1</f>
        <v>158</v>
      </c>
      <c r="C272" s="499" t="s">
        <v>200</v>
      </c>
      <c r="D272" s="979" t="s">
        <v>1562</v>
      </c>
      <c r="E272" s="966">
        <v>0</v>
      </c>
      <c r="F272" s="966">
        <v>0</v>
      </c>
      <c r="G272" s="986">
        <v>0</v>
      </c>
      <c r="H272" s="986">
        <v>0</v>
      </c>
    </row>
    <row r="273" spans="1:8" x14ac:dyDescent="0.25">
      <c r="A273" s="520">
        <f t="shared" ref="A273:A283" si="11">A272+1</f>
        <v>159</v>
      </c>
      <c r="C273" s="497" t="s">
        <v>201</v>
      </c>
      <c r="D273" s="979" t="s">
        <v>1562</v>
      </c>
      <c r="E273" s="966">
        <v>0</v>
      </c>
      <c r="F273" s="966">
        <v>0</v>
      </c>
      <c r="G273" s="986">
        <v>0</v>
      </c>
      <c r="H273" s="986">
        <v>0</v>
      </c>
    </row>
    <row r="274" spans="1:8" x14ac:dyDescent="0.25">
      <c r="A274" s="520">
        <f t="shared" si="11"/>
        <v>160</v>
      </c>
      <c r="C274" s="497" t="s">
        <v>214</v>
      </c>
      <c r="D274" s="979" t="s">
        <v>1562</v>
      </c>
      <c r="E274" s="966">
        <v>0</v>
      </c>
      <c r="F274" s="966">
        <v>0</v>
      </c>
      <c r="G274" s="986">
        <v>0</v>
      </c>
      <c r="H274" s="986">
        <v>0</v>
      </c>
    </row>
    <row r="275" spans="1:8" x14ac:dyDescent="0.25">
      <c r="A275" s="520">
        <f t="shared" si="11"/>
        <v>161</v>
      </c>
      <c r="C275" s="499" t="s">
        <v>202</v>
      </c>
      <c r="D275" s="979" t="s">
        <v>1562</v>
      </c>
      <c r="E275" s="966">
        <v>0</v>
      </c>
      <c r="F275" s="966">
        <v>0</v>
      </c>
      <c r="G275" s="986">
        <v>0</v>
      </c>
      <c r="H275" s="986">
        <v>0</v>
      </c>
    </row>
    <row r="276" spans="1:8" x14ac:dyDescent="0.25">
      <c r="A276" s="520">
        <f t="shared" si="11"/>
        <v>162</v>
      </c>
      <c r="C276" s="497" t="s">
        <v>203</v>
      </c>
      <c r="D276" s="979" t="s">
        <v>1562</v>
      </c>
      <c r="E276" s="966">
        <v>0</v>
      </c>
      <c r="F276" s="966">
        <v>0</v>
      </c>
      <c r="G276" s="986">
        <v>0</v>
      </c>
      <c r="H276" s="986">
        <v>0</v>
      </c>
    </row>
    <row r="277" spans="1:8" x14ac:dyDescent="0.25">
      <c r="A277" s="520">
        <f t="shared" si="11"/>
        <v>163</v>
      </c>
      <c r="C277" s="497" t="s">
        <v>204</v>
      </c>
      <c r="D277" s="979" t="s">
        <v>1562</v>
      </c>
      <c r="E277" s="966">
        <v>0</v>
      </c>
      <c r="F277" s="966">
        <v>0</v>
      </c>
      <c r="G277" s="986">
        <v>0</v>
      </c>
      <c r="H277" s="986">
        <v>0</v>
      </c>
    </row>
    <row r="278" spans="1:8" x14ac:dyDescent="0.25">
      <c r="A278" s="520">
        <f t="shared" si="11"/>
        <v>164</v>
      </c>
      <c r="C278" s="499" t="s">
        <v>205</v>
      </c>
      <c r="D278" s="979" t="s">
        <v>1562</v>
      </c>
      <c r="E278" s="966">
        <v>0</v>
      </c>
      <c r="F278" s="966">
        <v>0</v>
      </c>
      <c r="G278" s="986">
        <v>0</v>
      </c>
      <c r="H278" s="986">
        <v>0</v>
      </c>
    </row>
    <row r="279" spans="1:8" x14ac:dyDescent="0.25">
      <c r="A279" s="520">
        <f t="shared" si="11"/>
        <v>165</v>
      </c>
      <c r="C279" s="497" t="s">
        <v>206</v>
      </c>
      <c r="D279" s="979" t="s">
        <v>1562</v>
      </c>
      <c r="E279" s="966">
        <v>0</v>
      </c>
      <c r="F279" s="966">
        <v>0</v>
      </c>
      <c r="G279" s="986">
        <v>0</v>
      </c>
      <c r="H279" s="986">
        <v>0</v>
      </c>
    </row>
    <row r="280" spans="1:8" x14ac:dyDescent="0.25">
      <c r="A280" s="520">
        <f t="shared" si="11"/>
        <v>166</v>
      </c>
      <c r="C280" s="497" t="s">
        <v>207</v>
      </c>
      <c r="D280" s="979" t="s">
        <v>1562</v>
      </c>
      <c r="E280" s="966">
        <v>0</v>
      </c>
      <c r="F280" s="966">
        <v>0</v>
      </c>
      <c r="G280" s="986">
        <v>0</v>
      </c>
      <c r="H280" s="986">
        <v>0</v>
      </c>
    </row>
    <row r="281" spans="1:8" x14ac:dyDescent="0.25">
      <c r="A281" s="520">
        <f t="shared" si="11"/>
        <v>167</v>
      </c>
      <c r="C281" s="499" t="s">
        <v>208</v>
      </c>
      <c r="D281" s="979" t="s">
        <v>1562</v>
      </c>
      <c r="E281" s="966">
        <v>0</v>
      </c>
      <c r="F281" s="966">
        <v>0</v>
      </c>
      <c r="G281" s="986">
        <v>0</v>
      </c>
      <c r="H281" s="986">
        <v>0</v>
      </c>
    </row>
    <row r="282" spans="1:8" x14ac:dyDescent="0.25">
      <c r="A282" s="520">
        <f t="shared" si="11"/>
        <v>168</v>
      </c>
      <c r="C282" s="499" t="s">
        <v>209</v>
      </c>
      <c r="D282" s="979" t="s">
        <v>1562</v>
      </c>
      <c r="E282" s="966">
        <v>0</v>
      </c>
      <c r="F282" s="966">
        <v>0</v>
      </c>
      <c r="G282" s="986">
        <v>0</v>
      </c>
      <c r="H282" s="986">
        <v>0</v>
      </c>
    </row>
    <row r="283" spans="1:8" x14ac:dyDescent="0.25">
      <c r="A283" s="520">
        <f t="shared" si="11"/>
        <v>169</v>
      </c>
      <c r="C283" s="499" t="s">
        <v>199</v>
      </c>
      <c r="D283" s="979" t="s">
        <v>1562</v>
      </c>
      <c r="E283" s="966">
        <v>0</v>
      </c>
      <c r="F283" s="966">
        <v>0</v>
      </c>
      <c r="G283" s="986">
        <v>0</v>
      </c>
      <c r="H283" s="986">
        <v>0</v>
      </c>
    </row>
    <row r="285" spans="1:8" x14ac:dyDescent="0.25">
      <c r="C285" s="172" t="s">
        <v>1769</v>
      </c>
      <c r="E285" s="84" t="s">
        <v>394</v>
      </c>
      <c r="F285" s="84" t="s">
        <v>378</v>
      </c>
      <c r="G285" s="84" t="s">
        <v>379</v>
      </c>
      <c r="H285" s="84" t="s">
        <v>380</v>
      </c>
    </row>
    <row r="286" spans="1:8" x14ac:dyDescent="0.25">
      <c r="G286" s="475" t="s">
        <v>1885</v>
      </c>
      <c r="H286" s="475" t="s">
        <v>1886</v>
      </c>
    </row>
    <row r="287" spans="1:8" x14ac:dyDescent="0.25">
      <c r="C287" s="520" t="s">
        <v>589</v>
      </c>
      <c r="H287" s="467" t="s">
        <v>1887</v>
      </c>
    </row>
    <row r="288" spans="1:8" x14ac:dyDescent="0.25">
      <c r="C288" s="520" t="s">
        <v>212</v>
      </c>
      <c r="E288" s="520" t="s">
        <v>414</v>
      </c>
      <c r="F288" s="520" t="s">
        <v>1761</v>
      </c>
      <c r="G288" s="520" t="s">
        <v>1090</v>
      </c>
      <c r="H288" s="520" t="s">
        <v>1254</v>
      </c>
    </row>
    <row r="289" spans="1:8" x14ac:dyDescent="0.25">
      <c r="C289" s="24" t="s">
        <v>211</v>
      </c>
      <c r="D289" s="24" t="s">
        <v>212</v>
      </c>
      <c r="E289" s="3" t="s">
        <v>1762</v>
      </c>
      <c r="F289" s="3" t="s">
        <v>1203</v>
      </c>
      <c r="G289" s="3" t="s">
        <v>3</v>
      </c>
      <c r="H289" s="3" t="s">
        <v>1757</v>
      </c>
    </row>
    <row r="290" spans="1:8" x14ac:dyDescent="0.25">
      <c r="A290" s="520">
        <f>A283+1</f>
        <v>170</v>
      </c>
      <c r="C290" s="499" t="s">
        <v>199</v>
      </c>
      <c r="D290" s="979" t="s">
        <v>1562</v>
      </c>
      <c r="E290" s="966">
        <v>0</v>
      </c>
      <c r="F290" s="966">
        <v>0</v>
      </c>
      <c r="G290" s="986">
        <v>0</v>
      </c>
      <c r="H290" s="986">
        <v>0</v>
      </c>
    </row>
    <row r="291" spans="1:8" x14ac:dyDescent="0.25">
      <c r="A291" s="520">
        <f>A290+1</f>
        <v>171</v>
      </c>
      <c r="C291" s="499" t="s">
        <v>200</v>
      </c>
      <c r="D291" s="979" t="s">
        <v>1562</v>
      </c>
      <c r="E291" s="966">
        <v>0</v>
      </c>
      <c r="F291" s="966">
        <v>0</v>
      </c>
      <c r="G291" s="986">
        <v>0</v>
      </c>
      <c r="H291" s="986">
        <v>0</v>
      </c>
    </row>
    <row r="292" spans="1:8" x14ac:dyDescent="0.25">
      <c r="A292" s="520">
        <f t="shared" ref="A292:A302" si="12">A291+1</f>
        <v>172</v>
      </c>
      <c r="C292" s="497" t="s">
        <v>201</v>
      </c>
      <c r="D292" s="979" t="s">
        <v>1562</v>
      </c>
      <c r="E292" s="966">
        <v>0</v>
      </c>
      <c r="F292" s="966">
        <v>0</v>
      </c>
      <c r="G292" s="986">
        <v>0</v>
      </c>
      <c r="H292" s="986">
        <v>0</v>
      </c>
    </row>
    <row r="293" spans="1:8" x14ac:dyDescent="0.25">
      <c r="A293" s="520">
        <f t="shared" si="12"/>
        <v>173</v>
      </c>
      <c r="C293" s="497" t="s">
        <v>214</v>
      </c>
      <c r="D293" s="979" t="s">
        <v>1562</v>
      </c>
      <c r="E293" s="966">
        <v>0</v>
      </c>
      <c r="F293" s="966">
        <v>0</v>
      </c>
      <c r="G293" s="986">
        <v>0</v>
      </c>
      <c r="H293" s="986">
        <v>0</v>
      </c>
    </row>
    <row r="294" spans="1:8" x14ac:dyDescent="0.25">
      <c r="A294" s="520">
        <f t="shared" si="12"/>
        <v>174</v>
      </c>
      <c r="C294" s="499" t="s">
        <v>202</v>
      </c>
      <c r="D294" s="979" t="s">
        <v>1562</v>
      </c>
      <c r="E294" s="966">
        <v>0</v>
      </c>
      <c r="F294" s="966">
        <v>0</v>
      </c>
      <c r="G294" s="986">
        <v>0</v>
      </c>
      <c r="H294" s="986">
        <v>0</v>
      </c>
    </row>
    <row r="295" spans="1:8" x14ac:dyDescent="0.25">
      <c r="A295" s="520">
        <f t="shared" si="12"/>
        <v>175</v>
      </c>
      <c r="C295" s="497" t="s">
        <v>203</v>
      </c>
      <c r="D295" s="979" t="s">
        <v>1562</v>
      </c>
      <c r="E295" s="966">
        <v>0</v>
      </c>
      <c r="F295" s="966">
        <v>0</v>
      </c>
      <c r="G295" s="986">
        <v>0</v>
      </c>
      <c r="H295" s="986">
        <v>0</v>
      </c>
    </row>
    <row r="296" spans="1:8" x14ac:dyDescent="0.25">
      <c r="A296" s="520">
        <f t="shared" si="12"/>
        <v>176</v>
      </c>
      <c r="C296" s="497" t="s">
        <v>204</v>
      </c>
      <c r="D296" s="979" t="s">
        <v>1562</v>
      </c>
      <c r="E296" s="966">
        <v>0</v>
      </c>
      <c r="F296" s="966">
        <v>0</v>
      </c>
      <c r="G296" s="986">
        <v>0</v>
      </c>
      <c r="H296" s="986">
        <v>0</v>
      </c>
    </row>
    <row r="297" spans="1:8" x14ac:dyDescent="0.25">
      <c r="A297" s="520">
        <f t="shared" si="12"/>
        <v>177</v>
      </c>
      <c r="C297" s="499" t="s">
        <v>205</v>
      </c>
      <c r="D297" s="979" t="s">
        <v>1562</v>
      </c>
      <c r="E297" s="966">
        <v>0</v>
      </c>
      <c r="F297" s="966">
        <v>0</v>
      </c>
      <c r="G297" s="986">
        <v>0</v>
      </c>
      <c r="H297" s="986">
        <v>0</v>
      </c>
    </row>
    <row r="298" spans="1:8" x14ac:dyDescent="0.25">
      <c r="A298" s="520">
        <f t="shared" si="12"/>
        <v>178</v>
      </c>
      <c r="C298" s="497" t="s">
        <v>206</v>
      </c>
      <c r="D298" s="979" t="s">
        <v>1562</v>
      </c>
      <c r="E298" s="966">
        <v>0</v>
      </c>
      <c r="F298" s="966">
        <v>0</v>
      </c>
      <c r="G298" s="986">
        <v>0</v>
      </c>
      <c r="H298" s="986">
        <v>0</v>
      </c>
    </row>
    <row r="299" spans="1:8" x14ac:dyDescent="0.25">
      <c r="A299" s="520">
        <f t="shared" si="12"/>
        <v>179</v>
      </c>
      <c r="C299" s="497" t="s">
        <v>207</v>
      </c>
      <c r="D299" s="979" t="s">
        <v>1562</v>
      </c>
      <c r="E299" s="966">
        <v>0</v>
      </c>
      <c r="F299" s="966">
        <v>0</v>
      </c>
      <c r="G299" s="986">
        <v>0</v>
      </c>
      <c r="H299" s="986">
        <v>0</v>
      </c>
    </row>
    <row r="300" spans="1:8" x14ac:dyDescent="0.25">
      <c r="A300" s="520">
        <f t="shared" si="12"/>
        <v>180</v>
      </c>
      <c r="C300" s="499" t="s">
        <v>208</v>
      </c>
      <c r="D300" s="979" t="s">
        <v>1562</v>
      </c>
      <c r="E300" s="966">
        <v>0</v>
      </c>
      <c r="F300" s="966">
        <v>0</v>
      </c>
      <c r="G300" s="986">
        <v>0</v>
      </c>
      <c r="H300" s="986">
        <v>0</v>
      </c>
    </row>
    <row r="301" spans="1:8" x14ac:dyDescent="0.25">
      <c r="A301" s="520">
        <f t="shared" si="12"/>
        <v>181</v>
      </c>
      <c r="C301" s="499" t="s">
        <v>209</v>
      </c>
      <c r="D301" s="979" t="s">
        <v>1562</v>
      </c>
      <c r="E301" s="966">
        <v>0</v>
      </c>
      <c r="F301" s="966">
        <v>0</v>
      </c>
      <c r="G301" s="986">
        <v>0</v>
      </c>
      <c r="H301" s="986">
        <v>0</v>
      </c>
    </row>
    <row r="302" spans="1:8" x14ac:dyDescent="0.25">
      <c r="A302" s="520">
        <f t="shared" si="12"/>
        <v>182</v>
      </c>
      <c r="C302" s="499" t="s">
        <v>199</v>
      </c>
      <c r="D302" s="979" t="s">
        <v>1562</v>
      </c>
      <c r="E302" s="966">
        <v>0</v>
      </c>
      <c r="F302" s="966">
        <v>0</v>
      </c>
      <c r="G302" s="986">
        <v>0</v>
      </c>
      <c r="H302" s="986">
        <v>0</v>
      </c>
    </row>
    <row r="304" spans="1:8" x14ac:dyDescent="0.25">
      <c r="B304" s="1"/>
      <c r="C304" s="1" t="s">
        <v>1770</v>
      </c>
      <c r="D304" s="464"/>
      <c r="E304" s="6"/>
    </row>
    <row r="305" spans="1:10" x14ac:dyDescent="0.25">
      <c r="B305" s="1"/>
    </row>
    <row r="306" spans="1:10" x14ac:dyDescent="0.25">
      <c r="C306" s="377" t="s">
        <v>1225</v>
      </c>
      <c r="D306" s="94"/>
      <c r="E306" s="94"/>
      <c r="F306" s="94"/>
      <c r="G306" s="171" t="s">
        <v>1227</v>
      </c>
      <c r="H306" s="94"/>
      <c r="I306" s="94"/>
      <c r="J306" s="94"/>
    </row>
    <row r="307" spans="1:10" x14ac:dyDescent="0.25">
      <c r="A307" s="520">
        <f>A302+1</f>
        <v>183</v>
      </c>
      <c r="C307" s="525" t="s">
        <v>245</v>
      </c>
      <c r="D307" s="94"/>
      <c r="E307" s="378"/>
      <c r="F307" s="537" t="s">
        <v>1562</v>
      </c>
      <c r="G307" s="537" t="s">
        <v>1562</v>
      </c>
      <c r="H307" s="94"/>
      <c r="I307" s="94"/>
      <c r="J307" s="94"/>
    </row>
    <row r="308" spans="1:10" x14ac:dyDescent="0.25">
      <c r="A308" s="520">
        <f>A307+1</f>
        <v>184</v>
      </c>
      <c r="C308" s="368" t="s">
        <v>247</v>
      </c>
      <c r="D308" s="94"/>
      <c r="E308" s="379"/>
      <c r="F308" s="1015" t="s">
        <v>2690</v>
      </c>
      <c r="G308" s="537" t="s">
        <v>1562</v>
      </c>
      <c r="H308" s="94"/>
      <c r="I308" s="94"/>
      <c r="J308" s="94"/>
    </row>
    <row r="309" spans="1:10" x14ac:dyDescent="0.25">
      <c r="A309" s="520">
        <f>A308+1</f>
        <v>185</v>
      </c>
      <c r="C309" s="368" t="s">
        <v>1224</v>
      </c>
      <c r="D309" s="94"/>
      <c r="E309" s="378"/>
      <c r="F309" s="537" t="s">
        <v>1562</v>
      </c>
      <c r="G309" s="537" t="s">
        <v>1562</v>
      </c>
      <c r="H309" s="94"/>
      <c r="I309" s="94"/>
      <c r="J309" s="94"/>
    </row>
    <row r="310" spans="1:10" x14ac:dyDescent="0.25">
      <c r="C310" s="94"/>
      <c r="D310" s="94"/>
      <c r="E310" s="378"/>
      <c r="F310" s="371"/>
      <c r="G310" s="94"/>
      <c r="H310" s="94"/>
      <c r="I310" s="94"/>
      <c r="J310" s="94"/>
    </row>
    <row r="311" spans="1:10" x14ac:dyDescent="0.25">
      <c r="C311" s="377" t="s">
        <v>1226</v>
      </c>
      <c r="D311" s="94"/>
      <c r="E311" s="94"/>
      <c r="F311" s="371"/>
      <c r="G311" s="171" t="s">
        <v>1227</v>
      </c>
      <c r="H311" s="94"/>
      <c r="I311" s="94"/>
      <c r="J311" s="94"/>
    </row>
    <row r="312" spans="1:10" x14ac:dyDescent="0.25">
      <c r="A312" s="520">
        <f>A309+1</f>
        <v>186</v>
      </c>
      <c r="C312" s="525" t="s">
        <v>245</v>
      </c>
      <c r="D312" s="94"/>
      <c r="E312" s="378"/>
      <c r="F312" s="537" t="s">
        <v>1562</v>
      </c>
      <c r="G312" s="537" t="s">
        <v>1562</v>
      </c>
      <c r="H312" s="94"/>
      <c r="I312" s="94"/>
      <c r="J312" s="94"/>
    </row>
    <row r="313" spans="1:10" x14ac:dyDescent="0.25">
      <c r="A313" s="520">
        <f>A312+1</f>
        <v>187</v>
      </c>
      <c r="C313" s="368" t="s">
        <v>247</v>
      </c>
      <c r="D313" s="94"/>
      <c r="E313" s="379"/>
      <c r="F313" s="1015" t="s">
        <v>2690</v>
      </c>
      <c r="G313" s="537" t="s">
        <v>1562</v>
      </c>
      <c r="H313" s="94"/>
      <c r="I313" s="94"/>
      <c r="J313" s="94"/>
    </row>
    <row r="314" spans="1:10" x14ac:dyDescent="0.25">
      <c r="A314" s="520">
        <f>A313+1</f>
        <v>188</v>
      </c>
      <c r="C314" s="368" t="s">
        <v>1224</v>
      </c>
      <c r="D314" s="94"/>
      <c r="E314" s="378"/>
      <c r="F314" s="537" t="s">
        <v>1562</v>
      </c>
      <c r="G314" s="537" t="s">
        <v>1562</v>
      </c>
      <c r="H314" s="94"/>
      <c r="I314" s="94"/>
      <c r="J314" s="94"/>
    </row>
    <row r="315" spans="1:10" x14ac:dyDescent="0.25">
      <c r="C315" s="368"/>
      <c r="D315" s="94"/>
      <c r="E315" s="378"/>
      <c r="F315" s="369"/>
      <c r="G315" s="94"/>
      <c r="H315" s="94"/>
      <c r="I315" s="94"/>
      <c r="J315" s="94"/>
    </row>
    <row r="316" spans="1:10" x14ac:dyDescent="0.25">
      <c r="C316" s="377" t="s">
        <v>1228</v>
      </c>
      <c r="D316" s="94"/>
      <c r="E316" s="476"/>
      <c r="F316" s="526"/>
      <c r="G316" s="171" t="s">
        <v>1227</v>
      </c>
      <c r="H316" s="94"/>
      <c r="I316" s="94"/>
      <c r="J316" s="94"/>
    </row>
    <row r="317" spans="1:10" x14ac:dyDescent="0.25">
      <c r="A317" s="520">
        <f>A314+1</f>
        <v>189</v>
      </c>
      <c r="C317" s="525" t="s">
        <v>245</v>
      </c>
      <c r="D317" s="94"/>
      <c r="E317" s="378"/>
      <c r="F317" s="537" t="s">
        <v>1562</v>
      </c>
      <c r="G317" s="537" t="s">
        <v>1562</v>
      </c>
      <c r="H317" s="94"/>
      <c r="I317" s="94"/>
      <c r="J317" s="94"/>
    </row>
    <row r="318" spans="1:10" x14ac:dyDescent="0.25">
      <c r="A318" s="520">
        <f>A317+1</f>
        <v>190</v>
      </c>
      <c r="C318" s="368" t="s">
        <v>247</v>
      </c>
      <c r="D318" s="94"/>
      <c r="E318" s="379"/>
      <c r="F318" s="1015" t="s">
        <v>2690</v>
      </c>
      <c r="G318" s="537" t="s">
        <v>1562</v>
      </c>
      <c r="H318" s="94"/>
      <c r="I318" s="94"/>
      <c r="J318" s="94"/>
    </row>
    <row r="319" spans="1:10" x14ac:dyDescent="0.25">
      <c r="A319" s="520">
        <f>A318+1</f>
        <v>191</v>
      </c>
      <c r="C319" s="368"/>
      <c r="D319" s="94"/>
      <c r="E319" s="379"/>
      <c r="F319" s="537"/>
      <c r="G319" s="537"/>
      <c r="H319" s="94"/>
      <c r="I319" s="94"/>
      <c r="J319" s="94"/>
    </row>
    <row r="320" spans="1:10" x14ac:dyDescent="0.25">
      <c r="A320" s="520">
        <f>A319+1</f>
        <v>192</v>
      </c>
      <c r="C320" s="368" t="s">
        <v>1224</v>
      </c>
      <c r="D320" s="94"/>
      <c r="E320" s="378"/>
      <c r="F320" s="537" t="s">
        <v>1562</v>
      </c>
      <c r="G320" s="537" t="s">
        <v>1562</v>
      </c>
      <c r="H320" s="94"/>
      <c r="I320" s="94"/>
      <c r="J320" s="94"/>
    </row>
    <row r="321" spans="1:10" x14ac:dyDescent="0.25">
      <c r="C321" s="368"/>
      <c r="D321" s="94"/>
      <c r="E321" s="378"/>
      <c r="F321" s="369"/>
      <c r="G321" s="94"/>
      <c r="H321" s="94"/>
      <c r="I321" s="94"/>
      <c r="J321" s="94"/>
    </row>
    <row r="322" spans="1:10" x14ac:dyDescent="0.25">
      <c r="C322" s="377" t="s">
        <v>1229</v>
      </c>
      <c r="D322" s="94"/>
      <c r="E322" s="476"/>
      <c r="F322" s="526"/>
      <c r="G322" s="171" t="s">
        <v>1227</v>
      </c>
      <c r="H322" s="94"/>
      <c r="I322" s="94"/>
      <c r="J322" s="94"/>
    </row>
    <row r="323" spans="1:10" x14ac:dyDescent="0.25">
      <c r="A323" s="520">
        <f>A320+1</f>
        <v>193</v>
      </c>
      <c r="C323" s="525" t="s">
        <v>245</v>
      </c>
      <c r="D323" s="94"/>
      <c r="E323" s="378"/>
      <c r="F323" s="537" t="s">
        <v>1562</v>
      </c>
      <c r="G323" s="537" t="s">
        <v>1562</v>
      </c>
      <c r="H323" s="94"/>
      <c r="I323" s="94"/>
      <c r="J323" s="94"/>
    </row>
    <row r="324" spans="1:10" x14ac:dyDescent="0.25">
      <c r="A324" s="520">
        <f>A323+1</f>
        <v>194</v>
      </c>
      <c r="C324" s="525"/>
      <c r="D324" s="94"/>
      <c r="E324" s="378"/>
      <c r="F324" s="537"/>
      <c r="G324" s="537"/>
      <c r="H324" s="94"/>
      <c r="I324" s="94"/>
      <c r="J324" s="94"/>
    </row>
    <row r="325" spans="1:10" x14ac:dyDescent="0.25">
      <c r="A325" s="520">
        <f>A324+1</f>
        <v>195</v>
      </c>
      <c r="C325" s="368" t="s">
        <v>247</v>
      </c>
      <c r="D325" s="94"/>
      <c r="E325" s="379"/>
      <c r="F325" s="1015" t="s">
        <v>2690</v>
      </c>
      <c r="G325" s="537" t="s">
        <v>1562</v>
      </c>
      <c r="H325" s="94"/>
      <c r="I325" s="94"/>
      <c r="J325" s="94"/>
    </row>
    <row r="326" spans="1:10" x14ac:dyDescent="0.25">
      <c r="A326" s="520">
        <f>A325+1</f>
        <v>196</v>
      </c>
      <c r="C326" s="368"/>
      <c r="D326" s="94"/>
      <c r="E326" s="379"/>
      <c r="F326" s="370"/>
      <c r="G326" s="476"/>
      <c r="H326" s="94"/>
      <c r="I326" s="94"/>
      <c r="J326" s="94"/>
    </row>
    <row r="327" spans="1:10" x14ac:dyDescent="0.25">
      <c r="A327" s="520">
        <f>A326+1</f>
        <v>197</v>
      </c>
      <c r="C327" s="368" t="s">
        <v>1224</v>
      </c>
      <c r="D327" s="94"/>
      <c r="E327" s="378"/>
      <c r="F327" s="537" t="s">
        <v>1562</v>
      </c>
      <c r="G327" s="537" t="s">
        <v>1562</v>
      </c>
      <c r="H327" s="94"/>
      <c r="I327" s="94"/>
      <c r="J327" s="94"/>
    </row>
    <row r="328" spans="1:10" x14ac:dyDescent="0.25">
      <c r="C328" s="368"/>
      <c r="D328" s="94"/>
      <c r="E328" s="378"/>
      <c r="F328" s="369"/>
      <c r="G328" s="94"/>
      <c r="H328" s="94"/>
      <c r="I328" s="94"/>
      <c r="J328" s="94"/>
    </row>
    <row r="329" spans="1:10" x14ac:dyDescent="0.25">
      <c r="C329" s="377" t="s">
        <v>1230</v>
      </c>
      <c r="D329" s="94"/>
      <c r="E329" s="94"/>
      <c r="F329" s="369"/>
      <c r="G329" s="171" t="s">
        <v>1227</v>
      </c>
      <c r="H329" s="94"/>
      <c r="I329" s="94"/>
      <c r="J329" s="94"/>
    </row>
    <row r="330" spans="1:10" x14ac:dyDescent="0.25">
      <c r="A330" s="520">
        <f>A327+1</f>
        <v>198</v>
      </c>
      <c r="C330" s="525" t="s">
        <v>245</v>
      </c>
      <c r="D330" s="94"/>
      <c r="E330" s="378"/>
      <c r="F330" s="537" t="s">
        <v>1562</v>
      </c>
      <c r="G330" s="537" t="s">
        <v>1562</v>
      </c>
      <c r="H330" s="94"/>
      <c r="I330" s="94"/>
      <c r="J330" s="94"/>
    </row>
    <row r="331" spans="1:10" x14ac:dyDescent="0.25">
      <c r="A331" s="520">
        <f>A330+1</f>
        <v>199</v>
      </c>
      <c r="C331" s="368" t="s">
        <v>247</v>
      </c>
      <c r="D331" s="94"/>
      <c r="E331" s="379"/>
      <c r="F331" s="1015" t="s">
        <v>2690</v>
      </c>
      <c r="G331" s="537" t="s">
        <v>1562</v>
      </c>
      <c r="H331" s="94"/>
      <c r="I331" s="94"/>
      <c r="J331" s="94"/>
    </row>
    <row r="332" spans="1:10" x14ac:dyDescent="0.25">
      <c r="A332" s="520">
        <f>A331+1</f>
        <v>200</v>
      </c>
      <c r="C332" s="368" t="s">
        <v>1224</v>
      </c>
      <c r="D332" s="94"/>
      <c r="E332" s="378"/>
      <c r="F332" s="537" t="s">
        <v>1562</v>
      </c>
      <c r="G332" s="537" t="s">
        <v>1562</v>
      </c>
      <c r="H332" s="94"/>
      <c r="I332" s="94"/>
      <c r="J332" s="94"/>
    </row>
    <row r="333" spans="1:10" x14ac:dyDescent="0.25">
      <c r="C333" s="368"/>
      <c r="D333" s="94"/>
      <c r="E333" s="378"/>
      <c r="F333" s="369"/>
      <c r="G333" s="525"/>
      <c r="H333" s="94"/>
      <c r="I333" s="94"/>
      <c r="J333" s="94"/>
    </row>
    <row r="334" spans="1:10" x14ac:dyDescent="0.25">
      <c r="C334" s="377" t="s">
        <v>1231</v>
      </c>
      <c r="D334" s="94"/>
      <c r="E334" s="476"/>
      <c r="F334" s="526"/>
      <c r="G334" s="171" t="s">
        <v>1227</v>
      </c>
      <c r="H334" s="94"/>
      <c r="I334" s="94"/>
      <c r="J334" s="94"/>
    </row>
    <row r="335" spans="1:10" x14ac:dyDescent="0.25">
      <c r="A335" s="520">
        <f>A332+1</f>
        <v>201</v>
      </c>
      <c r="C335" s="525" t="s">
        <v>245</v>
      </c>
      <c r="D335" s="94"/>
      <c r="E335" s="378"/>
      <c r="F335" s="537" t="s">
        <v>1562</v>
      </c>
      <c r="G335" s="537" t="s">
        <v>1562</v>
      </c>
      <c r="H335" s="94"/>
      <c r="I335" s="476"/>
      <c r="J335" s="476"/>
    </row>
    <row r="336" spans="1:10" x14ac:dyDescent="0.25">
      <c r="A336" s="520">
        <f>A335+1</f>
        <v>202</v>
      </c>
      <c r="C336" s="368" t="s">
        <v>247</v>
      </c>
      <c r="D336" s="94"/>
      <c r="E336" s="379"/>
      <c r="F336" s="1015" t="s">
        <v>2690</v>
      </c>
      <c r="G336" s="537" t="s">
        <v>1562</v>
      </c>
      <c r="H336" s="94"/>
      <c r="I336" s="476"/>
      <c r="J336" s="476"/>
    </row>
    <row r="337" spans="1:10" x14ac:dyDescent="0.25">
      <c r="A337" s="520">
        <f>A336+1</f>
        <v>203</v>
      </c>
      <c r="C337" s="368" t="s">
        <v>1224</v>
      </c>
      <c r="D337" s="94"/>
      <c r="E337" s="378"/>
      <c r="F337" s="537" t="s">
        <v>1562</v>
      </c>
      <c r="G337" s="537" t="s">
        <v>1562</v>
      </c>
      <c r="H337" s="94"/>
      <c r="I337" s="476"/>
      <c r="J337" s="476"/>
    </row>
    <row r="338" spans="1:10" x14ac:dyDescent="0.25">
      <c r="C338" s="368"/>
      <c r="D338" s="94"/>
      <c r="E338" s="379"/>
      <c r="F338" s="370"/>
      <c r="G338" s="476"/>
      <c r="H338" s="94"/>
      <c r="I338" s="476"/>
      <c r="J338" s="476"/>
    </row>
    <row r="339" spans="1:10" x14ac:dyDescent="0.25">
      <c r="C339" s="377" t="s">
        <v>1232</v>
      </c>
      <c r="D339" s="94"/>
      <c r="E339" s="476"/>
      <c r="F339" s="526"/>
      <c r="G339" s="171" t="s">
        <v>1227</v>
      </c>
      <c r="H339" s="94"/>
      <c r="I339" s="476"/>
      <c r="J339" s="476"/>
    </row>
    <row r="340" spans="1:10" x14ac:dyDescent="0.25">
      <c r="A340" s="520">
        <f>A337+1</f>
        <v>204</v>
      </c>
      <c r="C340" s="525" t="s">
        <v>245</v>
      </c>
      <c r="D340" s="94"/>
      <c r="E340" s="378"/>
      <c r="F340" s="537" t="s">
        <v>1562</v>
      </c>
      <c r="G340" s="537" t="s">
        <v>1562</v>
      </c>
      <c r="H340" s="94"/>
      <c r="I340" s="476"/>
      <c r="J340" s="476"/>
    </row>
    <row r="341" spans="1:10" x14ac:dyDescent="0.25">
      <c r="A341" s="520">
        <f>A340+1</f>
        <v>205</v>
      </c>
      <c r="C341" s="368" t="s">
        <v>247</v>
      </c>
      <c r="D341" s="94"/>
      <c r="E341" s="379"/>
      <c r="F341" s="1015" t="s">
        <v>2690</v>
      </c>
      <c r="G341" s="537" t="s">
        <v>1562</v>
      </c>
      <c r="H341" s="94"/>
      <c r="I341" s="476"/>
      <c r="J341" s="476"/>
    </row>
    <row r="342" spans="1:10" x14ac:dyDescent="0.25">
      <c r="A342" s="520">
        <f>A341+1</f>
        <v>206</v>
      </c>
      <c r="C342" s="368" t="s">
        <v>1224</v>
      </c>
      <c r="D342" s="94"/>
      <c r="E342" s="378"/>
      <c r="F342" s="537" t="s">
        <v>1562</v>
      </c>
      <c r="G342" s="537" t="s">
        <v>1562</v>
      </c>
      <c r="H342" s="94"/>
      <c r="I342" s="476"/>
      <c r="J342" s="476"/>
    </row>
    <row r="343" spans="1:10" x14ac:dyDescent="0.25">
      <c r="C343" s="94"/>
      <c r="D343" s="94"/>
      <c r="E343" s="94"/>
      <c r="F343" s="369"/>
      <c r="G343" s="94"/>
      <c r="H343" s="94"/>
      <c r="I343" s="94"/>
      <c r="J343" s="94"/>
    </row>
    <row r="344" spans="1:10" x14ac:dyDescent="0.25">
      <c r="C344" s="377" t="s">
        <v>1233</v>
      </c>
      <c r="D344" s="94"/>
      <c r="E344" s="476"/>
      <c r="F344" s="526"/>
      <c r="G344" s="171" t="s">
        <v>1227</v>
      </c>
      <c r="H344" s="94"/>
      <c r="I344" s="94"/>
      <c r="J344" s="94"/>
    </row>
    <row r="345" spans="1:10" x14ac:dyDescent="0.25">
      <c r="A345" s="520">
        <f>A342+1</f>
        <v>207</v>
      </c>
      <c r="C345" s="525" t="s">
        <v>245</v>
      </c>
      <c r="D345" s="94"/>
      <c r="E345" s="378"/>
      <c r="F345" s="537" t="s">
        <v>1562</v>
      </c>
      <c r="G345" s="537" t="s">
        <v>1562</v>
      </c>
      <c r="H345" s="94"/>
      <c r="I345" s="94"/>
      <c r="J345" s="94"/>
    </row>
    <row r="346" spans="1:10" x14ac:dyDescent="0.25">
      <c r="A346" s="520">
        <f>A345+1</f>
        <v>208</v>
      </c>
      <c r="C346" s="368" t="s">
        <v>247</v>
      </c>
      <c r="D346" s="94"/>
      <c r="E346" s="379"/>
      <c r="F346" s="1015" t="s">
        <v>2690</v>
      </c>
      <c r="G346" s="537" t="s">
        <v>1562</v>
      </c>
      <c r="H346" s="94"/>
      <c r="I346" s="94"/>
      <c r="J346" s="94"/>
    </row>
    <row r="347" spans="1:10" x14ac:dyDescent="0.25">
      <c r="A347" s="520">
        <f>A346+1</f>
        <v>209</v>
      </c>
      <c r="C347" s="368" t="s">
        <v>1224</v>
      </c>
      <c r="D347" s="94"/>
      <c r="E347" s="378"/>
      <c r="F347" s="537" t="s">
        <v>1562</v>
      </c>
      <c r="G347" s="537" t="s">
        <v>1562</v>
      </c>
      <c r="H347" s="94"/>
      <c r="I347" s="94"/>
      <c r="J347" s="94"/>
    </row>
    <row r="348" spans="1:10" x14ac:dyDescent="0.25">
      <c r="C348" s="94"/>
      <c r="D348" s="94"/>
      <c r="E348" s="94"/>
      <c r="F348" s="369"/>
      <c r="G348" s="94"/>
      <c r="H348" s="94"/>
      <c r="I348" s="94"/>
      <c r="J348" s="94"/>
    </row>
    <row r="349" spans="1:10" x14ac:dyDescent="0.25">
      <c r="C349" s="377" t="s">
        <v>1234</v>
      </c>
      <c r="D349" s="94"/>
      <c r="E349" s="476"/>
      <c r="F349" s="526"/>
      <c r="G349" s="171" t="s">
        <v>1227</v>
      </c>
      <c r="H349" s="94"/>
      <c r="I349" s="94"/>
      <c r="J349" s="94"/>
    </row>
    <row r="350" spans="1:10" x14ac:dyDescent="0.25">
      <c r="A350" s="520">
        <f>A347+1</f>
        <v>210</v>
      </c>
      <c r="C350" s="525" t="s">
        <v>245</v>
      </c>
      <c r="D350" s="94"/>
      <c r="E350" s="378"/>
      <c r="F350" s="537" t="s">
        <v>1562</v>
      </c>
      <c r="G350" s="537" t="s">
        <v>1562</v>
      </c>
      <c r="H350" s="94"/>
      <c r="I350" s="94"/>
      <c r="J350" s="94"/>
    </row>
    <row r="351" spans="1:10" x14ac:dyDescent="0.25">
      <c r="A351" s="520">
        <f>A350+1</f>
        <v>211</v>
      </c>
      <c r="C351" s="368" t="s">
        <v>247</v>
      </c>
      <c r="D351" s="94"/>
      <c r="E351" s="379"/>
      <c r="F351" s="1015" t="s">
        <v>2690</v>
      </c>
      <c r="G351" s="537" t="s">
        <v>1562</v>
      </c>
      <c r="H351" s="94"/>
      <c r="I351" s="94"/>
      <c r="J351" s="94"/>
    </row>
    <row r="352" spans="1:10" x14ac:dyDescent="0.25">
      <c r="A352" s="520">
        <f>A351+1</f>
        <v>212</v>
      </c>
      <c r="C352" s="368" t="s">
        <v>1224</v>
      </c>
      <c r="D352" s="94"/>
      <c r="E352" s="378"/>
      <c r="F352" s="537" t="s">
        <v>1562</v>
      </c>
      <c r="G352" s="537" t="s">
        <v>1562</v>
      </c>
      <c r="H352" s="94"/>
      <c r="I352" s="94"/>
      <c r="J352" s="94"/>
    </row>
    <row r="353" spans="1:10" x14ac:dyDescent="0.25">
      <c r="C353" s="94"/>
      <c r="D353" s="94"/>
      <c r="E353" s="94"/>
      <c r="F353" s="369"/>
      <c r="G353" s="94"/>
      <c r="H353" s="94"/>
      <c r="I353" s="94"/>
      <c r="J353" s="94"/>
    </row>
    <row r="354" spans="1:10" x14ac:dyDescent="0.25">
      <c r="C354" s="377" t="s">
        <v>1235</v>
      </c>
      <c r="D354" s="94"/>
      <c r="E354" s="476"/>
      <c r="F354" s="526"/>
      <c r="G354" s="171" t="s">
        <v>1227</v>
      </c>
      <c r="H354" s="94"/>
      <c r="I354" s="94"/>
      <c r="J354" s="94"/>
    </row>
    <row r="355" spans="1:10" x14ac:dyDescent="0.25">
      <c r="A355" s="520">
        <f>A352+1</f>
        <v>213</v>
      </c>
      <c r="C355" s="525" t="s">
        <v>245</v>
      </c>
      <c r="D355" s="94"/>
      <c r="E355" s="378"/>
      <c r="F355" s="537" t="s">
        <v>1562</v>
      </c>
      <c r="G355" s="537" t="s">
        <v>1562</v>
      </c>
      <c r="H355" s="94"/>
      <c r="I355" s="94"/>
      <c r="J355" s="94"/>
    </row>
    <row r="356" spans="1:10" x14ac:dyDescent="0.25">
      <c r="A356" s="520">
        <f>A355+1</f>
        <v>214</v>
      </c>
      <c r="C356" s="368" t="s">
        <v>247</v>
      </c>
      <c r="D356" s="94"/>
      <c r="E356" s="379"/>
      <c r="F356" s="1015" t="s">
        <v>2690</v>
      </c>
      <c r="G356" s="537" t="s">
        <v>1562</v>
      </c>
      <c r="H356" s="94"/>
      <c r="I356" s="94"/>
      <c r="J356" s="94"/>
    </row>
    <row r="357" spans="1:10" x14ac:dyDescent="0.25">
      <c r="A357" s="520">
        <f>A356+1</f>
        <v>215</v>
      </c>
      <c r="C357" s="368" t="s">
        <v>1224</v>
      </c>
      <c r="D357" s="94"/>
      <c r="E357" s="378"/>
      <c r="F357" s="537" t="s">
        <v>1562</v>
      </c>
      <c r="G357" s="537" t="s">
        <v>1562</v>
      </c>
      <c r="H357" s="94"/>
      <c r="I357" s="94"/>
      <c r="J357" s="94"/>
    </row>
    <row r="358" spans="1:10" x14ac:dyDescent="0.25">
      <c r="C358" s="94"/>
      <c r="D358" s="94"/>
      <c r="E358" s="94"/>
      <c r="F358" s="369"/>
      <c r="G358" s="94"/>
      <c r="H358" s="94"/>
      <c r="I358" s="94"/>
      <c r="J358" s="94"/>
    </row>
    <row r="359" spans="1:10" x14ac:dyDescent="0.25">
      <c r="C359" s="377" t="s">
        <v>1236</v>
      </c>
      <c r="D359" s="94"/>
      <c r="E359" s="476"/>
      <c r="F359" s="526"/>
      <c r="G359" s="171" t="s">
        <v>1227</v>
      </c>
      <c r="H359" s="94"/>
      <c r="I359" s="94"/>
      <c r="J359" s="94"/>
    </row>
    <row r="360" spans="1:10" x14ac:dyDescent="0.25">
      <c r="A360" s="520">
        <f>A357+1</f>
        <v>216</v>
      </c>
      <c r="C360" s="525" t="s">
        <v>245</v>
      </c>
      <c r="D360" s="94"/>
      <c r="E360" s="378"/>
      <c r="F360" s="537" t="s">
        <v>1562</v>
      </c>
      <c r="G360" s="537" t="s">
        <v>1562</v>
      </c>
      <c r="H360" s="94"/>
      <c r="I360" s="94"/>
      <c r="J360" s="94"/>
    </row>
    <row r="361" spans="1:10" x14ac:dyDescent="0.25">
      <c r="A361" s="520">
        <f>A360+1</f>
        <v>217</v>
      </c>
      <c r="C361" s="368" t="s">
        <v>247</v>
      </c>
      <c r="D361" s="94"/>
      <c r="E361" s="379"/>
      <c r="F361" s="1015" t="s">
        <v>2690</v>
      </c>
      <c r="G361" s="537" t="s">
        <v>1562</v>
      </c>
      <c r="H361" s="94"/>
      <c r="I361" s="94"/>
      <c r="J361" s="94"/>
    </row>
    <row r="362" spans="1:10" x14ac:dyDescent="0.25">
      <c r="A362" s="520">
        <f>A361+1</f>
        <v>218</v>
      </c>
      <c r="C362" s="368" t="s">
        <v>1224</v>
      </c>
      <c r="D362" s="94"/>
      <c r="E362" s="378"/>
      <c r="F362" s="537" t="s">
        <v>1562</v>
      </c>
      <c r="G362" s="537" t="s">
        <v>1562</v>
      </c>
      <c r="H362" s="94"/>
      <c r="I362" s="94"/>
      <c r="J362" s="94"/>
    </row>
    <row r="363" spans="1:10" x14ac:dyDescent="0.25">
      <c r="C363" s="94"/>
      <c r="D363" s="94"/>
      <c r="E363" s="94"/>
      <c r="F363" s="94"/>
      <c r="G363" s="94"/>
      <c r="H363" s="94"/>
      <c r="I363" s="94"/>
      <c r="J363" s="94"/>
    </row>
    <row r="364" spans="1:10" x14ac:dyDescent="0.25">
      <c r="C364" s="372" t="s">
        <v>1237</v>
      </c>
      <c r="D364" s="94"/>
      <c r="E364" s="94"/>
      <c r="F364" s="94"/>
      <c r="G364" s="171" t="s">
        <v>1227</v>
      </c>
      <c r="H364" s="94"/>
      <c r="I364" s="94"/>
      <c r="J364" s="94"/>
    </row>
    <row r="365" spans="1:10" x14ac:dyDescent="0.25">
      <c r="A365" s="520">
        <f>A362+1</f>
        <v>219</v>
      </c>
      <c r="C365" s="525" t="s">
        <v>245</v>
      </c>
      <c r="D365" s="94"/>
      <c r="E365" s="94"/>
      <c r="F365" s="537" t="s">
        <v>1562</v>
      </c>
      <c r="G365" s="537" t="s">
        <v>1562</v>
      </c>
      <c r="H365" s="94"/>
      <c r="I365" s="94"/>
      <c r="J365" s="94"/>
    </row>
    <row r="366" spans="1:10" x14ac:dyDescent="0.25">
      <c r="A366" s="520">
        <f>A365+1</f>
        <v>220</v>
      </c>
      <c r="C366" s="368" t="s">
        <v>247</v>
      </c>
      <c r="D366" s="94"/>
      <c r="E366" s="94"/>
      <c r="F366" s="1015" t="s">
        <v>2690</v>
      </c>
      <c r="G366" s="537" t="s">
        <v>1562</v>
      </c>
      <c r="H366" s="94"/>
      <c r="I366" s="94"/>
      <c r="J366" s="94"/>
    </row>
    <row r="367" spans="1:10" x14ac:dyDescent="0.25">
      <c r="A367" s="520">
        <f>A366+1</f>
        <v>221</v>
      </c>
      <c r="C367" s="368" t="s">
        <v>1224</v>
      </c>
      <c r="D367" s="94"/>
      <c r="E367" s="94"/>
      <c r="F367" s="537" t="s">
        <v>1562</v>
      </c>
      <c r="G367" s="537" t="s">
        <v>1562</v>
      </c>
      <c r="H367" s="94"/>
      <c r="I367" s="94"/>
      <c r="J367" s="94"/>
    </row>
    <row r="368" spans="1:10" x14ac:dyDescent="0.25">
      <c r="C368" s="373" t="s">
        <v>563</v>
      </c>
    </row>
    <row r="370" spans="2:3" x14ac:dyDescent="0.25">
      <c r="B370" s="374" t="s">
        <v>420</v>
      </c>
    </row>
    <row r="371" spans="2:3" x14ac:dyDescent="0.25">
      <c r="C371" s="466" t="s">
        <v>1331</v>
      </c>
    </row>
    <row r="372" spans="2:3" x14ac:dyDescent="0.25">
      <c r="C372" t="s">
        <v>1238</v>
      </c>
    </row>
  </sheetData>
  <phoneticPr fontId="9" type="noConversion"/>
  <pageMargins left="0.75" right="0.75" top="1" bottom="1" header="0.5" footer="0.5"/>
  <pageSetup scale="70" orientation="portrait" cellComments="asDisplayed" r:id="rId1"/>
  <headerFooter alignWithMargins="0">
    <oddHeader xml:space="preserve">&amp;C&amp;"Arial,Bold"Schedule 14
Incentive Plant&amp;"Arial,Regular"
</oddHeader>
    <oddFooter>&amp;R&amp;A</oddFooter>
  </headerFooter>
  <rowBreaks count="5" manualBreakCount="5">
    <brk id="66" max="16383" man="1"/>
    <brk id="131" max="16383" man="1"/>
    <brk id="189" max="16383" man="1"/>
    <brk id="246" max="16383" man="1"/>
    <brk id="303"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zoomScale="90" zoomScaleNormal="90" workbookViewId="0"/>
  </sheetViews>
  <sheetFormatPr defaultRowHeight="13.2" x14ac:dyDescent="0.25"/>
  <cols>
    <col min="1" max="2" width="4.6640625" customWidth="1"/>
    <col min="3" max="4" width="10.6640625" customWidth="1"/>
    <col min="5" max="9" width="15.6640625" customWidth="1"/>
  </cols>
  <sheetData>
    <row r="1" spans="1:9" x14ac:dyDescent="0.25">
      <c r="A1" s="1" t="s">
        <v>167</v>
      </c>
      <c r="B1" s="1"/>
    </row>
    <row r="2" spans="1:9" x14ac:dyDescent="0.25">
      <c r="A2" s="1"/>
      <c r="B2" s="1"/>
      <c r="G2" s="92" t="s">
        <v>272</v>
      </c>
      <c r="H2" s="92"/>
    </row>
    <row r="3" spans="1:9" x14ac:dyDescent="0.25">
      <c r="A3" s="1"/>
      <c r="B3" s="11" t="s">
        <v>1075</v>
      </c>
    </row>
    <row r="4" spans="1:9" x14ac:dyDescent="0.25">
      <c r="A4" s="1"/>
      <c r="B4" s="12" t="s">
        <v>1076</v>
      </c>
    </row>
    <row r="5" spans="1:9" x14ac:dyDescent="0.25">
      <c r="A5" s="1"/>
      <c r="B5" s="470" t="s">
        <v>1698</v>
      </c>
    </row>
    <row r="7" spans="1:9" ht="13.5" customHeight="1" x14ac:dyDescent="0.25">
      <c r="B7" s="1" t="s">
        <v>300</v>
      </c>
    </row>
    <row r="8" spans="1:9" x14ac:dyDescent="0.25">
      <c r="A8" s="1"/>
      <c r="B8" s="1"/>
    </row>
    <row r="9" spans="1:9" x14ac:dyDescent="0.25">
      <c r="A9" s="1"/>
      <c r="B9" s="1"/>
      <c r="C9" s="11" t="s">
        <v>326</v>
      </c>
    </row>
    <row r="10" spans="1:9" x14ac:dyDescent="0.25">
      <c r="A10" s="1"/>
      <c r="B10" s="1"/>
      <c r="C10" s="11" t="s">
        <v>1251</v>
      </c>
    </row>
    <row r="11" spans="1:9" x14ac:dyDescent="0.25">
      <c r="A11" s="1"/>
      <c r="B11" s="1"/>
      <c r="C11" s="11"/>
    </row>
    <row r="12" spans="1:9" x14ac:dyDescent="0.25">
      <c r="A12" s="1"/>
      <c r="B12" s="1"/>
      <c r="C12" s="466" t="s">
        <v>1666</v>
      </c>
    </row>
    <row r="13" spans="1:9" x14ac:dyDescent="0.25">
      <c r="A13" s="1"/>
      <c r="B13" s="1"/>
    </row>
    <row r="14" spans="1:9" x14ac:dyDescent="0.25">
      <c r="A14" s="49" t="s">
        <v>360</v>
      </c>
      <c r="B14" s="1"/>
      <c r="C14" s="11" t="s">
        <v>399</v>
      </c>
      <c r="G14" s="3" t="s">
        <v>190</v>
      </c>
      <c r="I14" s="3" t="s">
        <v>198</v>
      </c>
    </row>
    <row r="15" spans="1:9" x14ac:dyDescent="0.25">
      <c r="A15" s="103">
        <v>1</v>
      </c>
      <c r="B15" s="43"/>
      <c r="C15" s="45" t="s">
        <v>400</v>
      </c>
      <c r="D15" s="13"/>
      <c r="E15" s="13"/>
      <c r="F15" s="13"/>
      <c r="G15" s="970" t="s">
        <v>2690</v>
      </c>
      <c r="H15" s="13"/>
      <c r="I15" s="14" t="str">
        <f>"1-BaseTRR, L "&amp;'1-BaseTRR'!A80&amp;""</f>
        <v>1-BaseTRR, L 46</v>
      </c>
    </row>
    <row r="16" spans="1:9" x14ac:dyDescent="0.25">
      <c r="A16" s="103">
        <v>2</v>
      </c>
      <c r="B16" s="43"/>
      <c r="C16" s="45" t="s">
        <v>242</v>
      </c>
      <c r="D16" s="13"/>
      <c r="E16" s="13"/>
      <c r="F16" s="13"/>
      <c r="G16" s="971" t="s">
        <v>2690</v>
      </c>
      <c r="H16" s="13"/>
      <c r="I16" s="14" t="str">
        <f>"1-BaseTRR, L "&amp;'1-BaseTRR'!A102&amp;""</f>
        <v>1-BaseTRR, L 58</v>
      </c>
    </row>
    <row r="17" spans="1:9" x14ac:dyDescent="0.25">
      <c r="A17" s="103">
        <v>3</v>
      </c>
      <c r="B17" s="43"/>
      <c r="C17" s="13"/>
      <c r="D17" s="13"/>
      <c r="E17" s="13"/>
      <c r="F17" s="340" t="s">
        <v>544</v>
      </c>
      <c r="G17" s="986">
        <v>0</v>
      </c>
      <c r="H17" s="13"/>
      <c r="I17" s="14" t="s">
        <v>401</v>
      </c>
    </row>
    <row r="18" spans="1:9" x14ac:dyDescent="0.25">
      <c r="A18" s="13"/>
      <c r="B18" s="13"/>
      <c r="C18" s="13"/>
      <c r="D18" s="13"/>
      <c r="E18" s="13"/>
      <c r="F18" s="13"/>
      <c r="G18" s="13"/>
      <c r="H18" s="13"/>
      <c r="I18" s="13"/>
    </row>
    <row r="19" spans="1:9" x14ac:dyDescent="0.25">
      <c r="A19" s="13"/>
      <c r="B19" s="43" t="s">
        <v>301</v>
      </c>
      <c r="C19" s="13"/>
      <c r="D19" s="13"/>
      <c r="E19" s="13"/>
      <c r="F19" s="13"/>
      <c r="G19" s="13"/>
      <c r="H19" s="13"/>
      <c r="I19" s="13"/>
    </row>
    <row r="20" spans="1:9" x14ac:dyDescent="0.25">
      <c r="A20" s="43"/>
      <c r="B20" s="43"/>
      <c r="C20" s="14" t="s">
        <v>331</v>
      </c>
      <c r="D20" s="13"/>
      <c r="E20" s="13"/>
      <c r="F20" s="13"/>
      <c r="G20" s="13"/>
      <c r="H20" s="13"/>
      <c r="I20" s="13"/>
    </row>
    <row r="21" spans="1:9" x14ac:dyDescent="0.25">
      <c r="A21" s="43"/>
      <c r="B21" s="43"/>
      <c r="C21" s="14" t="s">
        <v>545</v>
      </c>
      <c r="D21" s="13"/>
      <c r="E21" s="13"/>
      <c r="F21" s="13"/>
      <c r="G21" s="13"/>
      <c r="H21" s="13"/>
      <c r="I21" s="13"/>
    </row>
    <row r="22" spans="1:9" x14ac:dyDescent="0.25">
      <c r="A22" s="43"/>
      <c r="B22" s="43"/>
      <c r="C22" s="13"/>
      <c r="D22" s="13"/>
      <c r="E22" s="13"/>
      <c r="F22" s="13"/>
      <c r="G22" s="13"/>
      <c r="H22" s="13"/>
      <c r="I22" s="13"/>
    </row>
    <row r="23" spans="1:9" x14ac:dyDescent="0.25">
      <c r="A23" s="43"/>
      <c r="B23" s="43"/>
      <c r="C23" s="13"/>
      <c r="D23" s="13"/>
      <c r="E23" s="13"/>
      <c r="F23" s="103" t="s">
        <v>303</v>
      </c>
      <c r="G23" s="13"/>
      <c r="H23" s="13"/>
      <c r="I23" s="13"/>
    </row>
    <row r="24" spans="1:9" x14ac:dyDescent="0.25">
      <c r="A24" s="879" t="s">
        <v>360</v>
      </c>
      <c r="B24" s="879"/>
      <c r="C24" s="13"/>
      <c r="D24" s="13"/>
      <c r="E24" s="113" t="s">
        <v>9</v>
      </c>
      <c r="F24" s="113" t="s">
        <v>36</v>
      </c>
      <c r="G24" s="113" t="s">
        <v>198</v>
      </c>
      <c r="H24" s="13"/>
      <c r="I24" s="13"/>
    </row>
    <row r="25" spans="1:9" x14ac:dyDescent="0.25">
      <c r="A25" s="103">
        <f>A17+1</f>
        <v>4</v>
      </c>
      <c r="B25" s="103"/>
      <c r="C25" s="13" t="s">
        <v>251</v>
      </c>
      <c r="D25" s="13"/>
      <c r="E25" s="970" t="s">
        <v>2690</v>
      </c>
      <c r="F25" s="988" t="s">
        <v>2696</v>
      </c>
      <c r="G25" s="45" t="str">
        <f>"14-IncentivePlant, L "&amp;'14-IncentivePlant'!A308&amp;""</f>
        <v>14-IncentivePlant, L 184</v>
      </c>
      <c r="H25" s="13"/>
      <c r="I25" s="13"/>
    </row>
    <row r="26" spans="1:9" x14ac:dyDescent="0.25">
      <c r="A26" s="103">
        <f>A25+1</f>
        <v>5</v>
      </c>
      <c r="B26" s="103"/>
      <c r="C26" s="13" t="s">
        <v>252</v>
      </c>
      <c r="D26" s="13"/>
      <c r="E26" s="970" t="s">
        <v>2690</v>
      </c>
      <c r="F26" s="988" t="s">
        <v>2696</v>
      </c>
      <c r="G26" s="45" t="str">
        <f>"14-IncentivePlant, L "&amp;'14-IncentivePlant'!A313&amp;""</f>
        <v>14-IncentivePlant, L 187</v>
      </c>
      <c r="H26" s="13"/>
      <c r="I26" s="13"/>
    </row>
    <row r="27" spans="1:9" x14ac:dyDescent="0.25">
      <c r="A27" s="103">
        <f>A26+1</f>
        <v>6</v>
      </c>
      <c r="B27" s="103"/>
      <c r="C27" s="468" t="s">
        <v>2707</v>
      </c>
      <c r="D27" s="13"/>
      <c r="E27" s="970" t="s">
        <v>2690</v>
      </c>
      <c r="F27" s="988" t="s">
        <v>2696</v>
      </c>
      <c r="G27" s="45" t="str">
        <f>"14-IncentivePlant, L "&amp;'14-IncentivePlant'!A318&amp;""</f>
        <v>14-IncentivePlant, L 190</v>
      </c>
      <c r="H27" s="13"/>
      <c r="I27" s="13"/>
    </row>
    <row r="28" spans="1:9" x14ac:dyDescent="0.25">
      <c r="A28" s="2">
        <f>A27+1</f>
        <v>7</v>
      </c>
      <c r="B28" s="2"/>
      <c r="C28" s="107"/>
      <c r="D28" s="94"/>
      <c r="E28" s="41"/>
      <c r="F28" s="95"/>
    </row>
    <row r="29" spans="1:9" x14ac:dyDescent="0.25">
      <c r="A29" s="2">
        <f>A28+1</f>
        <v>8</v>
      </c>
      <c r="B29" s="2"/>
      <c r="C29" s="169" t="s">
        <v>563</v>
      </c>
      <c r="E29" s="41"/>
      <c r="F29" s="95"/>
    </row>
    <row r="31" spans="1:9" x14ac:dyDescent="0.25">
      <c r="B31" s="1" t="s">
        <v>302</v>
      </c>
    </row>
    <row r="32" spans="1:9" x14ac:dyDescent="0.25">
      <c r="A32" s="1"/>
      <c r="B32" s="1"/>
      <c r="C32" s="11" t="s">
        <v>1615</v>
      </c>
    </row>
    <row r="33" spans="1:9" x14ac:dyDescent="0.25">
      <c r="A33" s="1"/>
      <c r="B33" s="1"/>
      <c r="C33" s="11" t="s">
        <v>546</v>
      </c>
    </row>
    <row r="34" spans="1:9" x14ac:dyDescent="0.25">
      <c r="A34" s="1"/>
      <c r="B34" s="1"/>
      <c r="C34" s="11" t="s">
        <v>547</v>
      </c>
    </row>
    <row r="35" spans="1:9" x14ac:dyDescent="0.25">
      <c r="E35" s="2"/>
      <c r="G35" s="2"/>
    </row>
    <row r="36" spans="1:9" x14ac:dyDescent="0.25">
      <c r="E36" s="2" t="s">
        <v>73</v>
      </c>
      <c r="G36" s="2" t="s">
        <v>73</v>
      </c>
    </row>
    <row r="37" spans="1:9" x14ac:dyDescent="0.25">
      <c r="E37" s="2" t="s">
        <v>8</v>
      </c>
      <c r="F37" s="2" t="s">
        <v>303</v>
      </c>
      <c r="G37" s="2" t="s">
        <v>8</v>
      </c>
    </row>
    <row r="38" spans="1:9" x14ac:dyDescent="0.25">
      <c r="A38" s="49" t="s">
        <v>360</v>
      </c>
      <c r="B38" s="49"/>
      <c r="E38" s="3" t="s">
        <v>192</v>
      </c>
      <c r="F38" s="3" t="s">
        <v>36</v>
      </c>
      <c r="G38" s="3" t="s">
        <v>304</v>
      </c>
      <c r="H38" s="3" t="s">
        <v>198</v>
      </c>
    </row>
    <row r="39" spans="1:9" x14ac:dyDescent="0.25">
      <c r="A39" s="2">
        <f>A29+1</f>
        <v>9</v>
      </c>
      <c r="B39" s="2"/>
      <c r="C39" t="s">
        <v>251</v>
      </c>
      <c r="E39" s="986">
        <v>0</v>
      </c>
      <c r="F39" s="988" t="s">
        <v>2696</v>
      </c>
      <c r="G39" s="986">
        <v>0</v>
      </c>
      <c r="H39" s="45" t="str">
        <f>"14-IncentivePlant, L "&amp;'14-IncentivePlant'!A46&amp;", Col. 1"</f>
        <v>14-IncentivePlant, L 13, Col. 1</v>
      </c>
    </row>
    <row r="40" spans="1:9" x14ac:dyDescent="0.25">
      <c r="A40" s="2">
        <f>A39+1</f>
        <v>10</v>
      </c>
      <c r="B40" s="2"/>
      <c r="C40" t="s">
        <v>252</v>
      </c>
      <c r="E40" s="986">
        <v>0</v>
      </c>
      <c r="F40" s="988" t="s">
        <v>2696</v>
      </c>
      <c r="G40" s="986">
        <v>0</v>
      </c>
      <c r="H40" s="45" t="str">
        <f>"14-IncentivePlant, L "&amp;'14-IncentivePlant'!A47&amp;", Col. 1"</f>
        <v>14-IncentivePlant, L 14, Col. 1</v>
      </c>
    </row>
    <row r="41" spans="1:9" x14ac:dyDescent="0.25">
      <c r="A41" s="2">
        <f>A40+1</f>
        <v>11</v>
      </c>
      <c r="B41" s="2"/>
      <c r="C41" s="468" t="s">
        <v>2707</v>
      </c>
      <c r="E41" s="986">
        <v>0</v>
      </c>
      <c r="F41" s="988" t="s">
        <v>2696</v>
      </c>
      <c r="G41" s="986">
        <v>0</v>
      </c>
      <c r="H41" s="45" t="str">
        <f>"14-IncentivePlant, L "&amp;'14-IncentivePlant'!A48&amp;", Col. 1"</f>
        <v>14-IncentivePlant, L 15, Col. 1</v>
      </c>
    </row>
    <row r="42" spans="1:9" x14ac:dyDescent="0.25">
      <c r="A42" s="2">
        <f>A41+1</f>
        <v>12</v>
      </c>
      <c r="B42" s="2"/>
      <c r="C42" s="107"/>
      <c r="D42" s="94"/>
      <c r="H42" s="13"/>
    </row>
    <row r="43" spans="1:9" x14ac:dyDescent="0.25">
      <c r="A43" s="2">
        <f>A42+1</f>
        <v>13</v>
      </c>
      <c r="B43" s="2"/>
      <c r="C43" s="169" t="s">
        <v>563</v>
      </c>
      <c r="H43" s="13"/>
    </row>
    <row r="44" spans="1:9" x14ac:dyDescent="0.25">
      <c r="A44" s="2">
        <f>A43+1</f>
        <v>14</v>
      </c>
      <c r="F44" s="35" t="s">
        <v>88</v>
      </c>
      <c r="G44" s="986">
        <v>0</v>
      </c>
      <c r="H44" s="465" t="s">
        <v>1892</v>
      </c>
    </row>
    <row r="45" spans="1:9" x14ac:dyDescent="0.25">
      <c r="H45" s="465" t="s">
        <v>1893</v>
      </c>
      <c r="I45" s="6"/>
    </row>
    <row r="46" spans="1:9" x14ac:dyDescent="0.25">
      <c r="B46" s="1" t="s">
        <v>1650</v>
      </c>
      <c r="H46" s="13"/>
    </row>
    <row r="47" spans="1:9" x14ac:dyDescent="0.25">
      <c r="A47" s="1"/>
      <c r="B47" s="1"/>
      <c r="C47" s="466" t="s">
        <v>1651</v>
      </c>
      <c r="H47" s="13"/>
    </row>
    <row r="48" spans="1:9" x14ac:dyDescent="0.25">
      <c r="A48" s="1"/>
      <c r="B48" s="1"/>
      <c r="C48" s="466" t="s">
        <v>1699</v>
      </c>
      <c r="H48" s="13"/>
    </row>
    <row r="49" spans="1:9" x14ac:dyDescent="0.25">
      <c r="A49" s="1"/>
      <c r="B49" s="1"/>
      <c r="C49" s="466" t="s">
        <v>1891</v>
      </c>
      <c r="H49" s="13"/>
    </row>
    <row r="50" spans="1:9" x14ac:dyDescent="0.25">
      <c r="H50" s="13"/>
    </row>
    <row r="51" spans="1:9" x14ac:dyDescent="0.25">
      <c r="E51" s="2" t="s">
        <v>0</v>
      </c>
      <c r="G51" s="2" t="s">
        <v>0</v>
      </c>
      <c r="H51" s="13"/>
    </row>
    <row r="52" spans="1:9" x14ac:dyDescent="0.25">
      <c r="E52" s="2" t="s">
        <v>8</v>
      </c>
      <c r="F52" s="2" t="s">
        <v>303</v>
      </c>
      <c r="G52" s="2" t="s">
        <v>8</v>
      </c>
      <c r="H52" s="13"/>
    </row>
    <row r="53" spans="1:9" x14ac:dyDescent="0.25">
      <c r="A53" s="49" t="s">
        <v>360</v>
      </c>
      <c r="B53" s="49"/>
      <c r="E53" s="3" t="s">
        <v>1090</v>
      </c>
      <c r="F53" s="3" t="s">
        <v>36</v>
      </c>
      <c r="G53" s="3" t="s">
        <v>304</v>
      </c>
      <c r="H53" s="113" t="s">
        <v>198</v>
      </c>
    </row>
    <row r="54" spans="1:9" x14ac:dyDescent="0.25">
      <c r="A54" s="2">
        <f>A44+1</f>
        <v>15</v>
      </c>
      <c r="B54" s="2"/>
      <c r="C54" t="s">
        <v>251</v>
      </c>
      <c r="E54" s="986">
        <v>0</v>
      </c>
      <c r="F54" s="988" t="s">
        <v>2696</v>
      </c>
      <c r="G54" s="989">
        <v>0</v>
      </c>
      <c r="H54" s="45" t="str">
        <f>"14-IncentivePlant, L "&amp;'14-IncentivePlant'!A60&amp;", Col. 1"</f>
        <v>14-IncentivePlant, L 19, Col. 1</v>
      </c>
    </row>
    <row r="55" spans="1:9" x14ac:dyDescent="0.25">
      <c r="A55" s="2">
        <f>A54+1</f>
        <v>16</v>
      </c>
      <c r="B55" s="2"/>
      <c r="C55" t="s">
        <v>252</v>
      </c>
      <c r="E55" s="986">
        <v>0</v>
      </c>
      <c r="F55" s="988" t="s">
        <v>2696</v>
      </c>
      <c r="G55" s="989">
        <v>0</v>
      </c>
      <c r="H55" s="45" t="str">
        <f>"14-IncentivePlant, L "&amp;'14-IncentivePlant'!A61&amp;", Col. 1"</f>
        <v>14-IncentivePlant, L 20, Col. 1</v>
      </c>
    </row>
    <row r="56" spans="1:9" x14ac:dyDescent="0.25">
      <c r="A56" s="2">
        <f>A55+1</f>
        <v>17</v>
      </c>
      <c r="B56" s="2"/>
      <c r="C56" s="468" t="s">
        <v>2707</v>
      </c>
      <c r="E56" s="986">
        <v>0</v>
      </c>
      <c r="F56" s="988" t="s">
        <v>2696</v>
      </c>
      <c r="G56" s="989">
        <v>0</v>
      </c>
      <c r="H56" s="45" t="str">
        <f>"14-IncentivePlant, L "&amp;'14-IncentivePlant'!A62&amp;", Col. 1"</f>
        <v>14-IncentivePlant, L 21, Col. 1</v>
      </c>
    </row>
    <row r="57" spans="1:9" x14ac:dyDescent="0.25">
      <c r="A57" s="2">
        <f>A56+1</f>
        <v>18</v>
      </c>
      <c r="B57" s="2"/>
      <c r="C57" s="107"/>
      <c r="D57" s="94"/>
      <c r="H57" s="13"/>
    </row>
    <row r="58" spans="1:9" x14ac:dyDescent="0.25">
      <c r="A58" s="2">
        <f>A57+1</f>
        <v>19</v>
      </c>
      <c r="B58" s="2"/>
      <c r="C58" s="169" t="s">
        <v>563</v>
      </c>
    </row>
    <row r="59" spans="1:9" x14ac:dyDescent="0.25">
      <c r="A59" s="2">
        <f>A58+1</f>
        <v>20</v>
      </c>
      <c r="F59" s="464" t="s">
        <v>1652</v>
      </c>
      <c r="G59" s="986">
        <v>0</v>
      </c>
      <c r="H59" s="470" t="s">
        <v>1892</v>
      </c>
    </row>
    <row r="60" spans="1:9" x14ac:dyDescent="0.25">
      <c r="H60" s="470" t="s">
        <v>1893</v>
      </c>
      <c r="I60" s="6"/>
    </row>
    <row r="61" spans="1:9" x14ac:dyDescent="0.25">
      <c r="B61" s="1" t="s">
        <v>1714</v>
      </c>
    </row>
    <row r="63" spans="1:9" x14ac:dyDescent="0.25">
      <c r="C63" s="1" t="s">
        <v>1715</v>
      </c>
    </row>
    <row r="65" spans="1:7" x14ac:dyDescent="0.25">
      <c r="E65" s="492" t="s">
        <v>10</v>
      </c>
    </row>
    <row r="66" spans="1:7" x14ac:dyDescent="0.25">
      <c r="C66" s="492" t="s">
        <v>8</v>
      </c>
      <c r="E66" s="492" t="s">
        <v>329</v>
      </c>
    </row>
    <row r="67" spans="1:7" x14ac:dyDescent="0.25">
      <c r="A67" s="49" t="s">
        <v>360</v>
      </c>
      <c r="C67" s="3" t="s">
        <v>250</v>
      </c>
      <c r="E67" s="3" t="s">
        <v>3</v>
      </c>
      <c r="F67" s="3" t="s">
        <v>198</v>
      </c>
    </row>
    <row r="68" spans="1:7" x14ac:dyDescent="0.25">
      <c r="A68" s="492">
        <f>A59+1</f>
        <v>21</v>
      </c>
      <c r="C68" t="s">
        <v>251</v>
      </c>
      <c r="E68" s="986">
        <v>0</v>
      </c>
      <c r="F68" s="465" t="str">
        <f>"14-IncentivePlant, L "&amp;'14-IncentivePlant'!A60&amp;", Col. 3"</f>
        <v>14-IncentivePlant, L 19, Col. 3</v>
      </c>
      <c r="G68" s="13"/>
    </row>
    <row r="69" spans="1:7" x14ac:dyDescent="0.25">
      <c r="A69" s="492">
        <f t="shared" ref="A69:A71" si="0">A68+1</f>
        <v>22</v>
      </c>
      <c r="C69" t="s">
        <v>252</v>
      </c>
      <c r="E69" s="986">
        <v>0</v>
      </c>
      <c r="F69" s="465" t="str">
        <f>"14-IncentivePlant, L "&amp;'14-IncentivePlant'!A61&amp;", Col. 3"</f>
        <v>14-IncentivePlant, L 20, Col. 3</v>
      </c>
      <c r="G69" s="13"/>
    </row>
    <row r="70" spans="1:7" x14ac:dyDescent="0.25">
      <c r="A70" s="492">
        <f t="shared" si="0"/>
        <v>23</v>
      </c>
      <c r="C70" s="468" t="s">
        <v>2707</v>
      </c>
      <c r="E70" s="986">
        <v>0</v>
      </c>
      <c r="F70" s="465" t="str">
        <f>"14-IncentivePlant, L "&amp;'14-IncentivePlant'!A62&amp;", Col. 3"</f>
        <v>14-IncentivePlant, L 21, Col. 3</v>
      </c>
      <c r="G70" s="13"/>
    </row>
    <row r="71" spans="1:7" x14ac:dyDescent="0.25">
      <c r="A71" s="492">
        <f t="shared" si="0"/>
        <v>24</v>
      </c>
      <c r="C71" s="107"/>
      <c r="F71" s="465"/>
      <c r="G71" s="13"/>
    </row>
    <row r="72" spans="1:7" x14ac:dyDescent="0.25">
      <c r="C72" s="493" t="s">
        <v>563</v>
      </c>
      <c r="F72" s="13"/>
      <c r="G72" s="13"/>
    </row>
    <row r="73" spans="1:7" x14ac:dyDescent="0.25">
      <c r="C73" s="493"/>
      <c r="F73" s="13"/>
      <c r="G73" s="13"/>
    </row>
    <row r="74" spans="1:7" x14ac:dyDescent="0.25">
      <c r="C74" s="1" t="s">
        <v>1716</v>
      </c>
      <c r="F74" s="13"/>
      <c r="G74" s="13"/>
    </row>
    <row r="75" spans="1:7" x14ac:dyDescent="0.25">
      <c r="C75" s="1"/>
      <c r="F75" s="13"/>
      <c r="G75" s="13"/>
    </row>
    <row r="76" spans="1:7" x14ac:dyDescent="0.25">
      <c r="E76" s="3" t="s">
        <v>394</v>
      </c>
      <c r="F76" s="113" t="s">
        <v>378</v>
      </c>
      <c r="G76" s="13"/>
    </row>
    <row r="77" spans="1:7" x14ac:dyDescent="0.25">
      <c r="E77" s="3"/>
      <c r="F77" s="103" t="s">
        <v>1717</v>
      </c>
      <c r="G77" s="13"/>
    </row>
    <row r="78" spans="1:7" x14ac:dyDescent="0.25">
      <c r="E78" s="492" t="s">
        <v>307</v>
      </c>
      <c r="F78" s="103" t="s">
        <v>307</v>
      </c>
      <c r="G78" s="13"/>
    </row>
    <row r="79" spans="1:7" x14ac:dyDescent="0.25">
      <c r="C79" s="492" t="s">
        <v>8</v>
      </c>
      <c r="E79" s="492" t="s">
        <v>8</v>
      </c>
      <c r="F79" s="103" t="s">
        <v>8</v>
      </c>
      <c r="G79" s="13"/>
    </row>
    <row r="80" spans="1:7" x14ac:dyDescent="0.25">
      <c r="A80" s="49" t="s">
        <v>360</v>
      </c>
      <c r="C80" s="3" t="s">
        <v>250</v>
      </c>
      <c r="E80" s="3" t="s">
        <v>304</v>
      </c>
      <c r="F80" s="113" t="s">
        <v>304</v>
      </c>
      <c r="G80" s="113" t="s">
        <v>198</v>
      </c>
    </row>
    <row r="81" spans="1:7" x14ac:dyDescent="0.25">
      <c r="A81" s="492">
        <f>A71+1</f>
        <v>25</v>
      </c>
      <c r="C81" t="s">
        <v>251</v>
      </c>
      <c r="E81" s="986">
        <v>0</v>
      </c>
      <c r="F81" s="986">
        <v>0</v>
      </c>
      <c r="G81" s="465" t="s">
        <v>236</v>
      </c>
    </row>
    <row r="82" spans="1:7" x14ac:dyDescent="0.25">
      <c r="A82" s="492">
        <f t="shared" ref="A82:A86" si="1">A81+1</f>
        <v>26</v>
      </c>
      <c r="C82" t="s">
        <v>252</v>
      </c>
      <c r="E82" s="986">
        <v>0</v>
      </c>
      <c r="F82" s="986">
        <v>0</v>
      </c>
      <c r="G82" s="465" t="s">
        <v>236</v>
      </c>
    </row>
    <row r="83" spans="1:7" x14ac:dyDescent="0.25">
      <c r="A83" s="492">
        <f t="shared" si="1"/>
        <v>27</v>
      </c>
      <c r="C83" s="468" t="s">
        <v>2707</v>
      </c>
      <c r="E83" s="986">
        <v>0</v>
      </c>
      <c r="F83" s="986">
        <v>0</v>
      </c>
      <c r="G83" s="465" t="s">
        <v>236</v>
      </c>
    </row>
    <row r="84" spans="1:7" x14ac:dyDescent="0.25">
      <c r="A84" s="492">
        <f t="shared" si="1"/>
        <v>28</v>
      </c>
      <c r="C84" s="107"/>
      <c r="E84" s="6"/>
      <c r="F84" s="61"/>
      <c r="G84" s="465" t="s">
        <v>236</v>
      </c>
    </row>
    <row r="85" spans="1:7" x14ac:dyDescent="0.25">
      <c r="A85" s="492">
        <f t="shared" si="1"/>
        <v>29</v>
      </c>
      <c r="C85" s="493" t="s">
        <v>563</v>
      </c>
      <c r="E85" s="6"/>
      <c r="F85" s="61"/>
      <c r="G85" s="13"/>
    </row>
    <row r="86" spans="1:7" x14ac:dyDescent="0.25">
      <c r="A86" s="492">
        <f t="shared" si="1"/>
        <v>30</v>
      </c>
      <c r="E86" s="464" t="s">
        <v>4</v>
      </c>
      <c r="F86" s="986">
        <v>0</v>
      </c>
      <c r="G86" s="13"/>
    </row>
    <row r="87" spans="1:7" x14ac:dyDescent="0.25">
      <c r="F87" s="13"/>
      <c r="G87" s="13"/>
    </row>
    <row r="88" spans="1:7" x14ac:dyDescent="0.25">
      <c r="C88" s="1" t="s">
        <v>1718</v>
      </c>
      <c r="F88" s="13"/>
      <c r="G88" s="13"/>
    </row>
    <row r="89" spans="1:7" x14ac:dyDescent="0.25">
      <c r="A89" s="49" t="s">
        <v>360</v>
      </c>
      <c r="F89" s="113" t="s">
        <v>194</v>
      </c>
      <c r="G89" s="113" t="s">
        <v>198</v>
      </c>
    </row>
    <row r="90" spans="1:7" x14ac:dyDescent="0.25">
      <c r="A90" s="492">
        <f>A86+1</f>
        <v>31</v>
      </c>
      <c r="E90" s="464" t="s">
        <v>1719</v>
      </c>
      <c r="F90" s="986">
        <v>0</v>
      </c>
      <c r="G90" s="465" t="str">
        <f>"4-TUTRR, Line "&amp;'4-TUTRR'!A29&amp;""</f>
        <v>4-TUTRR, Line 17</v>
      </c>
    </row>
    <row r="91" spans="1:7" ht="15" x14ac:dyDescent="0.4">
      <c r="A91" s="492">
        <f t="shared" ref="A91:A94" si="2">A90+1</f>
        <v>32</v>
      </c>
      <c r="E91" s="464" t="s">
        <v>1720</v>
      </c>
      <c r="F91" s="987">
        <v>0</v>
      </c>
      <c r="G91" s="465" t="str">
        <f>"4-TUTRR, Line "&amp;'4-TUTRR'!A24&amp;""</f>
        <v>4-TUTRR, Line 14</v>
      </c>
    </row>
    <row r="92" spans="1:7" x14ac:dyDescent="0.25">
      <c r="A92" s="492">
        <f t="shared" si="2"/>
        <v>33</v>
      </c>
      <c r="E92" s="464" t="s">
        <v>1721</v>
      </c>
      <c r="F92" s="986">
        <v>0</v>
      </c>
      <c r="G92" s="105" t="str">
        <f>"Line "&amp;A90&amp;" - Line "&amp;A91&amp;""</f>
        <v>Line 31 - Line 32</v>
      </c>
    </row>
    <row r="93" spans="1:7" x14ac:dyDescent="0.25">
      <c r="A93" s="492">
        <f t="shared" si="2"/>
        <v>34</v>
      </c>
      <c r="E93" s="464" t="s">
        <v>1722</v>
      </c>
      <c r="F93" s="970" t="s">
        <v>2690</v>
      </c>
      <c r="G93" s="465" t="str">
        <f>"1-BaseTRR, Line "&amp;'1-BaseTRR'!A80&amp;""</f>
        <v>1-BaseTRR, Line 46</v>
      </c>
    </row>
    <row r="94" spans="1:7" x14ac:dyDescent="0.25">
      <c r="A94" s="492">
        <f t="shared" si="2"/>
        <v>35</v>
      </c>
      <c r="E94" s="464" t="s">
        <v>1723</v>
      </c>
      <c r="F94" s="986">
        <v>0</v>
      </c>
      <c r="G94" s="105" t="str">
        <f>"Line "&amp;A92&amp;" * Line "&amp;A93&amp;""</f>
        <v>Line 33 * Line 34</v>
      </c>
    </row>
    <row r="95" spans="1:7" x14ac:dyDescent="0.25">
      <c r="F95" s="13"/>
      <c r="G95" s="13"/>
    </row>
    <row r="96" spans="1:7" x14ac:dyDescent="0.25">
      <c r="C96" s="1" t="s">
        <v>1724</v>
      </c>
      <c r="F96" s="13"/>
      <c r="G96" s="13"/>
    </row>
    <row r="97" spans="1:8" x14ac:dyDescent="0.25">
      <c r="A97" s="49" t="s">
        <v>360</v>
      </c>
      <c r="F97" s="13"/>
      <c r="G97" s="13"/>
    </row>
    <row r="98" spans="1:8" x14ac:dyDescent="0.25">
      <c r="A98" s="492">
        <f>A94+1</f>
        <v>36</v>
      </c>
      <c r="E98" s="464" t="s">
        <v>1725</v>
      </c>
      <c r="F98" s="970" t="s">
        <v>2690</v>
      </c>
      <c r="G98" s="105" t="str">
        <f>"Line "&amp;A86&amp;" / Line "&amp;A94&amp;""</f>
        <v>Line 30 / Line 35</v>
      </c>
      <c r="H98" s="13"/>
    </row>
    <row r="99" spans="1:8" x14ac:dyDescent="0.25">
      <c r="A99" s="492">
        <f t="shared" ref="A99:A101" si="3">A98+1</f>
        <v>37</v>
      </c>
      <c r="E99" s="464" t="s">
        <v>1726</v>
      </c>
      <c r="F99" s="13"/>
      <c r="G99" s="13"/>
    </row>
    <row r="100" spans="1:8" x14ac:dyDescent="0.25">
      <c r="A100" s="492">
        <f t="shared" si="3"/>
        <v>38</v>
      </c>
      <c r="E100" s="464" t="s">
        <v>1727</v>
      </c>
      <c r="F100" s="971" t="s">
        <v>2690</v>
      </c>
      <c r="G100" s="465" t="str">
        <f>"1-BaseTRR, Line "&amp;'1-BaseTRR'!A85&amp;""</f>
        <v>1-BaseTRR, Line 49</v>
      </c>
    </row>
    <row r="101" spans="1:8" x14ac:dyDescent="0.25">
      <c r="A101" s="492">
        <f t="shared" si="3"/>
        <v>39</v>
      </c>
      <c r="E101" s="464" t="s">
        <v>1728</v>
      </c>
      <c r="F101" s="970" t="s">
        <v>2690</v>
      </c>
      <c r="G101" s="105" t="str">
        <f>"Line "&amp;A98&amp;" + Line "&amp;A100&amp;""</f>
        <v>Line 36 + Line 38</v>
      </c>
    </row>
    <row r="103" spans="1:8" x14ac:dyDescent="0.25">
      <c r="B103" s="1" t="s">
        <v>420</v>
      </c>
    </row>
    <row r="104" spans="1:8" x14ac:dyDescent="0.25">
      <c r="B104" s="466" t="s">
        <v>587</v>
      </c>
    </row>
    <row r="105" spans="1:8" x14ac:dyDescent="0.25">
      <c r="B105" s="466" t="s">
        <v>588</v>
      </c>
    </row>
    <row r="107" spans="1:8" x14ac:dyDescent="0.25">
      <c r="B107" s="1" t="s">
        <v>256</v>
      </c>
    </row>
    <row r="108" spans="1:8" x14ac:dyDescent="0.25">
      <c r="B108" s="466" t="str">
        <f>"1) Column 1: The True Up Incentive Adder for each Incentive Project equals the IREF on Line "&amp;A17&amp;","</f>
        <v>1) Column 1: The True Up Incentive Adder for each Incentive Project equals the IREF on Line 3,</v>
      </c>
    </row>
    <row r="109" spans="1:8" x14ac:dyDescent="0.25">
      <c r="B109" s="466" t="str">
        <f>"times the applicable Multiplicative Factor on Lines "&amp;A54&amp;" to "&amp;A57&amp;", times the million $ of"</f>
        <v>times the applicable Multiplicative Factor on Lines 15 to 18, times the million $ of</v>
      </c>
    </row>
    <row r="110" spans="1:8" x14ac:dyDescent="0.25">
      <c r="B110" s="466" t="str">
        <f>"TIP Net Plant In Service on Lines "&amp;A68&amp;" to "&amp;A71&amp;"."</f>
        <v>TIP Net Plant In Service on Lines 21 to 24.</v>
      </c>
    </row>
    <row r="111" spans="1:8" x14ac:dyDescent="0.25">
      <c r="B111" s="466" t="s">
        <v>1729</v>
      </c>
    </row>
    <row r="112" spans="1:8" x14ac:dyDescent="0.25">
      <c r="B112" s="466" t="str">
        <f>"Column 1 by (1 - CTR) (Where the CTR is on Line "&amp;A16&amp;")."</f>
        <v>Column 1 by (1 - CTR) (Where the CTR is on Line 2).</v>
      </c>
    </row>
  </sheetData>
  <phoneticPr fontId="9" type="noConversion"/>
  <pageMargins left="0.75" right="0.75" top="1" bottom="1" header="0.5" footer="0.5"/>
  <pageSetup scale="75" orientation="portrait" cellComments="asDisplayed" r:id="rId1"/>
  <headerFooter alignWithMargins="0">
    <oddHeader xml:space="preserve">&amp;C&amp;"Arial,Bold"Schedule 15
Incentive Adders&amp;"Arial,Regular"
</oddHeader>
    <oddFooter>&amp;R&amp;A</oddFooter>
  </headerFooter>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zoomScaleNormal="100" workbookViewId="0"/>
  </sheetViews>
  <sheetFormatPr defaultRowHeight="13.2" x14ac:dyDescent="0.25"/>
  <cols>
    <col min="1" max="1" width="2.6640625" customWidth="1"/>
    <col min="2" max="2" width="18.6640625" customWidth="1"/>
    <col min="3" max="3" width="10.6640625" customWidth="1"/>
    <col min="4" max="4" width="66.6640625" customWidth="1"/>
  </cols>
  <sheetData>
    <row r="1" spans="1:4" x14ac:dyDescent="0.25">
      <c r="A1" s="1" t="s">
        <v>1261</v>
      </c>
      <c r="C1" s="1"/>
    </row>
    <row r="3" spans="1:4" x14ac:dyDescent="0.25">
      <c r="B3" s="3" t="s">
        <v>1262</v>
      </c>
      <c r="C3" s="3" t="s">
        <v>1335</v>
      </c>
      <c r="D3" s="376" t="s">
        <v>579</v>
      </c>
    </row>
    <row r="4" spans="1:4" x14ac:dyDescent="0.25">
      <c r="B4" s="347" t="s">
        <v>1201</v>
      </c>
      <c r="C4" s="59"/>
      <c r="D4" s="11" t="s">
        <v>1264</v>
      </c>
    </row>
    <row r="5" spans="1:4" x14ac:dyDescent="0.25">
      <c r="B5" s="594" t="s">
        <v>1263</v>
      </c>
      <c r="C5" s="59">
        <v>1</v>
      </c>
      <c r="D5" s="466" t="s">
        <v>2702</v>
      </c>
    </row>
    <row r="6" spans="1:4" x14ac:dyDescent="0.25">
      <c r="B6" s="594" t="s">
        <v>1212</v>
      </c>
      <c r="C6" s="59">
        <v>2</v>
      </c>
      <c r="D6" s="11" t="s">
        <v>1271</v>
      </c>
    </row>
    <row r="7" spans="1:4" x14ac:dyDescent="0.25">
      <c r="B7" s="594" t="s">
        <v>1213</v>
      </c>
      <c r="C7" s="59">
        <v>3</v>
      </c>
      <c r="D7" s="11" t="s">
        <v>1272</v>
      </c>
    </row>
    <row r="8" spans="1:4" x14ac:dyDescent="0.25">
      <c r="B8" s="594" t="s">
        <v>1688</v>
      </c>
      <c r="C8" s="59">
        <v>4</v>
      </c>
      <c r="D8" s="466" t="s">
        <v>1689</v>
      </c>
    </row>
    <row r="9" spans="1:4" x14ac:dyDescent="0.25">
      <c r="B9" s="594" t="s">
        <v>1202</v>
      </c>
      <c r="C9" s="59">
        <v>5</v>
      </c>
      <c r="D9" s="11" t="s">
        <v>1265</v>
      </c>
    </row>
    <row r="10" spans="1:4" x14ac:dyDescent="0.25">
      <c r="B10" s="594" t="s">
        <v>1205</v>
      </c>
      <c r="C10" s="59">
        <v>6</v>
      </c>
      <c r="D10" s="11" t="s">
        <v>1268</v>
      </c>
    </row>
    <row r="11" spans="1:4" x14ac:dyDescent="0.25">
      <c r="B11" s="594" t="s">
        <v>1206</v>
      </c>
      <c r="C11" s="59">
        <v>7</v>
      </c>
      <c r="D11" s="11" t="s">
        <v>1627</v>
      </c>
    </row>
    <row r="12" spans="1:4" x14ac:dyDescent="0.25">
      <c r="B12" s="594" t="s">
        <v>1215</v>
      </c>
      <c r="C12" s="59">
        <v>8</v>
      </c>
      <c r="D12" s="11" t="s">
        <v>1273</v>
      </c>
    </row>
    <row r="13" spans="1:4" x14ac:dyDescent="0.25">
      <c r="B13" s="594" t="s">
        <v>220</v>
      </c>
      <c r="C13" s="59">
        <v>9</v>
      </c>
      <c r="D13" s="11" t="s">
        <v>109</v>
      </c>
    </row>
    <row r="14" spans="1:4" x14ac:dyDescent="0.25">
      <c r="B14" s="594" t="s">
        <v>1</v>
      </c>
      <c r="C14" s="59">
        <v>10</v>
      </c>
      <c r="D14" s="466" t="s">
        <v>2701</v>
      </c>
    </row>
    <row r="15" spans="1:4" x14ac:dyDescent="0.25">
      <c r="B15" s="594" t="s">
        <v>1207</v>
      </c>
      <c r="C15" s="59">
        <v>11</v>
      </c>
      <c r="D15" s="11" t="s">
        <v>1320</v>
      </c>
    </row>
    <row r="16" spans="1:4" x14ac:dyDescent="0.25">
      <c r="B16" s="594" t="s">
        <v>1208</v>
      </c>
      <c r="C16" s="59">
        <v>12</v>
      </c>
      <c r="D16" s="11" t="s">
        <v>1269</v>
      </c>
    </row>
    <row r="17" spans="2:4" x14ac:dyDescent="0.25">
      <c r="B17" s="594" t="s">
        <v>1214</v>
      </c>
      <c r="C17" s="59">
        <v>13</v>
      </c>
      <c r="D17" s="11" t="s">
        <v>1283</v>
      </c>
    </row>
    <row r="18" spans="2:4" x14ac:dyDescent="0.25">
      <c r="B18" s="594" t="s">
        <v>1209</v>
      </c>
      <c r="C18" s="59">
        <v>14</v>
      </c>
      <c r="D18" s="11" t="s">
        <v>1270</v>
      </c>
    </row>
    <row r="19" spans="2:4" x14ac:dyDescent="0.25">
      <c r="B19" s="594" t="s">
        <v>1210</v>
      </c>
      <c r="C19" s="59">
        <v>15</v>
      </c>
      <c r="D19" s="466" t="s">
        <v>1924</v>
      </c>
    </row>
    <row r="20" spans="2:4" x14ac:dyDescent="0.25">
      <c r="B20" s="594" t="s">
        <v>1211</v>
      </c>
      <c r="C20" s="59">
        <v>16</v>
      </c>
      <c r="D20" s="11" t="s">
        <v>1328</v>
      </c>
    </row>
    <row r="21" spans="2:4" x14ac:dyDescent="0.25">
      <c r="B21" s="594" t="s">
        <v>1203</v>
      </c>
      <c r="C21" s="59">
        <v>17</v>
      </c>
      <c r="D21" s="11" t="s">
        <v>1266</v>
      </c>
    </row>
    <row r="22" spans="2:4" x14ac:dyDescent="0.25">
      <c r="B22" s="594" t="s">
        <v>1204</v>
      </c>
      <c r="C22" s="59">
        <v>18</v>
      </c>
      <c r="D22" s="11" t="s">
        <v>1267</v>
      </c>
    </row>
    <row r="23" spans="2:4" x14ac:dyDescent="0.25">
      <c r="B23" s="594" t="s">
        <v>1216</v>
      </c>
      <c r="C23" s="59">
        <v>19</v>
      </c>
      <c r="D23" s="11" t="s">
        <v>1274</v>
      </c>
    </row>
    <row r="24" spans="2:4" x14ac:dyDescent="0.25">
      <c r="B24" s="594" t="s">
        <v>1217</v>
      </c>
      <c r="C24" s="59">
        <v>20</v>
      </c>
      <c r="D24" s="466" t="s">
        <v>308</v>
      </c>
    </row>
    <row r="25" spans="2:4" x14ac:dyDescent="0.25">
      <c r="B25" s="594" t="s">
        <v>1240</v>
      </c>
      <c r="C25" s="59">
        <v>21</v>
      </c>
      <c r="D25" s="11" t="s">
        <v>1275</v>
      </c>
    </row>
    <row r="26" spans="2:4" x14ac:dyDescent="0.25">
      <c r="B26" s="594" t="s">
        <v>1241</v>
      </c>
      <c r="C26" s="59">
        <v>22</v>
      </c>
      <c r="D26" s="11" t="s">
        <v>1327</v>
      </c>
    </row>
    <row r="27" spans="2:4" x14ac:dyDescent="0.25">
      <c r="B27" s="594" t="s">
        <v>1242</v>
      </c>
      <c r="C27" s="59">
        <v>23</v>
      </c>
      <c r="D27" s="11" t="s">
        <v>1276</v>
      </c>
    </row>
    <row r="28" spans="2:4" ht="12.75" customHeight="1" x14ac:dyDescent="0.25">
      <c r="B28" s="594" t="s">
        <v>1609</v>
      </c>
      <c r="C28" s="59">
        <v>24</v>
      </c>
      <c r="D28" s="11" t="s">
        <v>1610</v>
      </c>
    </row>
    <row r="29" spans="2:4" x14ac:dyDescent="0.25">
      <c r="B29" s="594" t="s">
        <v>1547</v>
      </c>
      <c r="C29" s="59">
        <v>25</v>
      </c>
      <c r="D29" s="11" t="s">
        <v>1548</v>
      </c>
    </row>
    <row r="30" spans="2:4" x14ac:dyDescent="0.25">
      <c r="B30" s="594" t="s">
        <v>1245</v>
      </c>
      <c r="C30" s="59">
        <v>26</v>
      </c>
      <c r="D30" s="11" t="s">
        <v>1277</v>
      </c>
    </row>
    <row r="31" spans="2:4" x14ac:dyDescent="0.25">
      <c r="B31" s="594" t="s">
        <v>1244</v>
      </c>
      <c r="C31" s="59">
        <v>27</v>
      </c>
      <c r="D31" s="11" t="s">
        <v>221</v>
      </c>
    </row>
    <row r="32" spans="2:4" x14ac:dyDescent="0.25">
      <c r="B32" s="594" t="s">
        <v>1243</v>
      </c>
      <c r="C32" s="59">
        <v>28</v>
      </c>
      <c r="D32" s="11" t="s">
        <v>1278</v>
      </c>
    </row>
    <row r="33" spans="2:4" x14ac:dyDescent="0.25">
      <c r="B33" s="594" t="s">
        <v>1246</v>
      </c>
      <c r="C33" s="59">
        <v>29</v>
      </c>
      <c r="D33" s="11" t="s">
        <v>1279</v>
      </c>
    </row>
    <row r="34" spans="2:4" x14ac:dyDescent="0.25">
      <c r="B34" s="594" t="s">
        <v>1247</v>
      </c>
      <c r="C34" s="59">
        <v>30</v>
      </c>
      <c r="D34" s="11" t="s">
        <v>1329</v>
      </c>
    </row>
    <row r="35" spans="2:4" x14ac:dyDescent="0.25">
      <c r="B35" s="594" t="s">
        <v>1248</v>
      </c>
      <c r="C35" s="59">
        <v>31</v>
      </c>
      <c r="D35" s="11" t="s">
        <v>1280</v>
      </c>
    </row>
    <row r="36" spans="2:4" x14ac:dyDescent="0.25">
      <c r="B36" s="594" t="s">
        <v>1249</v>
      </c>
      <c r="C36" s="59">
        <v>32</v>
      </c>
      <c r="D36" s="11" t="s">
        <v>1281</v>
      </c>
    </row>
    <row r="37" spans="2:4" x14ac:dyDescent="0.25">
      <c r="B37" s="594" t="s">
        <v>1250</v>
      </c>
      <c r="C37" s="454">
        <v>33</v>
      </c>
      <c r="D37" s="11" t="s">
        <v>1282</v>
      </c>
    </row>
    <row r="38" spans="2:4" x14ac:dyDescent="0.25">
      <c r="B38" s="921" t="s">
        <v>2407</v>
      </c>
      <c r="C38" s="883">
        <v>34</v>
      </c>
      <c r="D38" s="468" t="s">
        <v>2453</v>
      </c>
    </row>
    <row r="39" spans="2:4" x14ac:dyDescent="0.25">
      <c r="B39" s="921" t="s">
        <v>533</v>
      </c>
      <c r="C39" s="883">
        <v>35</v>
      </c>
      <c r="D39" s="468" t="s">
        <v>2400</v>
      </c>
    </row>
    <row r="40" spans="2:4" x14ac:dyDescent="0.25">
      <c r="B40" s="11"/>
    </row>
    <row r="41" spans="2:4" x14ac:dyDescent="0.25">
      <c r="B41" s="11"/>
    </row>
    <row r="42" spans="2:4" x14ac:dyDescent="0.25">
      <c r="B42" s="11"/>
    </row>
    <row r="43" spans="2:4" x14ac:dyDescent="0.25">
      <c r="B43" s="11"/>
    </row>
  </sheetData>
  <hyperlinks>
    <hyperlink ref="B9" location="'5-ROR-1'!A1" display="ROR"/>
    <hyperlink ref="B4" location="Overview!A1" display="Overview"/>
    <hyperlink ref="B5" location="'1-BaseTRR'!A1" display="BaseTRR"/>
    <hyperlink ref="B21" location="'17-Depreciation'!A1" display="Depreciation"/>
    <hyperlink ref="B22" location="'18-DepRates'!A1" display="DepRates"/>
    <hyperlink ref="B10" location="'6-PlantInService'!A1" display="PlantInService"/>
    <hyperlink ref="B11" location="'7-PlantStudy'!A1" display="PlantStudy"/>
    <hyperlink ref="B15" location="'11-PHFU'!A1" display="PHFU"/>
    <hyperlink ref="B16" location="'12-AbandonedPlant'!A1" display="AbandonedPlant"/>
    <hyperlink ref="B18" location="'14-IncentivePlant'!A1" display="IncentivePlant"/>
    <hyperlink ref="B19" location="'15-IncentiveAdder'!A1" display="IncentiveAdder"/>
    <hyperlink ref="B20" location="'16-PlantAdditions'!A1" display="PlantAdditions"/>
    <hyperlink ref="B14" location="'10-CWIP'!A1" display="CWIP"/>
    <hyperlink ref="B6" location="'2-IFPTRR'!A1" display="IFPTRR"/>
    <hyperlink ref="B8" location="'4-TUTRR'!A1" display="TUTRR"/>
    <hyperlink ref="B7" location="'3-TrueUpAdjust'!A1" display="TrueUpAdjust"/>
    <hyperlink ref="B17" location="'13-WorkCap'!A1" display="WorkCap"/>
    <hyperlink ref="B12" location="'8-AccDep'!A1" display="AccDep"/>
    <hyperlink ref="B23" location="'19-OandM'!A1" display="OandM"/>
    <hyperlink ref="B24" location="'20-AandG'!A1" display="AandG"/>
    <hyperlink ref="B13" location="'9-ADIT'!A1" display="ADIT"/>
    <hyperlink ref="B25" location="'21-RevenueCredits'!A1" display="RevenueCredits"/>
    <hyperlink ref="B26" location="'22-NUCs'!A1" display="NUCs"/>
    <hyperlink ref="B27" location="'23-RegAssets'!A1" display="RegAssets"/>
    <hyperlink ref="B29" location="'25-WholesaleDifference'!A1" display="WholesaleDifference"/>
    <hyperlink ref="B30" location="'26-TaxRates'!A1" display="TaxRates"/>
    <hyperlink ref="B31" location="'27-Allocators'!A1" display="Allocators"/>
    <hyperlink ref="B32" location="'28-FFU'!A1" display="FFU"/>
    <hyperlink ref="B33" location="'29-WholesaleTRRs'!A1" display="WholesaleTRRs"/>
    <hyperlink ref="B34" location="'30-WholesaleRates'!A1" display="Wholesale Rates"/>
    <hyperlink ref="B35" location="'31-HVLV'!A1" display="HVLV"/>
    <hyperlink ref="B36" location="'32-GrossLoad'!A1" display="GrossLoad"/>
    <hyperlink ref="B37" location="'33-RetailRates'!A1" display="RetailRates"/>
    <hyperlink ref="B28" location="'24-CWIPTRR'!A1" display="CWIPTRR"/>
    <hyperlink ref="B39" location="'35-PBOPs'!A1" display="PBOPs"/>
  </hyperlinks>
  <pageMargins left="0.7" right="0.7" top="0.75" bottom="0.75" header="0.3" footer="0.3"/>
  <pageSetup scale="90" orientation="portrait" cellComments="asDisplayed"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204"/>
  <sheetViews>
    <sheetView zoomScale="85" zoomScaleNormal="85" workbookViewId="0"/>
  </sheetViews>
  <sheetFormatPr defaultColWidth="9.109375" defaultRowHeight="13.2" x14ac:dyDescent="0.25"/>
  <cols>
    <col min="1" max="1" width="4.6640625" style="644" customWidth="1"/>
    <col min="2" max="2" width="6" style="644" customWidth="1"/>
    <col min="3" max="3" width="15.6640625" style="644" customWidth="1"/>
    <col min="4" max="4" width="9.109375" style="644" customWidth="1"/>
    <col min="5" max="6" width="14.6640625" style="644" customWidth="1"/>
    <col min="7" max="7" width="16" style="644" bestFit="1" customWidth="1"/>
    <col min="8" max="8" width="18.33203125" style="644" customWidth="1"/>
    <col min="9" max="10" width="15.6640625" style="644" customWidth="1"/>
    <col min="11" max="11" width="16.88671875" style="644" customWidth="1"/>
    <col min="12" max="16" width="15.6640625" style="644" customWidth="1"/>
    <col min="17" max="17" width="2.88671875" style="644" customWidth="1"/>
    <col min="18" max="21" width="18.6640625" style="644" customWidth="1"/>
    <col min="22" max="22" width="15.6640625" style="644" customWidth="1"/>
    <col min="23" max="23" width="20.88671875" style="644" bestFit="1" customWidth="1"/>
    <col min="24" max="40" width="15.6640625" style="644" customWidth="1"/>
    <col min="41" max="16384" width="9.109375" style="644"/>
  </cols>
  <sheetData>
    <row r="1" spans="1:40" x14ac:dyDescent="0.25">
      <c r="A1" s="607" t="s">
        <v>1616</v>
      </c>
    </row>
    <row r="2" spans="1:40" x14ac:dyDescent="0.25">
      <c r="F2" s="645" t="s">
        <v>384</v>
      </c>
      <c r="G2" s="645"/>
    </row>
    <row r="3" spans="1:40" x14ac:dyDescent="0.25">
      <c r="B3" s="608" t="s">
        <v>1617</v>
      </c>
    </row>
    <row r="4" spans="1:40" x14ac:dyDescent="0.25">
      <c r="B4" s="608" t="s">
        <v>2356</v>
      </c>
    </row>
    <row r="5" spans="1:40" x14ac:dyDescent="0.25">
      <c r="B5" s="608" t="s">
        <v>2357</v>
      </c>
    </row>
    <row r="6" spans="1:40" x14ac:dyDescent="0.25">
      <c r="B6" s="608"/>
    </row>
    <row r="7" spans="1:40" x14ac:dyDescent="0.25">
      <c r="B7" s="607" t="s">
        <v>2358</v>
      </c>
      <c r="H7" s="608"/>
      <c r="I7" s="608"/>
    </row>
    <row r="8" spans="1:40" x14ac:dyDescent="0.25">
      <c r="B8" s="608"/>
      <c r="E8" s="646" t="s">
        <v>394</v>
      </c>
      <c r="F8" s="646" t="s">
        <v>378</v>
      </c>
      <c r="G8" s="646" t="s">
        <v>379</v>
      </c>
      <c r="H8" s="646" t="s">
        <v>380</v>
      </c>
      <c r="I8" s="646" t="s">
        <v>381</v>
      </c>
      <c r="J8" s="646" t="s">
        <v>382</v>
      </c>
      <c r="K8" s="646" t="s">
        <v>383</v>
      </c>
      <c r="L8" s="646" t="s">
        <v>595</v>
      </c>
      <c r="M8" s="646" t="s">
        <v>1043</v>
      </c>
      <c r="N8" s="646" t="s">
        <v>1059</v>
      </c>
      <c r="O8" s="646" t="s">
        <v>1062</v>
      </c>
      <c r="P8" s="646" t="s">
        <v>1080</v>
      </c>
      <c r="T8" s="646"/>
      <c r="U8" s="646"/>
      <c r="X8" s="647"/>
      <c r="Y8" s="647"/>
      <c r="Z8" s="647"/>
      <c r="AA8" s="647"/>
      <c r="AB8" s="647"/>
      <c r="AC8" s="647"/>
      <c r="AD8" s="647"/>
      <c r="AE8" s="647"/>
      <c r="AF8" s="647"/>
      <c r="AG8" s="647"/>
      <c r="AH8" s="647"/>
      <c r="AI8" s="647"/>
      <c r="AJ8" s="647"/>
      <c r="AK8" s="647"/>
      <c r="AL8" s="647"/>
      <c r="AM8" s="647"/>
      <c r="AN8" s="647"/>
    </row>
    <row r="9" spans="1:40" x14ac:dyDescent="0.25">
      <c r="B9" s="608"/>
      <c r="E9" s="648" t="s">
        <v>235</v>
      </c>
      <c r="F9" s="648" t="s">
        <v>235</v>
      </c>
      <c r="G9" s="648" t="s">
        <v>235</v>
      </c>
      <c r="H9" s="648" t="s">
        <v>235</v>
      </c>
      <c r="I9" s="648" t="s">
        <v>235</v>
      </c>
      <c r="J9" s="648" t="s">
        <v>235</v>
      </c>
      <c r="K9" s="648" t="s">
        <v>235</v>
      </c>
      <c r="L9" s="648" t="s">
        <v>235</v>
      </c>
      <c r="M9" s="648" t="s">
        <v>235</v>
      </c>
      <c r="N9" s="648" t="s">
        <v>235</v>
      </c>
      <c r="O9" s="648" t="s">
        <v>235</v>
      </c>
      <c r="P9" s="648" t="s">
        <v>235</v>
      </c>
      <c r="Q9" s="650"/>
    </row>
    <row r="10" spans="1:40" x14ac:dyDescent="0.25">
      <c r="C10" s="651" t="s">
        <v>217</v>
      </c>
      <c r="E10" s="651" t="s">
        <v>2322</v>
      </c>
      <c r="F10" s="651"/>
      <c r="G10" s="651"/>
      <c r="H10" s="652"/>
      <c r="I10" s="652" t="s">
        <v>2307</v>
      </c>
      <c r="J10" s="652"/>
      <c r="K10" s="652"/>
      <c r="L10" s="652"/>
      <c r="M10" s="652"/>
      <c r="O10" s="651" t="s">
        <v>2322</v>
      </c>
      <c r="P10" s="651" t="s">
        <v>2359</v>
      </c>
      <c r="T10" s="652"/>
      <c r="U10" s="652"/>
      <c r="X10" s="652"/>
      <c r="Y10" s="652"/>
      <c r="Z10" s="652"/>
      <c r="AA10" s="652"/>
      <c r="AB10" s="652"/>
      <c r="AC10" s="652"/>
      <c r="AD10" s="652"/>
      <c r="AE10" s="652"/>
      <c r="AF10" s="652"/>
      <c r="AG10" s="652"/>
      <c r="AH10" s="652"/>
      <c r="AI10" s="652"/>
      <c r="AJ10" s="652"/>
      <c r="AK10" s="652"/>
      <c r="AL10" s="652"/>
      <c r="AM10" s="652"/>
      <c r="AN10" s="652"/>
    </row>
    <row r="11" spans="1:40" x14ac:dyDescent="0.25">
      <c r="B11" s="607"/>
      <c r="C11" s="651" t="s">
        <v>218</v>
      </c>
      <c r="E11" s="651" t="s">
        <v>215</v>
      </c>
      <c r="F11" s="651" t="s">
        <v>2324</v>
      </c>
      <c r="G11" s="652" t="s">
        <v>2325</v>
      </c>
      <c r="H11" s="652" t="s">
        <v>2308</v>
      </c>
      <c r="I11" s="652" t="s">
        <v>2360</v>
      </c>
      <c r="J11" s="652"/>
      <c r="K11" s="652" t="s">
        <v>327</v>
      </c>
      <c r="L11" s="652" t="s">
        <v>1203</v>
      </c>
      <c r="M11" s="652" t="s">
        <v>327</v>
      </c>
      <c r="O11" s="652" t="s">
        <v>1836</v>
      </c>
      <c r="P11" s="652" t="s">
        <v>1836</v>
      </c>
      <c r="T11" s="652"/>
      <c r="U11" s="652"/>
      <c r="X11" s="652"/>
      <c r="Y11" s="652"/>
      <c r="Z11" s="652"/>
      <c r="AA11" s="652"/>
      <c r="AB11" s="652"/>
      <c r="AC11" s="652"/>
      <c r="AD11" s="652"/>
      <c r="AE11" s="652"/>
      <c r="AF11" s="652"/>
      <c r="AG11" s="652"/>
      <c r="AH11" s="652"/>
      <c r="AI11" s="652"/>
      <c r="AJ11" s="652"/>
      <c r="AK11" s="652"/>
      <c r="AL11" s="652"/>
      <c r="AM11" s="652"/>
      <c r="AN11" s="652"/>
    </row>
    <row r="12" spans="1:40" x14ac:dyDescent="0.25">
      <c r="A12" s="653" t="s">
        <v>360</v>
      </c>
      <c r="C12" s="636" t="s">
        <v>211</v>
      </c>
      <c r="D12" s="636" t="s">
        <v>212</v>
      </c>
      <c r="E12" s="647" t="s">
        <v>2328</v>
      </c>
      <c r="F12" s="647" t="s">
        <v>2329</v>
      </c>
      <c r="G12" s="654" t="s">
        <v>2330</v>
      </c>
      <c r="H12" s="654" t="s">
        <v>1115</v>
      </c>
      <c r="I12" s="654" t="s">
        <v>1101</v>
      </c>
      <c r="J12" s="654" t="s">
        <v>2307</v>
      </c>
      <c r="K12" s="654" t="s">
        <v>507</v>
      </c>
      <c r="L12" s="654" t="s">
        <v>2313</v>
      </c>
      <c r="M12" s="654" t="s">
        <v>1502</v>
      </c>
      <c r="N12" s="654" t="s">
        <v>1090</v>
      </c>
      <c r="O12" s="654" t="s">
        <v>1101</v>
      </c>
      <c r="P12" s="654" t="s">
        <v>1101</v>
      </c>
      <c r="T12" s="654"/>
      <c r="U12" s="654"/>
      <c r="V12" s="654"/>
      <c r="W12" s="654"/>
      <c r="X12" s="654"/>
      <c r="Y12" s="654"/>
      <c r="Z12" s="654"/>
      <c r="AA12" s="654"/>
      <c r="AB12" s="654"/>
      <c r="AC12" s="654"/>
      <c r="AD12" s="654"/>
      <c r="AE12" s="654"/>
      <c r="AF12" s="654"/>
      <c r="AG12" s="654"/>
      <c r="AH12" s="654"/>
      <c r="AI12" s="654"/>
      <c r="AJ12" s="654"/>
      <c r="AK12" s="654"/>
      <c r="AL12" s="654"/>
      <c r="AM12" s="654"/>
      <c r="AN12" s="654"/>
    </row>
    <row r="13" spans="1:40" x14ac:dyDescent="0.25">
      <c r="A13" s="651">
        <v>1</v>
      </c>
      <c r="C13" s="644" t="str">
        <f>C45</f>
        <v>January</v>
      </c>
      <c r="D13" s="979" t="s">
        <v>1562</v>
      </c>
      <c r="E13" s="986">
        <v>0</v>
      </c>
      <c r="F13" s="986">
        <v>0</v>
      </c>
      <c r="G13" s="986">
        <v>0</v>
      </c>
      <c r="H13" s="986">
        <v>0</v>
      </c>
      <c r="I13" s="986">
        <v>0</v>
      </c>
      <c r="J13" s="986">
        <v>0</v>
      </c>
      <c r="K13" s="986">
        <v>0</v>
      </c>
      <c r="L13" s="986">
        <v>0</v>
      </c>
      <c r="M13" s="986">
        <v>0</v>
      </c>
      <c r="N13" s="986">
        <v>0</v>
      </c>
      <c r="O13" s="986">
        <v>0</v>
      </c>
      <c r="P13" s="986">
        <v>0</v>
      </c>
      <c r="T13" s="655"/>
      <c r="U13" s="655"/>
      <c r="V13" s="656"/>
      <c r="W13" s="655"/>
      <c r="X13" s="657"/>
      <c r="Y13" s="478"/>
      <c r="Z13" s="655"/>
      <c r="AA13" s="655"/>
      <c r="AB13" s="655"/>
      <c r="AC13" s="655"/>
      <c r="AD13" s="655"/>
      <c r="AE13" s="655"/>
      <c r="AF13" s="655"/>
      <c r="AG13" s="655"/>
      <c r="AH13" s="655"/>
      <c r="AI13" s="655"/>
      <c r="AJ13" s="655"/>
      <c r="AK13" s="655"/>
      <c r="AL13" s="655"/>
      <c r="AM13" s="655"/>
      <c r="AN13" s="655"/>
    </row>
    <row r="14" spans="1:40" x14ac:dyDescent="0.25">
      <c r="A14" s="651">
        <f>A13+1</f>
        <v>2</v>
      </c>
      <c r="C14" s="644" t="str">
        <f t="shared" ref="C14:C29" si="0">C46</f>
        <v>February</v>
      </c>
      <c r="D14" s="979" t="s">
        <v>1562</v>
      </c>
      <c r="E14" s="986">
        <v>0</v>
      </c>
      <c r="F14" s="986">
        <v>0</v>
      </c>
      <c r="G14" s="986">
        <v>0</v>
      </c>
      <c r="H14" s="986">
        <v>0</v>
      </c>
      <c r="I14" s="986">
        <v>0</v>
      </c>
      <c r="J14" s="986">
        <v>0</v>
      </c>
      <c r="K14" s="986">
        <v>0</v>
      </c>
      <c r="L14" s="986">
        <v>0</v>
      </c>
      <c r="M14" s="986">
        <v>0</v>
      </c>
      <c r="N14" s="986">
        <v>0</v>
      </c>
      <c r="O14" s="986">
        <v>0</v>
      </c>
      <c r="P14" s="986">
        <v>0</v>
      </c>
      <c r="T14" s="655"/>
      <c r="U14" s="655"/>
      <c r="V14" s="656"/>
      <c r="W14" s="655"/>
      <c r="X14" s="657"/>
      <c r="Y14" s="478"/>
      <c r="Z14" s="655"/>
      <c r="AA14" s="655"/>
      <c r="AB14" s="655"/>
      <c r="AC14" s="655"/>
      <c r="AD14" s="655"/>
      <c r="AE14" s="655"/>
      <c r="AF14" s="655"/>
      <c r="AG14" s="655"/>
      <c r="AH14" s="655"/>
      <c r="AI14" s="655"/>
      <c r="AJ14" s="655"/>
      <c r="AK14" s="655"/>
      <c r="AL14" s="655"/>
      <c r="AM14" s="655"/>
      <c r="AN14" s="655"/>
    </row>
    <row r="15" spans="1:40" x14ac:dyDescent="0.25">
      <c r="A15" s="651">
        <f t="shared" ref="A15:A37" si="1">A14+1</f>
        <v>3</v>
      </c>
      <c r="C15" s="644" t="str">
        <f t="shared" si="0"/>
        <v>March</v>
      </c>
      <c r="D15" s="979" t="s">
        <v>1562</v>
      </c>
      <c r="E15" s="986">
        <v>0</v>
      </c>
      <c r="F15" s="986">
        <v>0</v>
      </c>
      <c r="G15" s="986">
        <v>0</v>
      </c>
      <c r="H15" s="986">
        <v>0</v>
      </c>
      <c r="I15" s="986">
        <v>0</v>
      </c>
      <c r="J15" s="986">
        <v>0</v>
      </c>
      <c r="K15" s="986">
        <v>0</v>
      </c>
      <c r="L15" s="986">
        <v>0</v>
      </c>
      <c r="M15" s="986">
        <v>0</v>
      </c>
      <c r="N15" s="986">
        <v>0</v>
      </c>
      <c r="O15" s="986">
        <v>0</v>
      </c>
      <c r="P15" s="986">
        <v>0</v>
      </c>
      <c r="T15" s="655"/>
      <c r="U15" s="655"/>
      <c r="V15" s="656"/>
      <c r="W15" s="655"/>
      <c r="X15" s="657"/>
      <c r="Y15" s="478"/>
      <c r="Z15" s="655"/>
      <c r="AA15" s="655"/>
      <c r="AB15" s="655"/>
      <c r="AC15" s="655"/>
      <c r="AD15" s="655"/>
      <c r="AE15" s="655"/>
      <c r="AF15" s="655"/>
      <c r="AG15" s="655"/>
      <c r="AH15" s="655"/>
      <c r="AI15" s="655"/>
      <c r="AJ15" s="655"/>
      <c r="AK15" s="655"/>
      <c r="AL15" s="655"/>
      <c r="AM15" s="655"/>
      <c r="AN15" s="655"/>
    </row>
    <row r="16" spans="1:40" x14ac:dyDescent="0.25">
      <c r="A16" s="651">
        <f t="shared" si="1"/>
        <v>4</v>
      </c>
      <c r="C16" s="644" t="str">
        <f t="shared" si="0"/>
        <v>April</v>
      </c>
      <c r="D16" s="979" t="s">
        <v>1562</v>
      </c>
      <c r="E16" s="986">
        <v>0</v>
      </c>
      <c r="F16" s="986">
        <v>0</v>
      </c>
      <c r="G16" s="986">
        <v>0</v>
      </c>
      <c r="H16" s="986">
        <v>0</v>
      </c>
      <c r="I16" s="986">
        <v>0</v>
      </c>
      <c r="J16" s="986">
        <v>0</v>
      </c>
      <c r="K16" s="986">
        <v>0</v>
      </c>
      <c r="L16" s="986">
        <v>0</v>
      </c>
      <c r="M16" s="986">
        <v>0</v>
      </c>
      <c r="N16" s="986">
        <v>0</v>
      </c>
      <c r="O16" s="986">
        <v>0</v>
      </c>
      <c r="P16" s="986">
        <v>0</v>
      </c>
      <c r="T16" s="655"/>
      <c r="U16" s="655"/>
      <c r="V16" s="656"/>
      <c r="W16" s="655"/>
      <c r="X16" s="657"/>
      <c r="Y16" s="478"/>
      <c r="Z16" s="655"/>
      <c r="AA16" s="655"/>
      <c r="AB16" s="655"/>
      <c r="AC16" s="655"/>
      <c r="AD16" s="655"/>
      <c r="AE16" s="655"/>
      <c r="AF16" s="655"/>
      <c r="AG16" s="655"/>
      <c r="AH16" s="655"/>
      <c r="AI16" s="655"/>
      <c r="AJ16" s="655"/>
      <c r="AK16" s="655"/>
      <c r="AL16" s="655"/>
      <c r="AM16" s="655"/>
      <c r="AN16" s="655"/>
    </row>
    <row r="17" spans="1:40" x14ac:dyDescent="0.25">
      <c r="A17" s="651">
        <f t="shared" si="1"/>
        <v>5</v>
      </c>
      <c r="C17" s="644" t="str">
        <f t="shared" si="0"/>
        <v>May</v>
      </c>
      <c r="D17" s="979" t="s">
        <v>1562</v>
      </c>
      <c r="E17" s="986">
        <v>0</v>
      </c>
      <c r="F17" s="986">
        <v>0</v>
      </c>
      <c r="G17" s="986">
        <v>0</v>
      </c>
      <c r="H17" s="986">
        <v>0</v>
      </c>
      <c r="I17" s="986">
        <v>0</v>
      </c>
      <c r="J17" s="986">
        <v>0</v>
      </c>
      <c r="K17" s="986">
        <v>0</v>
      </c>
      <c r="L17" s="986">
        <v>0</v>
      </c>
      <c r="M17" s="986">
        <v>0</v>
      </c>
      <c r="N17" s="986">
        <v>0</v>
      </c>
      <c r="O17" s="986">
        <v>0</v>
      </c>
      <c r="P17" s="986">
        <v>0</v>
      </c>
      <c r="T17" s="655"/>
      <c r="U17" s="655"/>
      <c r="V17" s="656"/>
      <c r="W17" s="655"/>
      <c r="X17" s="657"/>
      <c r="Y17" s="478"/>
      <c r="Z17" s="655"/>
      <c r="AA17" s="655"/>
      <c r="AB17" s="655"/>
      <c r="AC17" s="655"/>
      <c r="AD17" s="655"/>
      <c r="AE17" s="655"/>
      <c r="AF17" s="655"/>
      <c r="AG17" s="655"/>
      <c r="AH17" s="655"/>
      <c r="AI17" s="655"/>
      <c r="AJ17" s="655"/>
      <c r="AK17" s="655"/>
      <c r="AL17" s="655"/>
      <c r="AM17" s="655"/>
      <c r="AN17" s="655"/>
    </row>
    <row r="18" spans="1:40" x14ac:dyDescent="0.25">
      <c r="A18" s="651">
        <f t="shared" si="1"/>
        <v>6</v>
      </c>
      <c r="C18" s="644" t="str">
        <f t="shared" si="0"/>
        <v xml:space="preserve">June </v>
      </c>
      <c r="D18" s="979" t="s">
        <v>1562</v>
      </c>
      <c r="E18" s="986">
        <v>0</v>
      </c>
      <c r="F18" s="986">
        <v>0</v>
      </c>
      <c r="G18" s="986">
        <v>0</v>
      </c>
      <c r="H18" s="986">
        <v>0</v>
      </c>
      <c r="I18" s="986">
        <v>0</v>
      </c>
      <c r="J18" s="986">
        <v>0</v>
      </c>
      <c r="K18" s="986">
        <v>0</v>
      </c>
      <c r="L18" s="986">
        <v>0</v>
      </c>
      <c r="M18" s="986">
        <v>0</v>
      </c>
      <c r="N18" s="986">
        <v>0</v>
      </c>
      <c r="O18" s="986">
        <v>0</v>
      </c>
      <c r="P18" s="986">
        <v>0</v>
      </c>
      <c r="T18" s="655"/>
      <c r="U18" s="655"/>
      <c r="V18" s="656"/>
      <c r="W18" s="655"/>
      <c r="X18" s="657"/>
      <c r="Y18" s="478"/>
      <c r="Z18" s="655"/>
      <c r="AA18" s="655"/>
      <c r="AB18" s="655"/>
      <c r="AC18" s="655"/>
      <c r="AD18" s="655"/>
      <c r="AE18" s="655"/>
      <c r="AF18" s="655"/>
      <c r="AG18" s="655"/>
      <c r="AH18" s="655"/>
      <c r="AI18" s="655"/>
      <c r="AJ18" s="655"/>
      <c r="AK18" s="655"/>
      <c r="AL18" s="655"/>
      <c r="AM18" s="655"/>
      <c r="AN18" s="655"/>
    </row>
    <row r="19" spans="1:40" x14ac:dyDescent="0.25">
      <c r="A19" s="651">
        <f t="shared" si="1"/>
        <v>7</v>
      </c>
      <c r="C19" s="644" t="str">
        <f t="shared" si="0"/>
        <v>July</v>
      </c>
      <c r="D19" s="979" t="s">
        <v>1562</v>
      </c>
      <c r="E19" s="986">
        <v>0</v>
      </c>
      <c r="F19" s="986">
        <v>0</v>
      </c>
      <c r="G19" s="986">
        <v>0</v>
      </c>
      <c r="H19" s="986">
        <v>0</v>
      </c>
      <c r="I19" s="986">
        <v>0</v>
      </c>
      <c r="J19" s="986">
        <v>0</v>
      </c>
      <c r="K19" s="986">
        <v>0</v>
      </c>
      <c r="L19" s="986">
        <v>0</v>
      </c>
      <c r="M19" s="986">
        <v>0</v>
      </c>
      <c r="N19" s="986">
        <v>0</v>
      </c>
      <c r="O19" s="986">
        <v>0</v>
      </c>
      <c r="P19" s="986">
        <v>0</v>
      </c>
      <c r="T19" s="655"/>
      <c r="U19" s="655"/>
      <c r="V19" s="656"/>
      <c r="W19" s="655"/>
      <c r="X19" s="657"/>
      <c r="Y19" s="478"/>
      <c r="Z19" s="655"/>
      <c r="AA19" s="655"/>
      <c r="AB19" s="655"/>
      <c r="AC19" s="655"/>
      <c r="AD19" s="655"/>
      <c r="AE19" s="655"/>
      <c r="AF19" s="655"/>
      <c r="AG19" s="655"/>
      <c r="AH19" s="655"/>
      <c r="AI19" s="655"/>
      <c r="AJ19" s="655"/>
      <c r="AK19" s="655"/>
      <c r="AL19" s="655"/>
      <c r="AM19" s="655"/>
      <c r="AN19" s="655"/>
    </row>
    <row r="20" spans="1:40" x14ac:dyDescent="0.25">
      <c r="A20" s="651">
        <f t="shared" si="1"/>
        <v>8</v>
      </c>
      <c r="C20" s="644" t="str">
        <f t="shared" si="0"/>
        <v>August</v>
      </c>
      <c r="D20" s="979" t="s">
        <v>1562</v>
      </c>
      <c r="E20" s="986">
        <v>0</v>
      </c>
      <c r="F20" s="986">
        <v>0</v>
      </c>
      <c r="G20" s="986">
        <v>0</v>
      </c>
      <c r="H20" s="986">
        <v>0</v>
      </c>
      <c r="I20" s="986">
        <v>0</v>
      </c>
      <c r="J20" s="986">
        <v>0</v>
      </c>
      <c r="K20" s="986">
        <v>0</v>
      </c>
      <c r="L20" s="986">
        <v>0</v>
      </c>
      <c r="M20" s="986">
        <v>0</v>
      </c>
      <c r="N20" s="986">
        <v>0</v>
      </c>
      <c r="O20" s="986">
        <v>0</v>
      </c>
      <c r="P20" s="986">
        <v>0</v>
      </c>
      <c r="T20" s="655"/>
      <c r="U20" s="655"/>
      <c r="V20" s="656"/>
      <c r="W20" s="655"/>
      <c r="X20" s="657"/>
      <c r="Y20" s="478"/>
      <c r="Z20" s="655"/>
      <c r="AA20" s="655"/>
      <c r="AB20" s="655"/>
      <c r="AC20" s="655"/>
      <c r="AD20" s="655"/>
      <c r="AE20" s="655"/>
      <c r="AF20" s="655"/>
      <c r="AG20" s="655"/>
      <c r="AH20" s="655"/>
      <c r="AI20" s="655"/>
      <c r="AJ20" s="655"/>
      <c r="AK20" s="655"/>
      <c r="AL20" s="655"/>
      <c r="AM20" s="655"/>
      <c r="AN20" s="655"/>
    </row>
    <row r="21" spans="1:40" x14ac:dyDescent="0.25">
      <c r="A21" s="651">
        <f t="shared" si="1"/>
        <v>9</v>
      </c>
      <c r="C21" s="644" t="str">
        <f t="shared" si="0"/>
        <v>September</v>
      </c>
      <c r="D21" s="979" t="s">
        <v>1562</v>
      </c>
      <c r="E21" s="986">
        <v>0</v>
      </c>
      <c r="F21" s="986">
        <v>0</v>
      </c>
      <c r="G21" s="986">
        <v>0</v>
      </c>
      <c r="H21" s="986">
        <v>0</v>
      </c>
      <c r="I21" s="986">
        <v>0</v>
      </c>
      <c r="J21" s="986">
        <v>0</v>
      </c>
      <c r="K21" s="986">
        <v>0</v>
      </c>
      <c r="L21" s="986">
        <v>0</v>
      </c>
      <c r="M21" s="986">
        <v>0</v>
      </c>
      <c r="N21" s="986">
        <v>0</v>
      </c>
      <c r="O21" s="986">
        <v>0</v>
      </c>
      <c r="P21" s="986">
        <v>0</v>
      </c>
      <c r="T21" s="655"/>
      <c r="U21" s="655"/>
      <c r="V21" s="656"/>
      <c r="W21" s="655"/>
      <c r="X21" s="657"/>
      <c r="Y21" s="478"/>
      <c r="Z21" s="655"/>
      <c r="AA21" s="655"/>
      <c r="AB21" s="655"/>
      <c r="AC21" s="655"/>
      <c r="AD21" s="655"/>
      <c r="AE21" s="655"/>
      <c r="AF21" s="655"/>
      <c r="AG21" s="655"/>
      <c r="AH21" s="655"/>
      <c r="AI21" s="655"/>
      <c r="AJ21" s="655"/>
      <c r="AK21" s="655"/>
      <c r="AL21" s="655"/>
      <c r="AM21" s="655"/>
      <c r="AN21" s="655"/>
    </row>
    <row r="22" spans="1:40" x14ac:dyDescent="0.25">
      <c r="A22" s="651">
        <f t="shared" si="1"/>
        <v>10</v>
      </c>
      <c r="C22" s="644" t="str">
        <f t="shared" si="0"/>
        <v xml:space="preserve">October </v>
      </c>
      <c r="D22" s="979" t="s">
        <v>1562</v>
      </c>
      <c r="E22" s="986">
        <v>0</v>
      </c>
      <c r="F22" s="986">
        <v>0</v>
      </c>
      <c r="G22" s="986">
        <v>0</v>
      </c>
      <c r="H22" s="986">
        <v>0</v>
      </c>
      <c r="I22" s="986">
        <v>0</v>
      </c>
      <c r="J22" s="986">
        <v>0</v>
      </c>
      <c r="K22" s="986">
        <v>0</v>
      </c>
      <c r="L22" s="986">
        <v>0</v>
      </c>
      <c r="M22" s="986">
        <v>0</v>
      </c>
      <c r="N22" s="986">
        <v>0</v>
      </c>
      <c r="O22" s="986">
        <v>0</v>
      </c>
      <c r="P22" s="986">
        <v>0</v>
      </c>
      <c r="T22" s="655"/>
      <c r="U22" s="655"/>
      <c r="V22" s="656"/>
      <c r="W22" s="655"/>
      <c r="X22" s="657"/>
      <c r="Y22" s="478"/>
      <c r="Z22" s="655"/>
      <c r="AA22" s="655"/>
      <c r="AB22" s="655"/>
      <c r="AC22" s="655"/>
      <c r="AD22" s="655"/>
      <c r="AE22" s="655"/>
      <c r="AF22" s="655"/>
      <c r="AG22" s="655"/>
      <c r="AH22" s="655"/>
      <c r="AI22" s="655"/>
      <c r="AJ22" s="655"/>
      <c r="AK22" s="655"/>
      <c r="AL22" s="655"/>
      <c r="AM22" s="655"/>
      <c r="AN22" s="655"/>
    </row>
    <row r="23" spans="1:40" x14ac:dyDescent="0.25">
      <c r="A23" s="651">
        <f t="shared" si="1"/>
        <v>11</v>
      </c>
      <c r="C23" s="644" t="str">
        <f t="shared" si="0"/>
        <v>November</v>
      </c>
      <c r="D23" s="979" t="s">
        <v>1562</v>
      </c>
      <c r="E23" s="986">
        <v>0</v>
      </c>
      <c r="F23" s="986">
        <v>0</v>
      </c>
      <c r="G23" s="986">
        <v>0</v>
      </c>
      <c r="H23" s="986">
        <v>0</v>
      </c>
      <c r="I23" s="986">
        <v>0</v>
      </c>
      <c r="J23" s="986">
        <v>0</v>
      </c>
      <c r="K23" s="986">
        <v>0</v>
      </c>
      <c r="L23" s="986">
        <v>0</v>
      </c>
      <c r="M23" s="986">
        <v>0</v>
      </c>
      <c r="N23" s="986">
        <v>0</v>
      </c>
      <c r="O23" s="986">
        <v>0</v>
      </c>
      <c r="P23" s="986">
        <v>0</v>
      </c>
      <c r="T23" s="655"/>
      <c r="U23" s="655"/>
      <c r="V23" s="656"/>
      <c r="W23" s="655"/>
      <c r="X23" s="657"/>
      <c r="Y23" s="478"/>
      <c r="Z23" s="655"/>
      <c r="AA23" s="655"/>
      <c r="AB23" s="655"/>
      <c r="AC23" s="655"/>
      <c r="AD23" s="655"/>
      <c r="AE23" s="655"/>
      <c r="AF23" s="655"/>
      <c r="AG23" s="655"/>
      <c r="AH23" s="655"/>
      <c r="AI23" s="655"/>
      <c r="AJ23" s="655"/>
      <c r="AK23" s="655"/>
      <c r="AL23" s="655"/>
      <c r="AM23" s="655"/>
      <c r="AN23" s="655"/>
    </row>
    <row r="24" spans="1:40" x14ac:dyDescent="0.25">
      <c r="A24" s="651">
        <f t="shared" si="1"/>
        <v>12</v>
      </c>
      <c r="C24" s="644" t="str">
        <f t="shared" si="0"/>
        <v>December</v>
      </c>
      <c r="D24" s="979" t="s">
        <v>1562</v>
      </c>
      <c r="E24" s="986">
        <v>0</v>
      </c>
      <c r="F24" s="986">
        <v>0</v>
      </c>
      <c r="G24" s="986">
        <v>0</v>
      </c>
      <c r="H24" s="986">
        <v>0</v>
      </c>
      <c r="I24" s="986">
        <v>0</v>
      </c>
      <c r="J24" s="986">
        <v>0</v>
      </c>
      <c r="K24" s="986">
        <v>0</v>
      </c>
      <c r="L24" s="986">
        <v>0</v>
      </c>
      <c r="M24" s="986">
        <v>0</v>
      </c>
      <c r="N24" s="986">
        <v>0</v>
      </c>
      <c r="O24" s="986">
        <v>0</v>
      </c>
      <c r="P24" s="986">
        <v>0</v>
      </c>
      <c r="T24" s="655"/>
      <c r="U24" s="655"/>
      <c r="V24" s="656"/>
      <c r="W24" s="655"/>
      <c r="X24" s="657"/>
      <c r="Y24" s="478"/>
      <c r="Z24" s="655"/>
      <c r="AA24" s="655"/>
      <c r="AB24" s="655"/>
      <c r="AC24" s="655"/>
      <c r="AD24" s="655"/>
      <c r="AE24" s="655"/>
      <c r="AF24" s="655"/>
      <c r="AG24" s="655"/>
      <c r="AH24" s="655"/>
      <c r="AI24" s="655"/>
      <c r="AJ24" s="655"/>
      <c r="AK24" s="655"/>
      <c r="AL24" s="655"/>
      <c r="AM24" s="655"/>
      <c r="AN24" s="655"/>
    </row>
    <row r="25" spans="1:40" x14ac:dyDescent="0.25">
      <c r="A25" s="651">
        <f t="shared" si="1"/>
        <v>13</v>
      </c>
      <c r="C25" s="644" t="str">
        <f t="shared" si="0"/>
        <v>January</v>
      </c>
      <c r="D25" s="979" t="s">
        <v>1562</v>
      </c>
      <c r="E25" s="986">
        <v>0</v>
      </c>
      <c r="F25" s="986">
        <v>0</v>
      </c>
      <c r="G25" s="986">
        <v>0</v>
      </c>
      <c r="H25" s="986">
        <v>0</v>
      </c>
      <c r="I25" s="986">
        <v>0</v>
      </c>
      <c r="J25" s="986">
        <v>0</v>
      </c>
      <c r="K25" s="986">
        <v>0</v>
      </c>
      <c r="L25" s="986">
        <v>0</v>
      </c>
      <c r="M25" s="986">
        <v>0</v>
      </c>
      <c r="N25" s="986">
        <v>0</v>
      </c>
      <c r="O25" s="986">
        <v>0</v>
      </c>
      <c r="P25" s="986">
        <v>0</v>
      </c>
      <c r="T25" s="655"/>
      <c r="U25" s="655"/>
      <c r="V25" s="656"/>
      <c r="W25" s="655"/>
      <c r="X25" s="657"/>
      <c r="Y25" s="478"/>
      <c r="Z25" s="655"/>
      <c r="AA25" s="655"/>
      <c r="AB25" s="655"/>
      <c r="AC25" s="655"/>
      <c r="AD25" s="655"/>
      <c r="AE25" s="655"/>
      <c r="AF25" s="655"/>
      <c r="AG25" s="655"/>
      <c r="AH25" s="655"/>
      <c r="AI25" s="655"/>
      <c r="AJ25" s="655"/>
      <c r="AK25" s="655"/>
      <c r="AL25" s="655"/>
      <c r="AM25" s="655"/>
      <c r="AN25" s="655"/>
    </row>
    <row r="26" spans="1:40" x14ac:dyDescent="0.25">
      <c r="A26" s="651">
        <f t="shared" si="1"/>
        <v>14</v>
      </c>
      <c r="C26" s="644" t="str">
        <f t="shared" si="0"/>
        <v>February</v>
      </c>
      <c r="D26" s="979" t="s">
        <v>1562</v>
      </c>
      <c r="E26" s="986">
        <v>0</v>
      </c>
      <c r="F26" s="986">
        <v>0</v>
      </c>
      <c r="G26" s="986">
        <v>0</v>
      </c>
      <c r="H26" s="986">
        <v>0</v>
      </c>
      <c r="I26" s="986">
        <v>0</v>
      </c>
      <c r="J26" s="986">
        <v>0</v>
      </c>
      <c r="K26" s="986">
        <v>0</v>
      </c>
      <c r="L26" s="986">
        <v>0</v>
      </c>
      <c r="M26" s="986">
        <v>0</v>
      </c>
      <c r="N26" s="986">
        <v>0</v>
      </c>
      <c r="O26" s="986">
        <v>0</v>
      </c>
      <c r="P26" s="986">
        <v>0</v>
      </c>
      <c r="T26" s="655"/>
      <c r="U26" s="655"/>
      <c r="V26" s="656"/>
      <c r="W26" s="655"/>
      <c r="X26" s="657"/>
      <c r="Y26" s="478"/>
      <c r="Z26" s="655"/>
      <c r="AA26" s="655"/>
      <c r="AB26" s="655"/>
      <c r="AC26" s="655"/>
      <c r="AD26" s="655"/>
      <c r="AE26" s="655"/>
      <c r="AF26" s="655"/>
      <c r="AG26" s="655"/>
      <c r="AH26" s="655"/>
      <c r="AI26" s="655"/>
      <c r="AJ26" s="655"/>
      <c r="AK26" s="655"/>
      <c r="AL26" s="655"/>
      <c r="AM26" s="655"/>
      <c r="AN26" s="655"/>
    </row>
    <row r="27" spans="1:40" x14ac:dyDescent="0.25">
      <c r="A27" s="651">
        <f t="shared" si="1"/>
        <v>15</v>
      </c>
      <c r="C27" s="644" t="str">
        <f t="shared" si="0"/>
        <v>March</v>
      </c>
      <c r="D27" s="979" t="s">
        <v>1562</v>
      </c>
      <c r="E27" s="986">
        <v>0</v>
      </c>
      <c r="F27" s="986">
        <v>0</v>
      </c>
      <c r="G27" s="986">
        <v>0</v>
      </c>
      <c r="H27" s="986">
        <v>0</v>
      </c>
      <c r="I27" s="986">
        <v>0</v>
      </c>
      <c r="J27" s="986">
        <v>0</v>
      </c>
      <c r="K27" s="986">
        <v>0</v>
      </c>
      <c r="L27" s="986">
        <v>0</v>
      </c>
      <c r="M27" s="986">
        <v>0</v>
      </c>
      <c r="N27" s="986">
        <v>0</v>
      </c>
      <c r="O27" s="986">
        <v>0</v>
      </c>
      <c r="P27" s="986">
        <v>0</v>
      </c>
      <c r="T27" s="655"/>
      <c r="U27" s="655"/>
      <c r="V27" s="656"/>
      <c r="W27" s="655"/>
      <c r="X27" s="657"/>
      <c r="Y27" s="478"/>
      <c r="Z27" s="655"/>
      <c r="AA27" s="655"/>
      <c r="AB27" s="655"/>
      <c r="AC27" s="655"/>
      <c r="AD27" s="655"/>
      <c r="AE27" s="655"/>
      <c r="AF27" s="655"/>
      <c r="AG27" s="655"/>
      <c r="AH27" s="655"/>
      <c r="AI27" s="655"/>
      <c r="AJ27" s="655"/>
      <c r="AK27" s="655"/>
      <c r="AL27" s="655"/>
      <c r="AM27" s="655"/>
      <c r="AN27" s="655"/>
    </row>
    <row r="28" spans="1:40" x14ac:dyDescent="0.25">
      <c r="A28" s="651">
        <f t="shared" si="1"/>
        <v>16</v>
      </c>
      <c r="C28" s="644" t="str">
        <f t="shared" si="0"/>
        <v>April</v>
      </c>
      <c r="D28" s="979" t="s">
        <v>1562</v>
      </c>
      <c r="E28" s="986">
        <v>0</v>
      </c>
      <c r="F28" s="986">
        <v>0</v>
      </c>
      <c r="G28" s="986">
        <v>0</v>
      </c>
      <c r="H28" s="986">
        <v>0</v>
      </c>
      <c r="I28" s="986">
        <v>0</v>
      </c>
      <c r="J28" s="986">
        <v>0</v>
      </c>
      <c r="K28" s="986">
        <v>0</v>
      </c>
      <c r="L28" s="986">
        <v>0</v>
      </c>
      <c r="M28" s="986">
        <v>0</v>
      </c>
      <c r="N28" s="986">
        <v>0</v>
      </c>
      <c r="O28" s="986">
        <v>0</v>
      </c>
      <c r="P28" s="986">
        <v>0</v>
      </c>
      <c r="T28" s="655"/>
      <c r="U28" s="655"/>
      <c r="V28" s="656"/>
      <c r="W28" s="655"/>
      <c r="X28" s="657"/>
      <c r="Y28" s="478"/>
      <c r="Z28" s="655"/>
      <c r="AA28" s="655"/>
      <c r="AB28" s="655"/>
      <c r="AC28" s="655"/>
      <c r="AD28" s="655"/>
      <c r="AE28" s="655"/>
      <c r="AF28" s="655"/>
      <c r="AG28" s="655"/>
      <c r="AH28" s="655"/>
      <c r="AI28" s="655"/>
      <c r="AJ28" s="655"/>
      <c r="AK28" s="655"/>
      <c r="AL28" s="655"/>
      <c r="AM28" s="655"/>
      <c r="AN28" s="655"/>
    </row>
    <row r="29" spans="1:40" x14ac:dyDescent="0.25">
      <c r="A29" s="651">
        <f t="shared" si="1"/>
        <v>17</v>
      </c>
      <c r="C29" s="644" t="str">
        <f t="shared" si="0"/>
        <v>May</v>
      </c>
      <c r="D29" s="979" t="s">
        <v>1562</v>
      </c>
      <c r="E29" s="986">
        <v>0</v>
      </c>
      <c r="F29" s="986">
        <v>0</v>
      </c>
      <c r="G29" s="986">
        <v>0</v>
      </c>
      <c r="H29" s="986">
        <v>0</v>
      </c>
      <c r="I29" s="986">
        <v>0</v>
      </c>
      <c r="J29" s="986">
        <v>0</v>
      </c>
      <c r="K29" s="986">
        <v>0</v>
      </c>
      <c r="L29" s="986">
        <v>0</v>
      </c>
      <c r="M29" s="986">
        <v>0</v>
      </c>
      <c r="N29" s="986">
        <v>0</v>
      </c>
      <c r="O29" s="986">
        <v>0</v>
      </c>
      <c r="P29" s="986">
        <v>0</v>
      </c>
      <c r="T29" s="655"/>
      <c r="U29" s="655"/>
      <c r="V29" s="656"/>
      <c r="W29" s="655"/>
      <c r="X29" s="657"/>
      <c r="Y29" s="478"/>
      <c r="Z29" s="655"/>
      <c r="AA29" s="655"/>
      <c r="AB29" s="655"/>
      <c r="AC29" s="655"/>
      <c r="AD29" s="655"/>
      <c r="AE29" s="655"/>
      <c r="AF29" s="655"/>
      <c r="AG29" s="655"/>
      <c r="AH29" s="655"/>
      <c r="AI29" s="655"/>
      <c r="AJ29" s="655"/>
      <c r="AK29" s="655"/>
      <c r="AL29" s="655"/>
      <c r="AM29" s="655"/>
      <c r="AN29" s="655"/>
    </row>
    <row r="30" spans="1:40" x14ac:dyDescent="0.25">
      <c r="A30" s="651">
        <f t="shared" si="1"/>
        <v>18</v>
      </c>
      <c r="C30" s="644" t="str">
        <f t="shared" ref="C30:C33" si="2">C62</f>
        <v xml:space="preserve">June </v>
      </c>
      <c r="D30" s="979" t="s">
        <v>1562</v>
      </c>
      <c r="E30" s="986">
        <v>0</v>
      </c>
      <c r="F30" s="986">
        <v>0</v>
      </c>
      <c r="G30" s="986">
        <v>0</v>
      </c>
      <c r="H30" s="986">
        <v>0</v>
      </c>
      <c r="I30" s="986">
        <v>0</v>
      </c>
      <c r="J30" s="986">
        <v>0</v>
      </c>
      <c r="K30" s="986">
        <v>0</v>
      </c>
      <c r="L30" s="986">
        <v>0</v>
      </c>
      <c r="M30" s="986">
        <v>0</v>
      </c>
      <c r="N30" s="986">
        <v>0</v>
      </c>
      <c r="O30" s="986">
        <v>0</v>
      </c>
      <c r="P30" s="986">
        <v>0</v>
      </c>
      <c r="T30" s="655"/>
      <c r="U30" s="655"/>
      <c r="V30" s="656"/>
      <c r="W30" s="655"/>
      <c r="X30" s="657"/>
      <c r="Y30" s="478"/>
      <c r="Z30" s="655"/>
      <c r="AA30" s="655"/>
      <c r="AB30" s="655"/>
      <c r="AC30" s="655"/>
      <c r="AD30" s="655"/>
      <c r="AE30" s="655"/>
      <c r="AF30" s="655"/>
      <c r="AG30" s="655"/>
      <c r="AH30" s="655"/>
      <c r="AI30" s="655"/>
      <c r="AJ30" s="655"/>
      <c r="AK30" s="655"/>
      <c r="AL30" s="655"/>
      <c r="AM30" s="655"/>
      <c r="AN30" s="655"/>
    </row>
    <row r="31" spans="1:40" x14ac:dyDescent="0.25">
      <c r="A31" s="651">
        <f t="shared" si="1"/>
        <v>19</v>
      </c>
      <c r="C31" s="644" t="str">
        <f t="shared" si="2"/>
        <v>July</v>
      </c>
      <c r="D31" s="979" t="s">
        <v>1562</v>
      </c>
      <c r="E31" s="986">
        <v>0</v>
      </c>
      <c r="F31" s="986">
        <v>0</v>
      </c>
      <c r="G31" s="986">
        <v>0</v>
      </c>
      <c r="H31" s="986">
        <v>0</v>
      </c>
      <c r="I31" s="986">
        <v>0</v>
      </c>
      <c r="J31" s="986">
        <v>0</v>
      </c>
      <c r="K31" s="986">
        <v>0</v>
      </c>
      <c r="L31" s="986">
        <v>0</v>
      </c>
      <c r="M31" s="986">
        <v>0</v>
      </c>
      <c r="N31" s="986">
        <v>0</v>
      </c>
      <c r="O31" s="986">
        <v>0</v>
      </c>
      <c r="P31" s="986">
        <v>0</v>
      </c>
      <c r="T31" s="655"/>
      <c r="U31" s="655"/>
      <c r="V31" s="656"/>
      <c r="W31" s="655"/>
      <c r="X31" s="657"/>
      <c r="Y31" s="478"/>
      <c r="Z31" s="655"/>
      <c r="AA31" s="655"/>
      <c r="AB31" s="655"/>
      <c r="AC31" s="655"/>
      <c r="AD31" s="655"/>
      <c r="AE31" s="655"/>
      <c r="AF31" s="655"/>
      <c r="AG31" s="655"/>
      <c r="AH31" s="655"/>
      <c r="AI31" s="655"/>
      <c r="AJ31" s="655"/>
      <c r="AK31" s="655"/>
      <c r="AL31" s="655"/>
      <c r="AM31" s="655"/>
      <c r="AN31" s="655"/>
    </row>
    <row r="32" spans="1:40" x14ac:dyDescent="0.25">
      <c r="A32" s="651">
        <f t="shared" si="1"/>
        <v>20</v>
      </c>
      <c r="C32" s="644" t="str">
        <f t="shared" si="2"/>
        <v>August</v>
      </c>
      <c r="D32" s="979" t="s">
        <v>1562</v>
      </c>
      <c r="E32" s="986">
        <v>0</v>
      </c>
      <c r="F32" s="986">
        <v>0</v>
      </c>
      <c r="G32" s="986">
        <v>0</v>
      </c>
      <c r="H32" s="986">
        <v>0</v>
      </c>
      <c r="I32" s="986">
        <v>0</v>
      </c>
      <c r="J32" s="986">
        <v>0</v>
      </c>
      <c r="K32" s="986">
        <v>0</v>
      </c>
      <c r="L32" s="986">
        <v>0</v>
      </c>
      <c r="M32" s="986">
        <v>0</v>
      </c>
      <c r="N32" s="986">
        <v>0</v>
      </c>
      <c r="O32" s="986">
        <v>0</v>
      </c>
      <c r="P32" s="986">
        <v>0</v>
      </c>
      <c r="T32" s="655"/>
      <c r="U32" s="655"/>
      <c r="V32" s="656"/>
      <c r="W32" s="655"/>
      <c r="X32" s="657"/>
      <c r="Y32" s="478"/>
      <c r="Z32" s="655"/>
      <c r="AA32" s="655"/>
      <c r="AB32" s="655"/>
      <c r="AC32" s="655"/>
      <c r="AD32" s="655"/>
      <c r="AE32" s="655"/>
      <c r="AF32" s="655"/>
      <c r="AG32" s="655"/>
      <c r="AH32" s="655"/>
      <c r="AI32" s="655"/>
      <c r="AJ32" s="655"/>
      <c r="AK32" s="655"/>
      <c r="AL32" s="655"/>
      <c r="AM32" s="655"/>
      <c r="AN32" s="655"/>
    </row>
    <row r="33" spans="1:40" x14ac:dyDescent="0.25">
      <c r="A33" s="651">
        <f t="shared" si="1"/>
        <v>21</v>
      </c>
      <c r="C33" s="644" t="str">
        <f t="shared" si="2"/>
        <v>September</v>
      </c>
      <c r="D33" s="979" t="s">
        <v>1562</v>
      </c>
      <c r="E33" s="986">
        <v>0</v>
      </c>
      <c r="F33" s="986">
        <v>0</v>
      </c>
      <c r="G33" s="986">
        <v>0</v>
      </c>
      <c r="H33" s="986">
        <v>0</v>
      </c>
      <c r="I33" s="986">
        <v>0</v>
      </c>
      <c r="J33" s="986">
        <v>0</v>
      </c>
      <c r="K33" s="986">
        <v>0</v>
      </c>
      <c r="L33" s="986">
        <v>0</v>
      </c>
      <c r="M33" s="986">
        <v>0</v>
      </c>
      <c r="N33" s="986">
        <v>0</v>
      </c>
      <c r="O33" s="986">
        <v>0</v>
      </c>
      <c r="P33" s="986">
        <v>0</v>
      </c>
      <c r="T33" s="655"/>
      <c r="U33" s="655"/>
      <c r="V33" s="656"/>
      <c r="W33" s="655"/>
      <c r="X33" s="657"/>
      <c r="Y33" s="478"/>
      <c r="Z33" s="655"/>
      <c r="AA33" s="655"/>
      <c r="AB33" s="655"/>
      <c r="AC33" s="655"/>
      <c r="AD33" s="655"/>
      <c r="AE33" s="655"/>
      <c r="AF33" s="655"/>
      <c r="AG33" s="655"/>
      <c r="AH33" s="655"/>
      <c r="AI33" s="655"/>
      <c r="AJ33" s="655"/>
      <c r="AK33" s="655"/>
      <c r="AL33" s="655"/>
      <c r="AM33" s="655"/>
      <c r="AN33" s="655"/>
    </row>
    <row r="34" spans="1:40" x14ac:dyDescent="0.25">
      <c r="A34" s="652">
        <f t="shared" si="1"/>
        <v>22</v>
      </c>
      <c r="C34" s="644" t="str">
        <f t="shared" ref="C34" si="3">C66</f>
        <v>October</v>
      </c>
      <c r="D34" s="979" t="s">
        <v>1562</v>
      </c>
      <c r="E34" s="986">
        <v>0</v>
      </c>
      <c r="F34" s="986">
        <v>0</v>
      </c>
      <c r="G34" s="986">
        <v>0</v>
      </c>
      <c r="H34" s="986">
        <v>0</v>
      </c>
      <c r="I34" s="986">
        <v>0</v>
      </c>
      <c r="J34" s="986">
        <v>0</v>
      </c>
      <c r="K34" s="986">
        <v>0</v>
      </c>
      <c r="L34" s="986">
        <v>0</v>
      </c>
      <c r="M34" s="986">
        <v>0</v>
      </c>
      <c r="N34" s="986">
        <v>0</v>
      </c>
      <c r="O34" s="986">
        <v>0</v>
      </c>
      <c r="P34" s="986">
        <v>0</v>
      </c>
      <c r="T34" s="655"/>
      <c r="U34" s="655"/>
      <c r="V34" s="656"/>
      <c r="W34" s="655"/>
      <c r="X34" s="657"/>
      <c r="Y34" s="478"/>
      <c r="Z34" s="655"/>
      <c r="AA34" s="655"/>
      <c r="AB34" s="655"/>
      <c r="AC34" s="655"/>
      <c r="AD34" s="655"/>
      <c r="AE34" s="655"/>
      <c r="AF34" s="655"/>
      <c r="AG34" s="655"/>
      <c r="AH34" s="655"/>
      <c r="AI34" s="655"/>
      <c r="AJ34" s="655"/>
      <c r="AK34" s="655"/>
      <c r="AL34" s="655"/>
      <c r="AM34" s="655"/>
      <c r="AN34" s="655"/>
    </row>
    <row r="35" spans="1:40" x14ac:dyDescent="0.25">
      <c r="A35" s="652">
        <f t="shared" si="1"/>
        <v>23</v>
      </c>
      <c r="C35" s="644" t="str">
        <f t="shared" ref="C35" si="4">C67</f>
        <v>November</v>
      </c>
      <c r="D35" s="979" t="s">
        <v>1562</v>
      </c>
      <c r="E35" s="986">
        <v>0</v>
      </c>
      <c r="F35" s="986">
        <v>0</v>
      </c>
      <c r="G35" s="986">
        <v>0</v>
      </c>
      <c r="H35" s="986">
        <v>0</v>
      </c>
      <c r="I35" s="986">
        <v>0</v>
      </c>
      <c r="J35" s="986">
        <v>0</v>
      </c>
      <c r="K35" s="986">
        <v>0</v>
      </c>
      <c r="L35" s="986">
        <v>0</v>
      </c>
      <c r="M35" s="986">
        <v>0</v>
      </c>
      <c r="N35" s="986">
        <v>0</v>
      </c>
      <c r="O35" s="986">
        <v>0</v>
      </c>
      <c r="P35" s="986">
        <v>0</v>
      </c>
      <c r="T35" s="655"/>
      <c r="U35" s="655"/>
      <c r="V35" s="656"/>
      <c r="W35" s="655"/>
      <c r="X35" s="657"/>
      <c r="Y35" s="478"/>
      <c r="Z35" s="655"/>
      <c r="AA35" s="655"/>
      <c r="AB35" s="655"/>
      <c r="AC35" s="655"/>
      <c r="AD35" s="655"/>
      <c r="AE35" s="655"/>
      <c r="AF35" s="655"/>
      <c r="AG35" s="655"/>
      <c r="AH35" s="655"/>
      <c r="AI35" s="655"/>
      <c r="AJ35" s="655"/>
      <c r="AK35" s="655"/>
      <c r="AL35" s="655"/>
      <c r="AM35" s="655"/>
      <c r="AN35" s="655"/>
    </row>
    <row r="36" spans="1:40" ht="15" x14ac:dyDescent="0.4">
      <c r="A36" s="652">
        <f t="shared" si="1"/>
        <v>24</v>
      </c>
      <c r="C36" s="644" t="str">
        <f t="shared" ref="C36" si="5">C68</f>
        <v>December</v>
      </c>
      <c r="D36" s="979" t="s">
        <v>1562</v>
      </c>
      <c r="E36" s="986">
        <v>0</v>
      </c>
      <c r="F36" s="986">
        <v>0</v>
      </c>
      <c r="G36" s="986">
        <v>0</v>
      </c>
      <c r="H36" s="986">
        <v>0</v>
      </c>
      <c r="I36" s="986">
        <v>0</v>
      </c>
      <c r="J36" s="986">
        <v>0</v>
      </c>
      <c r="K36" s="987">
        <v>0</v>
      </c>
      <c r="L36" s="986">
        <v>0</v>
      </c>
      <c r="M36" s="986">
        <v>0</v>
      </c>
      <c r="N36" s="987">
        <v>0</v>
      </c>
      <c r="O36" s="986">
        <v>0</v>
      </c>
      <c r="P36" s="987">
        <v>0</v>
      </c>
      <c r="T36" s="655"/>
      <c r="U36" s="655"/>
      <c r="V36" s="656"/>
      <c r="W36" s="655"/>
      <c r="X36" s="657"/>
      <c r="Y36" s="478"/>
      <c r="Z36" s="655"/>
      <c r="AA36" s="655"/>
      <c r="AB36" s="655"/>
      <c r="AC36" s="655"/>
      <c r="AD36" s="655"/>
      <c r="AE36" s="655"/>
      <c r="AF36" s="655"/>
      <c r="AG36" s="655"/>
      <c r="AH36" s="655"/>
      <c r="AI36" s="655"/>
      <c r="AJ36" s="655"/>
      <c r="AK36" s="655"/>
      <c r="AL36" s="655"/>
      <c r="AM36" s="655"/>
      <c r="AN36" s="655"/>
    </row>
    <row r="37" spans="1:40" s="607" customFormat="1" x14ac:dyDescent="0.25">
      <c r="A37" s="652">
        <f t="shared" si="1"/>
        <v>25</v>
      </c>
      <c r="D37" s="687" t="s">
        <v>1837</v>
      </c>
      <c r="K37" s="986">
        <v>0</v>
      </c>
      <c r="M37" s="688"/>
      <c r="N37" s="986">
        <v>0</v>
      </c>
      <c r="O37" s="688"/>
      <c r="P37" s="986">
        <v>0</v>
      </c>
      <c r="Q37" s="689"/>
      <c r="T37" s="666"/>
      <c r="U37" s="666"/>
    </row>
    <row r="38" spans="1:40" x14ac:dyDescent="0.25">
      <c r="A38" s="651"/>
      <c r="T38" s="605"/>
      <c r="U38" s="605"/>
      <c r="Z38" s="605"/>
    </row>
    <row r="39" spans="1:40" x14ac:dyDescent="0.25">
      <c r="A39" s="651"/>
      <c r="B39" s="607" t="s">
        <v>2361</v>
      </c>
      <c r="G39" s="651"/>
      <c r="K39" s="478"/>
      <c r="M39" s="478"/>
      <c r="N39" s="478"/>
      <c r="O39" s="478"/>
      <c r="P39" s="478"/>
    </row>
    <row r="40" spans="1:40" x14ac:dyDescent="0.25">
      <c r="A40" s="651"/>
      <c r="B40" s="607"/>
      <c r="E40" s="647" t="s">
        <v>394</v>
      </c>
      <c r="F40" s="647" t="s">
        <v>378</v>
      </c>
      <c r="G40" s="647" t="s">
        <v>379</v>
      </c>
      <c r="H40" s="647" t="s">
        <v>380</v>
      </c>
      <c r="I40" s="647" t="s">
        <v>381</v>
      </c>
      <c r="J40" s="647" t="s">
        <v>382</v>
      </c>
      <c r="K40" s="690" t="s">
        <v>383</v>
      </c>
      <c r="L40" s="647" t="s">
        <v>595</v>
      </c>
      <c r="M40" s="690" t="s">
        <v>1043</v>
      </c>
      <c r="N40" s="690" t="s">
        <v>1059</v>
      </c>
      <c r="O40" s="690" t="s">
        <v>1062</v>
      </c>
      <c r="P40" s="690" t="s">
        <v>1080</v>
      </c>
    </row>
    <row r="41" spans="1:40" ht="26.4" x14ac:dyDescent="0.25">
      <c r="A41" s="651"/>
      <c r="B41" s="607"/>
      <c r="E41" s="691" t="s">
        <v>2586</v>
      </c>
      <c r="F41" s="691" t="s">
        <v>2587</v>
      </c>
      <c r="G41" s="691" t="s">
        <v>2588</v>
      </c>
      <c r="H41" s="692" t="s">
        <v>2362</v>
      </c>
      <c r="I41" s="692" t="s">
        <v>2362</v>
      </c>
      <c r="J41" s="650" t="s">
        <v>2362</v>
      </c>
      <c r="K41" s="693" t="s">
        <v>2363</v>
      </c>
      <c r="L41" s="694" t="s">
        <v>2589</v>
      </c>
      <c r="M41" s="695" t="s">
        <v>2364</v>
      </c>
      <c r="N41" s="662" t="s">
        <v>2304</v>
      </c>
      <c r="O41" s="662"/>
      <c r="P41" s="695" t="s">
        <v>2590</v>
      </c>
    </row>
    <row r="42" spans="1:40" x14ac:dyDescent="0.25">
      <c r="A42" s="651"/>
      <c r="C42" s="651" t="str">
        <f>C10</f>
        <v>Forecast</v>
      </c>
      <c r="E42" s="651" t="str">
        <f>E10</f>
        <v>Unloaded</v>
      </c>
      <c r="F42" s="651"/>
      <c r="G42" s="651"/>
      <c r="I42" s="652" t="str">
        <f>I10</f>
        <v>AFUDC</v>
      </c>
      <c r="J42" s="652"/>
      <c r="K42" s="652"/>
      <c r="L42" s="652"/>
      <c r="M42" s="652"/>
      <c r="N42" s="652"/>
      <c r="O42" s="651" t="str">
        <f t="shared" ref="O42:P44" si="6">O10</f>
        <v>Unloaded</v>
      </c>
      <c r="P42" s="651" t="str">
        <f t="shared" si="6"/>
        <v>Loaded</v>
      </c>
    </row>
    <row r="43" spans="1:40" x14ac:dyDescent="0.25">
      <c r="A43" s="651"/>
      <c r="B43" s="607"/>
      <c r="C43" s="651" t="str">
        <f>C11</f>
        <v>Period</v>
      </c>
      <c r="E43" s="651" t="str">
        <f>E11</f>
        <v>Total</v>
      </c>
      <c r="F43" s="651" t="str">
        <f t="shared" ref="F43:H44" si="7">F11</f>
        <v>Prior Period</v>
      </c>
      <c r="G43" s="652" t="str">
        <f t="shared" si="7"/>
        <v>Over Heads</v>
      </c>
      <c r="H43" s="652" t="str">
        <f t="shared" si="7"/>
        <v xml:space="preserve">Cost of </v>
      </c>
      <c r="I43" s="652" t="str">
        <f>I11</f>
        <v>Eligible Plant</v>
      </c>
      <c r="J43" s="652"/>
      <c r="K43" s="652" t="str">
        <f>K11</f>
        <v>Incremental</v>
      </c>
      <c r="L43" s="652" t="str">
        <f>L11</f>
        <v>Depreciation</v>
      </c>
      <c r="M43" s="652"/>
      <c r="N43" s="652"/>
      <c r="O43" s="652" t="str">
        <f t="shared" si="6"/>
        <v>Low Voltage</v>
      </c>
      <c r="P43" s="652" t="str">
        <f t="shared" si="6"/>
        <v>Low Voltage</v>
      </c>
    </row>
    <row r="44" spans="1:40" x14ac:dyDescent="0.25">
      <c r="A44" s="653" t="s">
        <v>360</v>
      </c>
      <c r="C44" s="636" t="str">
        <f t="shared" ref="C44:D44" si="8">C12</f>
        <v>Month</v>
      </c>
      <c r="D44" s="636" t="str">
        <f t="shared" si="8"/>
        <v>Year</v>
      </c>
      <c r="E44" s="647" t="str">
        <f>E12</f>
        <v>Plant Adds</v>
      </c>
      <c r="F44" s="647" t="str">
        <f t="shared" si="7"/>
        <v>CWIP Closed</v>
      </c>
      <c r="G44" s="654" t="str">
        <f t="shared" si="7"/>
        <v>Closed to PIS</v>
      </c>
      <c r="H44" s="654" t="str">
        <f t="shared" si="7"/>
        <v>Removal</v>
      </c>
      <c r="I44" s="654" t="str">
        <f>I12</f>
        <v>Additions</v>
      </c>
      <c r="J44" s="654" t="str">
        <f>J12</f>
        <v>AFUDC</v>
      </c>
      <c r="K44" s="654" t="str">
        <f>K12</f>
        <v>Gross Plant</v>
      </c>
      <c r="L44" s="654" t="str">
        <f>L12</f>
        <v>Accrual</v>
      </c>
      <c r="M44" s="654" t="str">
        <f>M12</f>
        <v>Reserve</v>
      </c>
      <c r="N44" s="654" t="str">
        <f>N12</f>
        <v>Net Plant</v>
      </c>
      <c r="O44" s="654" t="str">
        <f t="shared" si="6"/>
        <v>Additions</v>
      </c>
      <c r="P44" s="654" t="str">
        <f t="shared" si="6"/>
        <v>Additions</v>
      </c>
      <c r="T44" s="654"/>
      <c r="U44" s="654"/>
      <c r="V44" s="654"/>
      <c r="W44" s="654"/>
      <c r="X44" s="654"/>
      <c r="Y44" s="654"/>
    </row>
    <row r="45" spans="1:40" x14ac:dyDescent="0.25">
      <c r="A45" s="651">
        <f>A37+1</f>
        <v>26</v>
      </c>
      <c r="C45" s="637" t="s">
        <v>200</v>
      </c>
      <c r="D45" s="979" t="s">
        <v>1562</v>
      </c>
      <c r="E45" s="986">
        <v>0</v>
      </c>
      <c r="F45" s="986">
        <v>0</v>
      </c>
      <c r="G45" s="986">
        <v>0</v>
      </c>
      <c r="H45" s="696">
        <v>0</v>
      </c>
      <c r="I45" s="655">
        <v>0</v>
      </c>
      <c r="J45" s="697">
        <v>0</v>
      </c>
      <c r="K45" s="986">
        <v>0</v>
      </c>
      <c r="L45" s="986">
        <v>0</v>
      </c>
      <c r="M45" s="986">
        <v>0</v>
      </c>
      <c r="N45" s="986">
        <v>0</v>
      </c>
      <c r="O45" s="977">
        <v>0</v>
      </c>
      <c r="P45" s="986">
        <v>0</v>
      </c>
      <c r="S45" s="605"/>
      <c r="T45" s="660"/>
      <c r="U45" s="657"/>
      <c r="V45" s="478"/>
      <c r="W45" s="660"/>
      <c r="X45" s="657"/>
      <c r="Y45" s="478"/>
    </row>
    <row r="46" spans="1:40" x14ac:dyDescent="0.25">
      <c r="A46" s="651">
        <f t="shared" ref="A46:A99" si="9">A45+1</f>
        <v>27</v>
      </c>
      <c r="C46" s="639" t="s">
        <v>201</v>
      </c>
      <c r="D46" s="979" t="s">
        <v>1562</v>
      </c>
      <c r="E46" s="986">
        <v>0</v>
      </c>
      <c r="F46" s="986">
        <v>0</v>
      </c>
      <c r="G46" s="986">
        <v>0</v>
      </c>
      <c r="H46" s="696">
        <v>0</v>
      </c>
      <c r="I46" s="655">
        <v>0</v>
      </c>
      <c r="J46" s="697">
        <v>0</v>
      </c>
      <c r="K46" s="986">
        <v>0</v>
      </c>
      <c r="L46" s="986">
        <v>0</v>
      </c>
      <c r="M46" s="986">
        <v>0</v>
      </c>
      <c r="N46" s="986">
        <v>0</v>
      </c>
      <c r="O46" s="977">
        <v>0</v>
      </c>
      <c r="P46" s="986">
        <v>0</v>
      </c>
      <c r="S46" s="605"/>
      <c r="T46" s="660"/>
      <c r="U46" s="657"/>
      <c r="V46" s="478"/>
      <c r="W46" s="660"/>
      <c r="X46" s="657"/>
      <c r="Y46" s="478"/>
    </row>
    <row r="47" spans="1:40" x14ac:dyDescent="0.25">
      <c r="A47" s="651">
        <f t="shared" si="9"/>
        <v>28</v>
      </c>
      <c r="C47" s="639" t="s">
        <v>214</v>
      </c>
      <c r="D47" s="979" t="s">
        <v>1562</v>
      </c>
      <c r="E47" s="986">
        <v>0</v>
      </c>
      <c r="F47" s="986">
        <v>0</v>
      </c>
      <c r="G47" s="986">
        <v>0</v>
      </c>
      <c r="H47" s="696">
        <v>0</v>
      </c>
      <c r="I47" s="655">
        <v>0</v>
      </c>
      <c r="J47" s="697">
        <v>0</v>
      </c>
      <c r="K47" s="986">
        <v>0</v>
      </c>
      <c r="L47" s="986">
        <v>0</v>
      </c>
      <c r="M47" s="986">
        <v>0</v>
      </c>
      <c r="N47" s="986">
        <v>0</v>
      </c>
      <c r="O47" s="977">
        <v>0</v>
      </c>
      <c r="P47" s="986">
        <v>0</v>
      </c>
      <c r="S47" s="605"/>
      <c r="T47" s="660"/>
      <c r="U47" s="657"/>
      <c r="V47" s="478"/>
      <c r="W47" s="660"/>
      <c r="X47" s="657"/>
      <c r="Y47" s="478"/>
    </row>
    <row r="48" spans="1:40" x14ac:dyDescent="0.25">
      <c r="A48" s="651">
        <f t="shared" si="9"/>
        <v>29</v>
      </c>
      <c r="C48" s="637" t="s">
        <v>202</v>
      </c>
      <c r="D48" s="979" t="s">
        <v>1562</v>
      </c>
      <c r="E48" s="986">
        <v>0</v>
      </c>
      <c r="F48" s="986">
        <v>0</v>
      </c>
      <c r="G48" s="986">
        <v>0</v>
      </c>
      <c r="H48" s="696">
        <v>0</v>
      </c>
      <c r="I48" s="655">
        <v>0</v>
      </c>
      <c r="J48" s="697">
        <v>0</v>
      </c>
      <c r="K48" s="986">
        <v>0</v>
      </c>
      <c r="L48" s="986">
        <v>0</v>
      </c>
      <c r="M48" s="986">
        <v>0</v>
      </c>
      <c r="N48" s="986">
        <v>0</v>
      </c>
      <c r="O48" s="977">
        <v>0</v>
      </c>
      <c r="P48" s="986">
        <v>0</v>
      </c>
      <c r="S48" s="605"/>
      <c r="T48" s="660"/>
      <c r="U48" s="657"/>
      <c r="V48" s="478"/>
      <c r="W48" s="660"/>
      <c r="X48" s="657"/>
      <c r="Y48" s="478"/>
    </row>
    <row r="49" spans="1:25" x14ac:dyDescent="0.25">
      <c r="A49" s="651">
        <f t="shared" si="9"/>
        <v>30</v>
      </c>
      <c r="C49" s="639" t="s">
        <v>203</v>
      </c>
      <c r="D49" s="979" t="s">
        <v>1562</v>
      </c>
      <c r="E49" s="986">
        <v>0</v>
      </c>
      <c r="F49" s="986">
        <v>0</v>
      </c>
      <c r="G49" s="986">
        <v>0</v>
      </c>
      <c r="H49" s="696">
        <v>0</v>
      </c>
      <c r="I49" s="655">
        <v>0</v>
      </c>
      <c r="J49" s="697">
        <v>0</v>
      </c>
      <c r="K49" s="986">
        <v>0</v>
      </c>
      <c r="L49" s="986">
        <v>0</v>
      </c>
      <c r="M49" s="986">
        <v>0</v>
      </c>
      <c r="N49" s="986">
        <v>0</v>
      </c>
      <c r="O49" s="977">
        <v>0</v>
      </c>
      <c r="P49" s="986">
        <v>0</v>
      </c>
      <c r="S49" s="605"/>
      <c r="T49" s="660"/>
      <c r="U49" s="657"/>
      <c r="V49" s="478"/>
      <c r="W49" s="660"/>
      <c r="X49" s="657"/>
      <c r="Y49" s="478"/>
    </row>
    <row r="50" spans="1:25" x14ac:dyDescent="0.25">
      <c r="A50" s="651">
        <f t="shared" si="9"/>
        <v>31</v>
      </c>
      <c r="C50" s="639" t="s">
        <v>204</v>
      </c>
      <c r="D50" s="979" t="s">
        <v>1562</v>
      </c>
      <c r="E50" s="986">
        <v>0</v>
      </c>
      <c r="F50" s="986">
        <v>0</v>
      </c>
      <c r="G50" s="986">
        <v>0</v>
      </c>
      <c r="H50" s="696">
        <v>0</v>
      </c>
      <c r="I50" s="655">
        <v>0</v>
      </c>
      <c r="J50" s="697">
        <v>0</v>
      </c>
      <c r="K50" s="986">
        <v>0</v>
      </c>
      <c r="L50" s="986">
        <v>0</v>
      </c>
      <c r="M50" s="986">
        <v>0</v>
      </c>
      <c r="N50" s="986">
        <v>0</v>
      </c>
      <c r="O50" s="977">
        <v>0</v>
      </c>
      <c r="P50" s="986">
        <v>0</v>
      </c>
      <c r="S50" s="605"/>
      <c r="T50" s="660"/>
      <c r="U50" s="657"/>
      <c r="V50" s="478"/>
      <c r="W50" s="660"/>
      <c r="X50" s="657"/>
      <c r="Y50" s="478"/>
    </row>
    <row r="51" spans="1:25" x14ac:dyDescent="0.25">
      <c r="A51" s="651">
        <f t="shared" si="9"/>
        <v>32</v>
      </c>
      <c r="C51" s="637" t="s">
        <v>205</v>
      </c>
      <c r="D51" s="979" t="s">
        <v>1562</v>
      </c>
      <c r="E51" s="986">
        <v>0</v>
      </c>
      <c r="F51" s="986">
        <v>0</v>
      </c>
      <c r="G51" s="986">
        <v>0</v>
      </c>
      <c r="H51" s="696">
        <v>0</v>
      </c>
      <c r="I51" s="655">
        <v>0</v>
      </c>
      <c r="J51" s="697">
        <v>0</v>
      </c>
      <c r="K51" s="986">
        <v>0</v>
      </c>
      <c r="L51" s="986">
        <v>0</v>
      </c>
      <c r="M51" s="986">
        <v>0</v>
      </c>
      <c r="N51" s="986">
        <v>0</v>
      </c>
      <c r="O51" s="977">
        <v>0</v>
      </c>
      <c r="P51" s="986">
        <v>0</v>
      </c>
      <c r="S51" s="605"/>
      <c r="T51" s="660"/>
      <c r="U51" s="657"/>
      <c r="V51" s="478"/>
      <c r="W51" s="660"/>
      <c r="X51" s="657"/>
      <c r="Y51" s="478"/>
    </row>
    <row r="52" spans="1:25" x14ac:dyDescent="0.25">
      <c r="A52" s="651">
        <f t="shared" si="9"/>
        <v>33</v>
      </c>
      <c r="C52" s="639" t="s">
        <v>206</v>
      </c>
      <c r="D52" s="979" t="s">
        <v>1562</v>
      </c>
      <c r="E52" s="986">
        <v>0</v>
      </c>
      <c r="F52" s="986">
        <v>0</v>
      </c>
      <c r="G52" s="986">
        <v>0</v>
      </c>
      <c r="H52" s="696">
        <v>0</v>
      </c>
      <c r="I52" s="655">
        <v>0</v>
      </c>
      <c r="J52" s="697">
        <v>0</v>
      </c>
      <c r="K52" s="986">
        <v>0</v>
      </c>
      <c r="L52" s="986">
        <v>0</v>
      </c>
      <c r="M52" s="986">
        <v>0</v>
      </c>
      <c r="N52" s="986">
        <v>0</v>
      </c>
      <c r="O52" s="977">
        <v>0</v>
      </c>
      <c r="P52" s="986">
        <v>0</v>
      </c>
      <c r="S52" s="605"/>
      <c r="T52" s="660"/>
      <c r="U52" s="657"/>
      <c r="V52" s="478"/>
      <c r="W52" s="660"/>
      <c r="X52" s="657"/>
      <c r="Y52" s="478"/>
    </row>
    <row r="53" spans="1:25" x14ac:dyDescent="0.25">
      <c r="A53" s="651">
        <f t="shared" si="9"/>
        <v>34</v>
      </c>
      <c r="C53" s="639" t="s">
        <v>207</v>
      </c>
      <c r="D53" s="979" t="s">
        <v>1562</v>
      </c>
      <c r="E53" s="986">
        <v>0</v>
      </c>
      <c r="F53" s="986">
        <v>0</v>
      </c>
      <c r="G53" s="986">
        <v>0</v>
      </c>
      <c r="H53" s="696">
        <v>0</v>
      </c>
      <c r="I53" s="655">
        <v>0</v>
      </c>
      <c r="J53" s="697">
        <v>0</v>
      </c>
      <c r="K53" s="986">
        <v>0</v>
      </c>
      <c r="L53" s="986">
        <v>0</v>
      </c>
      <c r="M53" s="986">
        <v>0</v>
      </c>
      <c r="N53" s="986">
        <v>0</v>
      </c>
      <c r="O53" s="977">
        <v>0</v>
      </c>
      <c r="P53" s="986">
        <v>0</v>
      </c>
      <c r="S53" s="605"/>
      <c r="T53" s="660"/>
      <c r="U53" s="657"/>
      <c r="V53" s="478"/>
      <c r="W53" s="660"/>
      <c r="X53" s="657"/>
      <c r="Y53" s="478"/>
    </row>
    <row r="54" spans="1:25" x14ac:dyDescent="0.25">
      <c r="A54" s="651">
        <f t="shared" si="9"/>
        <v>35</v>
      </c>
      <c r="C54" s="637" t="s">
        <v>208</v>
      </c>
      <c r="D54" s="979" t="s">
        <v>1562</v>
      </c>
      <c r="E54" s="986">
        <v>0</v>
      </c>
      <c r="F54" s="986">
        <v>0</v>
      </c>
      <c r="G54" s="986">
        <v>0</v>
      </c>
      <c r="H54" s="696">
        <v>0</v>
      </c>
      <c r="I54" s="655">
        <v>0</v>
      </c>
      <c r="J54" s="697">
        <v>0</v>
      </c>
      <c r="K54" s="986">
        <v>0</v>
      </c>
      <c r="L54" s="986">
        <v>0</v>
      </c>
      <c r="M54" s="986">
        <v>0</v>
      </c>
      <c r="N54" s="986">
        <v>0</v>
      </c>
      <c r="O54" s="977">
        <v>0</v>
      </c>
      <c r="P54" s="986">
        <v>0</v>
      </c>
      <c r="S54" s="605"/>
      <c r="T54" s="660"/>
      <c r="U54" s="657"/>
      <c r="V54" s="478"/>
      <c r="W54" s="660"/>
      <c r="X54" s="657"/>
      <c r="Y54" s="478"/>
    </row>
    <row r="55" spans="1:25" x14ac:dyDescent="0.25">
      <c r="A55" s="651">
        <f t="shared" si="9"/>
        <v>36</v>
      </c>
      <c r="C55" s="637" t="s">
        <v>209</v>
      </c>
      <c r="D55" s="979" t="s">
        <v>1562</v>
      </c>
      <c r="E55" s="986">
        <v>0</v>
      </c>
      <c r="F55" s="986">
        <v>0</v>
      </c>
      <c r="G55" s="986">
        <v>0</v>
      </c>
      <c r="H55" s="696">
        <v>0</v>
      </c>
      <c r="I55" s="655">
        <v>0</v>
      </c>
      <c r="J55" s="697">
        <v>0</v>
      </c>
      <c r="K55" s="986">
        <v>0</v>
      </c>
      <c r="L55" s="986">
        <v>0</v>
      </c>
      <c r="M55" s="986">
        <v>0</v>
      </c>
      <c r="N55" s="986">
        <v>0</v>
      </c>
      <c r="O55" s="977">
        <v>0</v>
      </c>
      <c r="P55" s="986">
        <v>0</v>
      </c>
      <c r="S55" s="605"/>
      <c r="T55" s="660"/>
      <c r="U55" s="657"/>
      <c r="V55" s="478"/>
      <c r="W55" s="660"/>
      <c r="X55" s="657"/>
      <c r="Y55" s="478"/>
    </row>
    <row r="56" spans="1:25" x14ac:dyDescent="0.25">
      <c r="A56" s="651">
        <f t="shared" si="9"/>
        <v>37</v>
      </c>
      <c r="C56" s="637" t="s">
        <v>199</v>
      </c>
      <c r="D56" s="979" t="s">
        <v>1562</v>
      </c>
      <c r="E56" s="986">
        <v>0</v>
      </c>
      <c r="F56" s="986">
        <v>0</v>
      </c>
      <c r="G56" s="986">
        <v>0</v>
      </c>
      <c r="H56" s="696">
        <v>0</v>
      </c>
      <c r="I56" s="655">
        <v>0</v>
      </c>
      <c r="J56" s="697">
        <v>0</v>
      </c>
      <c r="K56" s="986">
        <v>0</v>
      </c>
      <c r="L56" s="986">
        <v>0</v>
      </c>
      <c r="M56" s="986">
        <v>0</v>
      </c>
      <c r="N56" s="986">
        <v>0</v>
      </c>
      <c r="O56" s="977">
        <v>0</v>
      </c>
      <c r="P56" s="986">
        <v>0</v>
      </c>
      <c r="S56" s="605"/>
      <c r="T56" s="660"/>
      <c r="U56" s="657"/>
      <c r="V56" s="478"/>
      <c r="W56" s="660"/>
      <c r="X56" s="657"/>
      <c r="Y56" s="478"/>
    </row>
    <row r="57" spans="1:25" x14ac:dyDescent="0.25">
      <c r="A57" s="651">
        <f t="shared" si="9"/>
        <v>38</v>
      </c>
      <c r="C57" s="637" t="s">
        <v>200</v>
      </c>
      <c r="D57" s="979" t="s">
        <v>1562</v>
      </c>
      <c r="E57" s="986">
        <v>0</v>
      </c>
      <c r="F57" s="986">
        <v>0</v>
      </c>
      <c r="G57" s="986">
        <v>0</v>
      </c>
      <c r="H57" s="696">
        <v>0</v>
      </c>
      <c r="I57" s="655">
        <v>0</v>
      </c>
      <c r="J57" s="697">
        <v>0</v>
      </c>
      <c r="K57" s="986">
        <v>0</v>
      </c>
      <c r="L57" s="986">
        <v>0</v>
      </c>
      <c r="M57" s="986">
        <v>0</v>
      </c>
      <c r="N57" s="986">
        <v>0</v>
      </c>
      <c r="O57" s="977">
        <v>0</v>
      </c>
      <c r="P57" s="986">
        <v>0</v>
      </c>
      <c r="S57" s="605"/>
      <c r="T57" s="660"/>
      <c r="U57" s="657"/>
      <c r="V57" s="478"/>
      <c r="W57" s="660"/>
      <c r="X57" s="657"/>
      <c r="Y57" s="478"/>
    </row>
    <row r="58" spans="1:25" x14ac:dyDescent="0.25">
      <c r="A58" s="651">
        <f t="shared" si="9"/>
        <v>39</v>
      </c>
      <c r="C58" s="639" t="s">
        <v>201</v>
      </c>
      <c r="D58" s="979" t="s">
        <v>1562</v>
      </c>
      <c r="E58" s="986">
        <v>0</v>
      </c>
      <c r="F58" s="986">
        <v>0</v>
      </c>
      <c r="G58" s="986">
        <v>0</v>
      </c>
      <c r="H58" s="696">
        <v>0</v>
      </c>
      <c r="I58" s="655">
        <v>0</v>
      </c>
      <c r="J58" s="697">
        <v>0</v>
      </c>
      <c r="K58" s="986">
        <v>0</v>
      </c>
      <c r="L58" s="986">
        <v>0</v>
      </c>
      <c r="M58" s="986">
        <v>0</v>
      </c>
      <c r="N58" s="986">
        <v>0</v>
      </c>
      <c r="O58" s="977">
        <v>0</v>
      </c>
      <c r="P58" s="986">
        <v>0</v>
      </c>
      <c r="S58" s="605"/>
      <c r="T58" s="660"/>
      <c r="U58" s="657"/>
      <c r="V58" s="478"/>
      <c r="W58" s="660"/>
      <c r="X58" s="657"/>
      <c r="Y58" s="478"/>
    </row>
    <row r="59" spans="1:25" x14ac:dyDescent="0.25">
      <c r="A59" s="651">
        <f t="shared" si="9"/>
        <v>40</v>
      </c>
      <c r="C59" s="639" t="s">
        <v>214</v>
      </c>
      <c r="D59" s="979" t="s">
        <v>1562</v>
      </c>
      <c r="E59" s="986">
        <v>0</v>
      </c>
      <c r="F59" s="986">
        <v>0</v>
      </c>
      <c r="G59" s="986">
        <v>0</v>
      </c>
      <c r="H59" s="696">
        <v>0</v>
      </c>
      <c r="I59" s="655">
        <v>0</v>
      </c>
      <c r="J59" s="697">
        <v>0</v>
      </c>
      <c r="K59" s="986">
        <v>0</v>
      </c>
      <c r="L59" s="986">
        <v>0</v>
      </c>
      <c r="M59" s="986">
        <v>0</v>
      </c>
      <c r="N59" s="986">
        <v>0</v>
      </c>
      <c r="O59" s="977">
        <v>0</v>
      </c>
      <c r="P59" s="986">
        <v>0</v>
      </c>
      <c r="S59" s="605"/>
      <c r="T59" s="660"/>
      <c r="U59" s="657"/>
      <c r="V59" s="478"/>
      <c r="W59" s="660"/>
      <c r="X59" s="657"/>
      <c r="Y59" s="478"/>
    </row>
    <row r="60" spans="1:25" x14ac:dyDescent="0.25">
      <c r="A60" s="651">
        <f t="shared" si="9"/>
        <v>41</v>
      </c>
      <c r="C60" s="637" t="s">
        <v>202</v>
      </c>
      <c r="D60" s="979" t="s">
        <v>1562</v>
      </c>
      <c r="E60" s="986">
        <v>0</v>
      </c>
      <c r="F60" s="986">
        <v>0</v>
      </c>
      <c r="G60" s="986">
        <v>0</v>
      </c>
      <c r="H60" s="696">
        <v>0</v>
      </c>
      <c r="I60" s="655">
        <v>0</v>
      </c>
      <c r="J60" s="697">
        <v>0</v>
      </c>
      <c r="K60" s="986">
        <v>0</v>
      </c>
      <c r="L60" s="986">
        <v>0</v>
      </c>
      <c r="M60" s="986">
        <v>0</v>
      </c>
      <c r="N60" s="986">
        <v>0</v>
      </c>
      <c r="O60" s="977">
        <v>0</v>
      </c>
      <c r="P60" s="986">
        <v>0</v>
      </c>
      <c r="S60" s="605"/>
      <c r="T60" s="660"/>
      <c r="U60" s="657"/>
      <c r="V60" s="478"/>
      <c r="W60" s="660"/>
      <c r="X60" s="657"/>
      <c r="Y60" s="478"/>
    </row>
    <row r="61" spans="1:25" x14ac:dyDescent="0.25">
      <c r="A61" s="651">
        <f t="shared" si="9"/>
        <v>42</v>
      </c>
      <c r="C61" s="639" t="s">
        <v>203</v>
      </c>
      <c r="D61" s="979" t="s">
        <v>1562</v>
      </c>
      <c r="E61" s="986">
        <v>0</v>
      </c>
      <c r="F61" s="986">
        <v>0</v>
      </c>
      <c r="G61" s="986">
        <v>0</v>
      </c>
      <c r="H61" s="696">
        <v>0</v>
      </c>
      <c r="I61" s="655">
        <v>0</v>
      </c>
      <c r="J61" s="697">
        <v>0</v>
      </c>
      <c r="K61" s="986">
        <v>0</v>
      </c>
      <c r="L61" s="986">
        <v>0</v>
      </c>
      <c r="M61" s="986">
        <v>0</v>
      </c>
      <c r="N61" s="986">
        <v>0</v>
      </c>
      <c r="O61" s="977">
        <v>0</v>
      </c>
      <c r="P61" s="986">
        <v>0</v>
      </c>
      <c r="S61" s="605"/>
      <c r="T61" s="660"/>
      <c r="U61" s="657"/>
      <c r="V61" s="478"/>
      <c r="W61" s="660"/>
      <c r="X61" s="657"/>
      <c r="Y61" s="478"/>
    </row>
    <row r="62" spans="1:25" x14ac:dyDescent="0.25">
      <c r="A62" s="651">
        <f t="shared" si="9"/>
        <v>43</v>
      </c>
      <c r="C62" s="639" t="s">
        <v>204</v>
      </c>
      <c r="D62" s="979" t="s">
        <v>1562</v>
      </c>
      <c r="E62" s="986">
        <v>0</v>
      </c>
      <c r="F62" s="986">
        <v>0</v>
      </c>
      <c r="G62" s="986">
        <v>0</v>
      </c>
      <c r="H62" s="696">
        <v>0</v>
      </c>
      <c r="I62" s="655">
        <v>0</v>
      </c>
      <c r="J62" s="697">
        <v>0</v>
      </c>
      <c r="K62" s="986">
        <v>0</v>
      </c>
      <c r="L62" s="986">
        <v>0</v>
      </c>
      <c r="M62" s="986">
        <v>0</v>
      </c>
      <c r="N62" s="986">
        <v>0</v>
      </c>
      <c r="O62" s="977">
        <v>0</v>
      </c>
      <c r="P62" s="986">
        <v>0</v>
      </c>
      <c r="S62" s="605"/>
      <c r="T62" s="660"/>
      <c r="U62" s="657"/>
      <c r="V62" s="478"/>
      <c r="W62" s="660"/>
      <c r="X62" s="657"/>
      <c r="Y62" s="478"/>
    </row>
    <row r="63" spans="1:25" x14ac:dyDescent="0.25">
      <c r="A63" s="651">
        <f t="shared" si="9"/>
        <v>44</v>
      </c>
      <c r="C63" s="637" t="s">
        <v>205</v>
      </c>
      <c r="D63" s="979" t="s">
        <v>1562</v>
      </c>
      <c r="E63" s="986">
        <v>0</v>
      </c>
      <c r="F63" s="986">
        <v>0</v>
      </c>
      <c r="G63" s="986">
        <v>0</v>
      </c>
      <c r="H63" s="696">
        <v>0</v>
      </c>
      <c r="I63" s="655">
        <v>0</v>
      </c>
      <c r="J63" s="697">
        <v>0</v>
      </c>
      <c r="K63" s="986">
        <v>0</v>
      </c>
      <c r="L63" s="986">
        <v>0</v>
      </c>
      <c r="M63" s="986">
        <v>0</v>
      </c>
      <c r="N63" s="986">
        <v>0</v>
      </c>
      <c r="O63" s="977">
        <v>0</v>
      </c>
      <c r="P63" s="986">
        <v>0</v>
      </c>
      <c r="S63" s="605"/>
      <c r="T63" s="660"/>
      <c r="U63" s="657"/>
      <c r="V63" s="478"/>
      <c r="W63" s="660"/>
      <c r="X63" s="657"/>
      <c r="Y63" s="478"/>
    </row>
    <row r="64" spans="1:25" x14ac:dyDescent="0.25">
      <c r="A64" s="651">
        <f t="shared" si="9"/>
        <v>45</v>
      </c>
      <c r="C64" s="639" t="s">
        <v>206</v>
      </c>
      <c r="D64" s="979" t="s">
        <v>1562</v>
      </c>
      <c r="E64" s="986">
        <v>0</v>
      </c>
      <c r="F64" s="986">
        <v>0</v>
      </c>
      <c r="G64" s="986">
        <v>0</v>
      </c>
      <c r="H64" s="696">
        <v>0</v>
      </c>
      <c r="I64" s="655">
        <v>0</v>
      </c>
      <c r="J64" s="697">
        <v>0</v>
      </c>
      <c r="K64" s="986">
        <v>0</v>
      </c>
      <c r="L64" s="986">
        <v>0</v>
      </c>
      <c r="M64" s="986">
        <v>0</v>
      </c>
      <c r="N64" s="986">
        <v>0</v>
      </c>
      <c r="O64" s="977">
        <v>0</v>
      </c>
      <c r="P64" s="986">
        <v>0</v>
      </c>
      <c r="S64" s="605"/>
      <c r="T64" s="660"/>
      <c r="U64" s="657"/>
      <c r="V64" s="478"/>
      <c r="W64" s="660"/>
      <c r="X64" s="657"/>
      <c r="Y64" s="478"/>
    </row>
    <row r="65" spans="1:25" x14ac:dyDescent="0.25">
      <c r="A65" s="651">
        <f t="shared" si="9"/>
        <v>46</v>
      </c>
      <c r="C65" s="639" t="s">
        <v>207</v>
      </c>
      <c r="D65" s="979" t="s">
        <v>1562</v>
      </c>
      <c r="E65" s="986">
        <v>0</v>
      </c>
      <c r="F65" s="986">
        <v>0</v>
      </c>
      <c r="G65" s="986">
        <v>0</v>
      </c>
      <c r="H65" s="696">
        <v>0</v>
      </c>
      <c r="I65" s="655">
        <v>0</v>
      </c>
      <c r="J65" s="697">
        <v>0</v>
      </c>
      <c r="K65" s="986">
        <v>0</v>
      </c>
      <c r="L65" s="986">
        <v>0</v>
      </c>
      <c r="M65" s="986">
        <v>0</v>
      </c>
      <c r="N65" s="986">
        <v>0</v>
      </c>
      <c r="O65" s="977">
        <v>0</v>
      </c>
      <c r="P65" s="986">
        <v>0</v>
      </c>
      <c r="S65" s="605"/>
      <c r="T65" s="660"/>
      <c r="U65" s="657"/>
      <c r="V65" s="478"/>
      <c r="W65" s="660"/>
      <c r="X65" s="657"/>
      <c r="Y65" s="478"/>
    </row>
    <row r="66" spans="1:25" x14ac:dyDescent="0.25">
      <c r="A66" s="652">
        <f t="shared" si="9"/>
        <v>47</v>
      </c>
      <c r="C66" s="639" t="s">
        <v>210</v>
      </c>
      <c r="D66" s="979" t="s">
        <v>1562</v>
      </c>
      <c r="E66" s="986">
        <v>0</v>
      </c>
      <c r="F66" s="986">
        <v>0</v>
      </c>
      <c r="G66" s="986">
        <v>0</v>
      </c>
      <c r="H66" s="696">
        <v>0</v>
      </c>
      <c r="I66" s="655">
        <v>0</v>
      </c>
      <c r="J66" s="697">
        <v>0</v>
      </c>
      <c r="K66" s="986">
        <v>0</v>
      </c>
      <c r="L66" s="986">
        <v>0</v>
      </c>
      <c r="M66" s="986">
        <v>0</v>
      </c>
      <c r="N66" s="986">
        <v>0</v>
      </c>
      <c r="O66" s="977">
        <v>0</v>
      </c>
      <c r="P66" s="986">
        <v>0</v>
      </c>
      <c r="S66" s="605"/>
      <c r="T66" s="660"/>
      <c r="U66" s="657"/>
      <c r="V66" s="478"/>
      <c r="W66" s="660"/>
      <c r="X66" s="657"/>
      <c r="Y66" s="478"/>
    </row>
    <row r="67" spans="1:25" x14ac:dyDescent="0.25">
      <c r="A67" s="652">
        <f t="shared" si="9"/>
        <v>48</v>
      </c>
      <c r="C67" s="639" t="s">
        <v>209</v>
      </c>
      <c r="D67" s="979" t="s">
        <v>1562</v>
      </c>
      <c r="E67" s="986">
        <v>0</v>
      </c>
      <c r="F67" s="986">
        <v>0</v>
      </c>
      <c r="G67" s="986">
        <v>0</v>
      </c>
      <c r="H67" s="696">
        <v>0</v>
      </c>
      <c r="I67" s="655">
        <v>0</v>
      </c>
      <c r="J67" s="697">
        <v>0</v>
      </c>
      <c r="K67" s="986">
        <v>0</v>
      </c>
      <c r="L67" s="986">
        <v>0</v>
      </c>
      <c r="M67" s="986">
        <v>0</v>
      </c>
      <c r="N67" s="986">
        <v>0</v>
      </c>
      <c r="O67" s="977">
        <v>0</v>
      </c>
      <c r="P67" s="986">
        <v>0</v>
      </c>
      <c r="S67" s="605"/>
      <c r="T67" s="660"/>
      <c r="U67" s="657"/>
      <c r="V67" s="478"/>
      <c r="W67" s="660"/>
      <c r="X67" s="657"/>
      <c r="Y67" s="478"/>
    </row>
    <row r="68" spans="1:25" x14ac:dyDescent="0.25">
      <c r="A68" s="652">
        <f t="shared" si="9"/>
        <v>49</v>
      </c>
      <c r="C68" s="639" t="s">
        <v>199</v>
      </c>
      <c r="D68" s="979" t="s">
        <v>1562</v>
      </c>
      <c r="E68" s="986">
        <v>0</v>
      </c>
      <c r="F68" s="986">
        <v>0</v>
      </c>
      <c r="G68" s="986">
        <v>0</v>
      </c>
      <c r="H68" s="696">
        <v>0</v>
      </c>
      <c r="I68" s="655">
        <v>0</v>
      </c>
      <c r="J68" s="697">
        <v>0</v>
      </c>
      <c r="K68" s="986">
        <v>0</v>
      </c>
      <c r="L68" s="986">
        <v>0</v>
      </c>
      <c r="M68" s="986">
        <v>0</v>
      </c>
      <c r="N68" s="986">
        <v>0</v>
      </c>
      <c r="O68" s="977">
        <v>0</v>
      </c>
      <c r="P68" s="986">
        <v>0</v>
      </c>
      <c r="S68" s="605"/>
      <c r="T68" s="660"/>
      <c r="U68" s="657"/>
      <c r="V68" s="478"/>
      <c r="W68" s="660"/>
      <c r="X68" s="657"/>
      <c r="Y68" s="478"/>
    </row>
    <row r="69" spans="1:25" x14ac:dyDescent="0.25">
      <c r="A69" s="651"/>
      <c r="D69" s="659"/>
      <c r="G69" s="605"/>
      <c r="M69" s="601"/>
      <c r="N69" s="655"/>
    </row>
    <row r="70" spans="1:25" x14ac:dyDescent="0.25">
      <c r="A70" s="651"/>
      <c r="B70" s="607" t="s">
        <v>2365</v>
      </c>
      <c r="D70" s="659"/>
      <c r="G70" s="698"/>
      <c r="M70" s="601"/>
      <c r="N70" s="655"/>
    </row>
    <row r="71" spans="1:25" x14ac:dyDescent="0.25">
      <c r="A71" s="651"/>
      <c r="E71" s="646" t="s">
        <v>394</v>
      </c>
      <c r="F71" s="646" t="s">
        <v>378</v>
      </c>
      <c r="G71" s="646" t="s">
        <v>379</v>
      </c>
      <c r="H71" s="646" t="s">
        <v>380</v>
      </c>
      <c r="I71" s="646" t="s">
        <v>381</v>
      </c>
      <c r="J71" s="646" t="s">
        <v>382</v>
      </c>
      <c r="K71" s="646" t="s">
        <v>383</v>
      </c>
      <c r="L71" s="646" t="s">
        <v>595</v>
      </c>
      <c r="M71" s="646" t="s">
        <v>1043</v>
      </c>
      <c r="N71" s="646" t="s">
        <v>1059</v>
      </c>
      <c r="O71" s="646" t="s">
        <v>1062</v>
      </c>
      <c r="P71" s="646" t="s">
        <v>1080</v>
      </c>
    </row>
    <row r="72" spans="1:25" ht="26.4" x14ac:dyDescent="0.25">
      <c r="A72" s="651"/>
      <c r="E72" s="648"/>
      <c r="F72" s="648"/>
      <c r="G72" s="649" t="str">
        <f>"=(C"&amp;RIGHT(E71)&amp;"-C"&amp;RIGHT(F71)&amp;")*L"&amp;$A$103</f>
        <v>=(C1-C2)*L74</v>
      </c>
      <c r="H72" s="648" t="str">
        <f>"=(C"&amp;RIGHT(E71)&amp;"-C"&amp;RIGHT(F71)&amp;"+C"&amp;RIGHT(G71)&amp;")*L"&amp;$A$107</f>
        <v>=(C1-C2+C3)*L75</v>
      </c>
      <c r="I72" s="648" t="str">
        <f>"=C"&amp;RIGHT(E71)&amp;"-C"&amp;RIGHT(F71)&amp;"+C"&amp;RIGHT(G71)&amp;"-C"&amp;RIGHT(H71)</f>
        <v>=C1-C2+C3-C4</v>
      </c>
      <c r="J72" s="649" t="str">
        <f>"=C"&amp;RIGHT(I71)&amp;"*L"&amp;$A$111</f>
        <v>=C5*L76</v>
      </c>
      <c r="K72" s="693" t="s">
        <v>2366</v>
      </c>
      <c r="L72" s="694" t="s">
        <v>2589</v>
      </c>
      <c r="M72" s="695" t="s">
        <v>2364</v>
      </c>
      <c r="N72" s="648" t="str">
        <f>"=C"&amp;RIGHT(K71)&amp;"-C"&amp;RIGHT(M71)</f>
        <v>=C7-C9</v>
      </c>
      <c r="P72" s="695" t="s">
        <v>2590</v>
      </c>
    </row>
    <row r="73" spans="1:25" x14ac:dyDescent="0.25">
      <c r="A73" s="651"/>
      <c r="C73" s="651" t="str">
        <f>C10</f>
        <v>Forecast</v>
      </c>
      <c r="E73" s="651" t="str">
        <f>E10</f>
        <v>Unloaded</v>
      </c>
      <c r="F73" s="651"/>
      <c r="G73" s="651"/>
      <c r="H73" s="652"/>
      <c r="I73" s="652" t="str">
        <f>I10</f>
        <v>AFUDC</v>
      </c>
      <c r="J73" s="652"/>
      <c r="K73" s="652"/>
      <c r="L73" s="652"/>
      <c r="M73" s="652"/>
      <c r="O73" s="651" t="str">
        <f>O10</f>
        <v>Unloaded</v>
      </c>
      <c r="P73" s="651" t="str">
        <f>P10</f>
        <v>Loaded</v>
      </c>
    </row>
    <row r="74" spans="1:25" x14ac:dyDescent="0.25">
      <c r="A74" s="651"/>
      <c r="C74" s="651" t="str">
        <f>C11</f>
        <v>Period</v>
      </c>
      <c r="E74" s="651" t="str">
        <f>E11</f>
        <v>Total</v>
      </c>
      <c r="F74" s="651" t="str">
        <f t="shared" ref="F74:H75" si="10">F11</f>
        <v>Prior Period</v>
      </c>
      <c r="G74" s="652" t="str">
        <f t="shared" si="10"/>
        <v>Over Heads</v>
      </c>
      <c r="H74" s="652" t="str">
        <f t="shared" si="10"/>
        <v xml:space="preserve">Cost of </v>
      </c>
      <c r="I74" s="652" t="str">
        <f>I11</f>
        <v>Eligible Plant</v>
      </c>
      <c r="J74" s="652"/>
      <c r="K74" s="652" t="str">
        <f t="shared" ref="K74:M74" si="11">K11</f>
        <v>Incremental</v>
      </c>
      <c r="L74" s="652" t="str">
        <f t="shared" si="11"/>
        <v>Depreciation</v>
      </c>
      <c r="M74" s="652" t="str">
        <f t="shared" si="11"/>
        <v>Incremental</v>
      </c>
      <c r="O74" s="652" t="str">
        <f>O11</f>
        <v>Low Voltage</v>
      </c>
      <c r="P74" s="652" t="str">
        <f>P11</f>
        <v>Low Voltage</v>
      </c>
      <c r="Q74" s="651"/>
    </row>
    <row r="75" spans="1:25" x14ac:dyDescent="0.25">
      <c r="A75" s="653" t="s">
        <v>360</v>
      </c>
      <c r="C75" s="636" t="str">
        <f>C12</f>
        <v>Month</v>
      </c>
      <c r="D75" s="636" t="str">
        <f>D12</f>
        <v>Year</v>
      </c>
      <c r="E75" s="647" t="str">
        <f>E12</f>
        <v>Plant Adds</v>
      </c>
      <c r="F75" s="647" t="str">
        <f t="shared" si="10"/>
        <v>CWIP Closed</v>
      </c>
      <c r="G75" s="654" t="str">
        <f t="shared" si="10"/>
        <v>Closed to PIS</v>
      </c>
      <c r="H75" s="654" t="str">
        <f t="shared" si="10"/>
        <v>Removal</v>
      </c>
      <c r="I75" s="654" t="str">
        <f>I12</f>
        <v>Additions</v>
      </c>
      <c r="J75" s="654" t="str">
        <f t="shared" ref="J75:P75" si="12">J12</f>
        <v>AFUDC</v>
      </c>
      <c r="K75" s="654" t="str">
        <f t="shared" si="12"/>
        <v>Gross Plant</v>
      </c>
      <c r="L75" s="654" t="str">
        <f t="shared" si="12"/>
        <v>Accrual</v>
      </c>
      <c r="M75" s="654" t="str">
        <f t="shared" si="12"/>
        <v>Reserve</v>
      </c>
      <c r="N75" s="654" t="str">
        <f t="shared" si="12"/>
        <v>Net Plant</v>
      </c>
      <c r="O75" s="654" t="str">
        <f t="shared" si="12"/>
        <v>Additions</v>
      </c>
      <c r="P75" s="654" t="str">
        <f t="shared" si="12"/>
        <v>Additions</v>
      </c>
      <c r="Q75" s="654"/>
      <c r="S75" s="699"/>
      <c r="T75" s="654"/>
      <c r="U75" s="654"/>
      <c r="V75" s="654"/>
      <c r="W75" s="654"/>
      <c r="X75" s="654"/>
      <c r="Y75" s="654"/>
    </row>
    <row r="76" spans="1:25" x14ac:dyDescent="0.25">
      <c r="A76" s="651">
        <f>A68+1</f>
        <v>50</v>
      </c>
      <c r="C76" s="637" t="str">
        <f t="shared" ref="C76:C96" si="13">C45</f>
        <v>January</v>
      </c>
      <c r="D76" s="979" t="s">
        <v>1562</v>
      </c>
      <c r="E76" s="977">
        <v>0</v>
      </c>
      <c r="F76" s="977">
        <v>0</v>
      </c>
      <c r="G76" s="986">
        <v>0</v>
      </c>
      <c r="H76" s="986">
        <v>0</v>
      </c>
      <c r="I76" s="986">
        <v>0</v>
      </c>
      <c r="J76" s="986">
        <v>0</v>
      </c>
      <c r="K76" s="986">
        <v>0</v>
      </c>
      <c r="L76" s="986">
        <v>0</v>
      </c>
      <c r="M76" s="986">
        <v>0</v>
      </c>
      <c r="N76" s="986">
        <v>0</v>
      </c>
      <c r="O76" s="977">
        <v>0</v>
      </c>
      <c r="P76" s="986">
        <v>0</v>
      </c>
      <c r="Q76" s="660"/>
      <c r="R76" s="657"/>
      <c r="S76" s="660"/>
      <c r="T76" s="660"/>
      <c r="U76" s="657"/>
      <c r="V76" s="478"/>
      <c r="W76" s="660"/>
      <c r="X76" s="657"/>
      <c r="Y76" s="478"/>
    </row>
    <row r="77" spans="1:25" x14ac:dyDescent="0.25">
      <c r="A77" s="651">
        <f t="shared" si="9"/>
        <v>51</v>
      </c>
      <c r="C77" s="637" t="str">
        <f t="shared" si="13"/>
        <v>February</v>
      </c>
      <c r="D77" s="979" t="s">
        <v>1562</v>
      </c>
      <c r="E77" s="977">
        <v>0</v>
      </c>
      <c r="F77" s="977">
        <v>0</v>
      </c>
      <c r="G77" s="986">
        <v>0</v>
      </c>
      <c r="H77" s="986">
        <v>0</v>
      </c>
      <c r="I77" s="986">
        <v>0</v>
      </c>
      <c r="J77" s="986">
        <v>0</v>
      </c>
      <c r="K77" s="986">
        <v>0</v>
      </c>
      <c r="L77" s="986">
        <v>0</v>
      </c>
      <c r="M77" s="986">
        <v>0</v>
      </c>
      <c r="N77" s="986">
        <v>0</v>
      </c>
      <c r="O77" s="977">
        <v>0</v>
      </c>
      <c r="P77" s="986">
        <v>0</v>
      </c>
      <c r="Q77" s="660"/>
      <c r="R77" s="657"/>
      <c r="S77" s="660"/>
      <c r="T77" s="660"/>
      <c r="U77" s="657"/>
      <c r="V77" s="478"/>
      <c r="W77" s="660"/>
      <c r="X77" s="657"/>
      <c r="Y77" s="478"/>
    </row>
    <row r="78" spans="1:25" x14ac:dyDescent="0.25">
      <c r="A78" s="651">
        <f t="shared" si="9"/>
        <v>52</v>
      </c>
      <c r="C78" s="637" t="str">
        <f t="shared" si="13"/>
        <v>March</v>
      </c>
      <c r="D78" s="979" t="s">
        <v>1562</v>
      </c>
      <c r="E78" s="977">
        <v>0</v>
      </c>
      <c r="F78" s="977">
        <v>0</v>
      </c>
      <c r="G78" s="986">
        <v>0</v>
      </c>
      <c r="H78" s="986">
        <v>0</v>
      </c>
      <c r="I78" s="986">
        <v>0</v>
      </c>
      <c r="J78" s="986">
        <v>0</v>
      </c>
      <c r="K78" s="986">
        <v>0</v>
      </c>
      <c r="L78" s="986">
        <v>0</v>
      </c>
      <c r="M78" s="986">
        <v>0</v>
      </c>
      <c r="N78" s="986">
        <v>0</v>
      </c>
      <c r="O78" s="977">
        <v>0</v>
      </c>
      <c r="P78" s="986">
        <v>0</v>
      </c>
      <c r="Q78" s="660"/>
      <c r="R78" s="657"/>
      <c r="S78" s="660"/>
      <c r="T78" s="660"/>
      <c r="U78" s="657"/>
      <c r="V78" s="478"/>
      <c r="W78" s="660"/>
      <c r="X78" s="657"/>
      <c r="Y78" s="478"/>
    </row>
    <row r="79" spans="1:25" x14ac:dyDescent="0.25">
      <c r="A79" s="651">
        <f t="shared" si="9"/>
        <v>53</v>
      </c>
      <c r="C79" s="637" t="str">
        <f t="shared" si="13"/>
        <v>April</v>
      </c>
      <c r="D79" s="979" t="s">
        <v>1562</v>
      </c>
      <c r="E79" s="977">
        <v>0</v>
      </c>
      <c r="F79" s="977">
        <v>0</v>
      </c>
      <c r="G79" s="986">
        <v>0</v>
      </c>
      <c r="H79" s="986">
        <v>0</v>
      </c>
      <c r="I79" s="986">
        <v>0</v>
      </c>
      <c r="J79" s="986">
        <v>0</v>
      </c>
      <c r="K79" s="986">
        <v>0</v>
      </c>
      <c r="L79" s="986">
        <v>0</v>
      </c>
      <c r="M79" s="986">
        <v>0</v>
      </c>
      <c r="N79" s="986">
        <v>0</v>
      </c>
      <c r="O79" s="977">
        <v>0</v>
      </c>
      <c r="P79" s="986">
        <v>0</v>
      </c>
      <c r="Q79" s="660"/>
      <c r="R79" s="657"/>
      <c r="S79" s="660"/>
      <c r="T79" s="660"/>
      <c r="U79" s="657"/>
      <c r="V79" s="478"/>
      <c r="W79" s="660"/>
      <c r="X79" s="657"/>
      <c r="Y79" s="478"/>
    </row>
    <row r="80" spans="1:25" x14ac:dyDescent="0.25">
      <c r="A80" s="651">
        <f t="shared" si="9"/>
        <v>54</v>
      </c>
      <c r="C80" s="637" t="str">
        <f t="shared" si="13"/>
        <v>May</v>
      </c>
      <c r="D80" s="979" t="s">
        <v>1562</v>
      </c>
      <c r="E80" s="977">
        <v>0</v>
      </c>
      <c r="F80" s="977">
        <v>0</v>
      </c>
      <c r="G80" s="986">
        <v>0</v>
      </c>
      <c r="H80" s="986">
        <v>0</v>
      </c>
      <c r="I80" s="986">
        <v>0</v>
      </c>
      <c r="J80" s="986">
        <v>0</v>
      </c>
      <c r="K80" s="986">
        <v>0</v>
      </c>
      <c r="L80" s="986">
        <v>0</v>
      </c>
      <c r="M80" s="986">
        <v>0</v>
      </c>
      <c r="N80" s="986">
        <v>0</v>
      </c>
      <c r="O80" s="977">
        <v>0</v>
      </c>
      <c r="P80" s="986">
        <v>0</v>
      </c>
      <c r="Q80" s="660"/>
      <c r="R80" s="657"/>
      <c r="S80" s="660"/>
      <c r="T80" s="660"/>
      <c r="U80" s="657"/>
      <c r="V80" s="478"/>
      <c r="W80" s="660"/>
      <c r="X80" s="657"/>
      <c r="Y80" s="478"/>
    </row>
    <row r="81" spans="1:25" x14ac:dyDescent="0.25">
      <c r="A81" s="651">
        <f t="shared" si="9"/>
        <v>55</v>
      </c>
      <c r="C81" s="637" t="str">
        <f t="shared" si="13"/>
        <v xml:space="preserve">June </v>
      </c>
      <c r="D81" s="979" t="s">
        <v>1562</v>
      </c>
      <c r="E81" s="977">
        <v>0</v>
      </c>
      <c r="F81" s="977">
        <v>0</v>
      </c>
      <c r="G81" s="986">
        <v>0</v>
      </c>
      <c r="H81" s="986">
        <v>0</v>
      </c>
      <c r="I81" s="986">
        <v>0</v>
      </c>
      <c r="J81" s="986">
        <v>0</v>
      </c>
      <c r="K81" s="986">
        <v>0</v>
      </c>
      <c r="L81" s="986">
        <v>0</v>
      </c>
      <c r="M81" s="986">
        <v>0</v>
      </c>
      <c r="N81" s="986">
        <v>0</v>
      </c>
      <c r="O81" s="977">
        <v>0</v>
      </c>
      <c r="P81" s="986">
        <v>0</v>
      </c>
      <c r="Q81" s="660"/>
      <c r="R81" s="657"/>
      <c r="S81" s="660"/>
      <c r="T81" s="660"/>
      <c r="U81" s="657"/>
      <c r="V81" s="478"/>
      <c r="W81" s="660"/>
      <c r="X81" s="657"/>
      <c r="Y81" s="478"/>
    </row>
    <row r="82" spans="1:25" x14ac:dyDescent="0.25">
      <c r="A82" s="651">
        <f t="shared" si="9"/>
        <v>56</v>
      </c>
      <c r="C82" s="637" t="str">
        <f t="shared" si="13"/>
        <v>July</v>
      </c>
      <c r="D82" s="979" t="s">
        <v>1562</v>
      </c>
      <c r="E82" s="977">
        <v>0</v>
      </c>
      <c r="F82" s="977">
        <v>0</v>
      </c>
      <c r="G82" s="986">
        <v>0</v>
      </c>
      <c r="H82" s="986">
        <v>0</v>
      </c>
      <c r="I82" s="986">
        <v>0</v>
      </c>
      <c r="J82" s="986">
        <v>0</v>
      </c>
      <c r="K82" s="986">
        <v>0</v>
      </c>
      <c r="L82" s="986">
        <v>0</v>
      </c>
      <c r="M82" s="986">
        <v>0</v>
      </c>
      <c r="N82" s="986">
        <v>0</v>
      </c>
      <c r="O82" s="977">
        <v>0</v>
      </c>
      <c r="P82" s="986">
        <v>0</v>
      </c>
      <c r="Q82" s="660"/>
      <c r="R82" s="657"/>
      <c r="S82" s="660"/>
      <c r="T82" s="660"/>
      <c r="U82" s="657"/>
      <c r="V82" s="478"/>
      <c r="W82" s="660"/>
      <c r="X82" s="657"/>
      <c r="Y82" s="478"/>
    </row>
    <row r="83" spans="1:25" x14ac:dyDescent="0.25">
      <c r="A83" s="651">
        <f t="shared" si="9"/>
        <v>57</v>
      </c>
      <c r="C83" s="637" t="str">
        <f t="shared" si="13"/>
        <v>August</v>
      </c>
      <c r="D83" s="979" t="s">
        <v>1562</v>
      </c>
      <c r="E83" s="977">
        <v>0</v>
      </c>
      <c r="F83" s="977">
        <v>0</v>
      </c>
      <c r="G83" s="986">
        <v>0</v>
      </c>
      <c r="H83" s="986">
        <v>0</v>
      </c>
      <c r="I83" s="986">
        <v>0</v>
      </c>
      <c r="J83" s="986">
        <v>0</v>
      </c>
      <c r="K83" s="986">
        <v>0</v>
      </c>
      <c r="L83" s="986">
        <v>0</v>
      </c>
      <c r="M83" s="986">
        <v>0</v>
      </c>
      <c r="N83" s="986">
        <v>0</v>
      </c>
      <c r="O83" s="977">
        <v>0</v>
      </c>
      <c r="P83" s="986">
        <v>0</v>
      </c>
      <c r="Q83" s="660"/>
      <c r="R83" s="657"/>
      <c r="S83" s="660"/>
      <c r="T83" s="660"/>
      <c r="U83" s="657"/>
      <c r="V83" s="478"/>
      <c r="W83" s="660"/>
      <c r="X83" s="657"/>
      <c r="Y83" s="478"/>
    </row>
    <row r="84" spans="1:25" x14ac:dyDescent="0.25">
      <c r="A84" s="651">
        <f t="shared" si="9"/>
        <v>58</v>
      </c>
      <c r="C84" s="637" t="str">
        <f t="shared" si="13"/>
        <v>September</v>
      </c>
      <c r="D84" s="979" t="s">
        <v>1562</v>
      </c>
      <c r="E84" s="977">
        <v>0</v>
      </c>
      <c r="F84" s="977">
        <v>0</v>
      </c>
      <c r="G84" s="986">
        <v>0</v>
      </c>
      <c r="H84" s="986">
        <v>0</v>
      </c>
      <c r="I84" s="986">
        <v>0</v>
      </c>
      <c r="J84" s="986">
        <v>0</v>
      </c>
      <c r="K84" s="986">
        <v>0</v>
      </c>
      <c r="L84" s="986">
        <v>0</v>
      </c>
      <c r="M84" s="986">
        <v>0</v>
      </c>
      <c r="N84" s="986">
        <v>0</v>
      </c>
      <c r="O84" s="977">
        <v>0</v>
      </c>
      <c r="P84" s="986">
        <v>0</v>
      </c>
      <c r="Q84" s="660"/>
      <c r="R84" s="657"/>
      <c r="S84" s="660"/>
      <c r="T84" s="660"/>
      <c r="U84" s="657"/>
      <c r="V84" s="478"/>
      <c r="W84" s="660"/>
      <c r="X84" s="657"/>
      <c r="Y84" s="478"/>
    </row>
    <row r="85" spans="1:25" x14ac:dyDescent="0.25">
      <c r="A85" s="651">
        <f t="shared" si="9"/>
        <v>59</v>
      </c>
      <c r="C85" s="637" t="str">
        <f t="shared" si="13"/>
        <v xml:space="preserve">October </v>
      </c>
      <c r="D85" s="979" t="s">
        <v>1562</v>
      </c>
      <c r="E85" s="977">
        <v>0</v>
      </c>
      <c r="F85" s="977">
        <v>0</v>
      </c>
      <c r="G85" s="986">
        <v>0</v>
      </c>
      <c r="H85" s="986">
        <v>0</v>
      </c>
      <c r="I85" s="986">
        <v>0</v>
      </c>
      <c r="J85" s="986">
        <v>0</v>
      </c>
      <c r="K85" s="986">
        <v>0</v>
      </c>
      <c r="L85" s="986">
        <v>0</v>
      </c>
      <c r="M85" s="986">
        <v>0</v>
      </c>
      <c r="N85" s="986">
        <v>0</v>
      </c>
      <c r="O85" s="977">
        <v>0</v>
      </c>
      <c r="P85" s="986">
        <v>0</v>
      </c>
      <c r="Q85" s="660"/>
      <c r="R85" s="657"/>
      <c r="S85" s="660"/>
      <c r="T85" s="660"/>
      <c r="U85" s="657"/>
      <c r="V85" s="478"/>
      <c r="W85" s="660"/>
      <c r="X85" s="657"/>
      <c r="Y85" s="478"/>
    </row>
    <row r="86" spans="1:25" x14ac:dyDescent="0.25">
      <c r="A86" s="651">
        <f t="shared" si="9"/>
        <v>60</v>
      </c>
      <c r="C86" s="637" t="str">
        <f t="shared" si="13"/>
        <v>November</v>
      </c>
      <c r="D86" s="979" t="s">
        <v>1562</v>
      </c>
      <c r="E86" s="977">
        <v>0</v>
      </c>
      <c r="F86" s="977">
        <v>0</v>
      </c>
      <c r="G86" s="986">
        <v>0</v>
      </c>
      <c r="H86" s="986">
        <v>0</v>
      </c>
      <c r="I86" s="986">
        <v>0</v>
      </c>
      <c r="J86" s="986">
        <v>0</v>
      </c>
      <c r="K86" s="986">
        <v>0</v>
      </c>
      <c r="L86" s="986">
        <v>0</v>
      </c>
      <c r="M86" s="986">
        <v>0</v>
      </c>
      <c r="N86" s="986">
        <v>0</v>
      </c>
      <c r="O86" s="977">
        <v>0</v>
      </c>
      <c r="P86" s="986">
        <v>0</v>
      </c>
      <c r="Q86" s="660"/>
      <c r="R86" s="657"/>
      <c r="S86" s="660"/>
      <c r="T86" s="660"/>
      <c r="U86" s="657"/>
      <c r="V86" s="478"/>
      <c r="W86" s="660"/>
      <c r="X86" s="657"/>
      <c r="Y86" s="478"/>
    </row>
    <row r="87" spans="1:25" x14ac:dyDescent="0.25">
      <c r="A87" s="651">
        <f t="shared" si="9"/>
        <v>61</v>
      </c>
      <c r="C87" s="637" t="str">
        <f t="shared" si="13"/>
        <v>December</v>
      </c>
      <c r="D87" s="979" t="s">
        <v>1562</v>
      </c>
      <c r="E87" s="977">
        <v>0</v>
      </c>
      <c r="F87" s="977">
        <v>0</v>
      </c>
      <c r="G87" s="986">
        <v>0</v>
      </c>
      <c r="H87" s="986">
        <v>0</v>
      </c>
      <c r="I87" s="986">
        <v>0</v>
      </c>
      <c r="J87" s="986">
        <v>0</v>
      </c>
      <c r="K87" s="986">
        <v>0</v>
      </c>
      <c r="L87" s="986">
        <v>0</v>
      </c>
      <c r="M87" s="986">
        <v>0</v>
      </c>
      <c r="N87" s="986">
        <v>0</v>
      </c>
      <c r="O87" s="977">
        <v>0</v>
      </c>
      <c r="P87" s="986">
        <v>0</v>
      </c>
      <c r="Q87" s="660"/>
      <c r="R87" s="657"/>
      <c r="S87" s="660"/>
      <c r="T87" s="660"/>
      <c r="U87" s="657"/>
      <c r="V87" s="478"/>
      <c r="W87" s="660"/>
      <c r="X87" s="657"/>
      <c r="Y87" s="478"/>
    </row>
    <row r="88" spans="1:25" x14ac:dyDescent="0.25">
      <c r="A88" s="651">
        <f t="shared" si="9"/>
        <v>62</v>
      </c>
      <c r="C88" s="637" t="str">
        <f t="shared" si="13"/>
        <v>January</v>
      </c>
      <c r="D88" s="979" t="s">
        <v>1562</v>
      </c>
      <c r="E88" s="977">
        <v>0</v>
      </c>
      <c r="F88" s="977">
        <v>0</v>
      </c>
      <c r="G88" s="986">
        <v>0</v>
      </c>
      <c r="H88" s="986">
        <v>0</v>
      </c>
      <c r="I88" s="986">
        <v>0</v>
      </c>
      <c r="J88" s="986">
        <v>0</v>
      </c>
      <c r="K88" s="986">
        <v>0</v>
      </c>
      <c r="L88" s="986">
        <v>0</v>
      </c>
      <c r="M88" s="986">
        <v>0</v>
      </c>
      <c r="N88" s="986">
        <v>0</v>
      </c>
      <c r="O88" s="977">
        <v>0</v>
      </c>
      <c r="P88" s="986">
        <v>0</v>
      </c>
      <c r="Q88" s="660"/>
      <c r="R88" s="657"/>
      <c r="S88" s="660"/>
      <c r="T88" s="660"/>
      <c r="U88" s="657"/>
      <c r="V88" s="478"/>
      <c r="W88" s="660"/>
      <c r="X88" s="657"/>
      <c r="Y88" s="478"/>
    </row>
    <row r="89" spans="1:25" x14ac:dyDescent="0.25">
      <c r="A89" s="651">
        <f t="shared" si="9"/>
        <v>63</v>
      </c>
      <c r="C89" s="637" t="str">
        <f t="shared" si="13"/>
        <v>February</v>
      </c>
      <c r="D89" s="979" t="s">
        <v>1562</v>
      </c>
      <c r="E89" s="977">
        <v>0</v>
      </c>
      <c r="F89" s="977">
        <v>0</v>
      </c>
      <c r="G89" s="986">
        <v>0</v>
      </c>
      <c r="H89" s="986">
        <v>0</v>
      </c>
      <c r="I89" s="986">
        <v>0</v>
      </c>
      <c r="J89" s="986">
        <v>0</v>
      </c>
      <c r="K89" s="986">
        <v>0</v>
      </c>
      <c r="L89" s="986">
        <v>0</v>
      </c>
      <c r="M89" s="986">
        <v>0</v>
      </c>
      <c r="N89" s="986">
        <v>0</v>
      </c>
      <c r="O89" s="977">
        <v>0</v>
      </c>
      <c r="P89" s="986">
        <v>0</v>
      </c>
      <c r="Q89" s="660"/>
      <c r="R89" s="657"/>
      <c r="S89" s="660"/>
      <c r="T89" s="660"/>
      <c r="U89" s="657"/>
      <c r="V89" s="478"/>
      <c r="W89" s="660"/>
      <c r="X89" s="657"/>
      <c r="Y89" s="478"/>
    </row>
    <row r="90" spans="1:25" x14ac:dyDescent="0.25">
      <c r="A90" s="651">
        <f t="shared" si="9"/>
        <v>64</v>
      </c>
      <c r="C90" s="637" t="str">
        <f t="shared" si="13"/>
        <v>March</v>
      </c>
      <c r="D90" s="979" t="s">
        <v>1562</v>
      </c>
      <c r="E90" s="977">
        <v>0</v>
      </c>
      <c r="F90" s="977">
        <v>0</v>
      </c>
      <c r="G90" s="986">
        <v>0</v>
      </c>
      <c r="H90" s="986">
        <v>0</v>
      </c>
      <c r="I90" s="986">
        <v>0</v>
      </c>
      <c r="J90" s="986">
        <v>0</v>
      </c>
      <c r="K90" s="986">
        <v>0</v>
      </c>
      <c r="L90" s="986">
        <v>0</v>
      </c>
      <c r="M90" s="986">
        <v>0</v>
      </c>
      <c r="N90" s="986">
        <v>0</v>
      </c>
      <c r="O90" s="977">
        <v>0</v>
      </c>
      <c r="P90" s="986">
        <v>0</v>
      </c>
      <c r="Q90" s="660"/>
      <c r="R90" s="657"/>
      <c r="S90" s="660"/>
      <c r="T90" s="660"/>
      <c r="U90" s="657"/>
      <c r="V90" s="478"/>
      <c r="W90" s="660"/>
      <c r="X90" s="657"/>
      <c r="Y90" s="478"/>
    </row>
    <row r="91" spans="1:25" x14ac:dyDescent="0.25">
      <c r="A91" s="651">
        <f t="shared" si="9"/>
        <v>65</v>
      </c>
      <c r="C91" s="637" t="str">
        <f t="shared" si="13"/>
        <v>April</v>
      </c>
      <c r="D91" s="979" t="s">
        <v>1562</v>
      </c>
      <c r="E91" s="977">
        <v>0</v>
      </c>
      <c r="F91" s="977">
        <v>0</v>
      </c>
      <c r="G91" s="986">
        <v>0</v>
      </c>
      <c r="H91" s="986">
        <v>0</v>
      </c>
      <c r="I91" s="986">
        <v>0</v>
      </c>
      <c r="J91" s="986">
        <v>0</v>
      </c>
      <c r="K91" s="986">
        <v>0</v>
      </c>
      <c r="L91" s="986">
        <v>0</v>
      </c>
      <c r="M91" s="986">
        <v>0</v>
      </c>
      <c r="N91" s="986">
        <v>0</v>
      </c>
      <c r="O91" s="977">
        <v>0</v>
      </c>
      <c r="P91" s="986">
        <v>0</v>
      </c>
      <c r="Q91" s="660"/>
      <c r="R91" s="657"/>
      <c r="S91" s="660"/>
      <c r="T91" s="660"/>
      <c r="U91" s="657"/>
      <c r="V91" s="478"/>
      <c r="W91" s="660"/>
      <c r="X91" s="657"/>
      <c r="Y91" s="478"/>
    </row>
    <row r="92" spans="1:25" x14ac:dyDescent="0.25">
      <c r="A92" s="651">
        <f t="shared" si="9"/>
        <v>66</v>
      </c>
      <c r="C92" s="637" t="str">
        <f t="shared" si="13"/>
        <v>May</v>
      </c>
      <c r="D92" s="979" t="s">
        <v>1562</v>
      </c>
      <c r="E92" s="977">
        <v>0</v>
      </c>
      <c r="F92" s="977">
        <v>0</v>
      </c>
      <c r="G92" s="986">
        <v>0</v>
      </c>
      <c r="H92" s="986">
        <v>0</v>
      </c>
      <c r="I92" s="986">
        <v>0</v>
      </c>
      <c r="J92" s="986">
        <v>0</v>
      </c>
      <c r="K92" s="986">
        <v>0</v>
      </c>
      <c r="L92" s="986">
        <v>0</v>
      </c>
      <c r="M92" s="986">
        <v>0</v>
      </c>
      <c r="N92" s="986">
        <v>0</v>
      </c>
      <c r="O92" s="977">
        <v>0</v>
      </c>
      <c r="P92" s="986">
        <v>0</v>
      </c>
      <c r="Q92" s="660"/>
      <c r="R92" s="657"/>
      <c r="S92" s="660"/>
      <c r="T92" s="660"/>
      <c r="U92" s="657"/>
      <c r="V92" s="478"/>
      <c r="W92" s="660"/>
      <c r="X92" s="657"/>
      <c r="Y92" s="478"/>
    </row>
    <row r="93" spans="1:25" x14ac:dyDescent="0.25">
      <c r="A93" s="651">
        <f t="shared" si="9"/>
        <v>67</v>
      </c>
      <c r="C93" s="637" t="str">
        <f t="shared" si="13"/>
        <v xml:space="preserve">June </v>
      </c>
      <c r="D93" s="979" t="s">
        <v>1562</v>
      </c>
      <c r="E93" s="977">
        <v>0</v>
      </c>
      <c r="F93" s="977">
        <v>0</v>
      </c>
      <c r="G93" s="986">
        <v>0</v>
      </c>
      <c r="H93" s="986">
        <v>0</v>
      </c>
      <c r="I93" s="986">
        <v>0</v>
      </c>
      <c r="J93" s="986">
        <v>0</v>
      </c>
      <c r="K93" s="986">
        <v>0</v>
      </c>
      <c r="L93" s="986">
        <v>0</v>
      </c>
      <c r="M93" s="986">
        <v>0</v>
      </c>
      <c r="N93" s="986">
        <v>0</v>
      </c>
      <c r="O93" s="977">
        <v>0</v>
      </c>
      <c r="P93" s="986">
        <v>0</v>
      </c>
      <c r="Q93" s="660"/>
      <c r="R93" s="657"/>
      <c r="S93" s="660"/>
      <c r="T93" s="660"/>
      <c r="U93" s="657"/>
      <c r="V93" s="478"/>
      <c r="W93" s="660"/>
      <c r="X93" s="657"/>
      <c r="Y93" s="478"/>
    </row>
    <row r="94" spans="1:25" x14ac:dyDescent="0.25">
      <c r="A94" s="651">
        <f t="shared" si="9"/>
        <v>68</v>
      </c>
      <c r="C94" s="637" t="str">
        <f t="shared" si="13"/>
        <v>July</v>
      </c>
      <c r="D94" s="979" t="s">
        <v>1562</v>
      </c>
      <c r="E94" s="977">
        <v>0</v>
      </c>
      <c r="F94" s="977">
        <v>0</v>
      </c>
      <c r="G94" s="986">
        <v>0</v>
      </c>
      <c r="H94" s="986">
        <v>0</v>
      </c>
      <c r="I94" s="986">
        <v>0</v>
      </c>
      <c r="J94" s="986">
        <v>0</v>
      </c>
      <c r="K94" s="986">
        <v>0</v>
      </c>
      <c r="L94" s="986">
        <v>0</v>
      </c>
      <c r="M94" s="986">
        <v>0</v>
      </c>
      <c r="N94" s="986">
        <v>0</v>
      </c>
      <c r="O94" s="977">
        <v>0</v>
      </c>
      <c r="P94" s="986">
        <v>0</v>
      </c>
      <c r="Q94" s="660"/>
      <c r="R94" s="657"/>
      <c r="S94" s="660"/>
      <c r="T94" s="660"/>
      <c r="U94" s="657"/>
      <c r="V94" s="478"/>
      <c r="W94" s="660"/>
      <c r="X94" s="657"/>
      <c r="Y94" s="478"/>
    </row>
    <row r="95" spans="1:25" x14ac:dyDescent="0.25">
      <c r="A95" s="651">
        <f t="shared" si="9"/>
        <v>69</v>
      </c>
      <c r="C95" s="637" t="str">
        <f t="shared" si="13"/>
        <v>August</v>
      </c>
      <c r="D95" s="979" t="s">
        <v>1562</v>
      </c>
      <c r="E95" s="977">
        <v>0</v>
      </c>
      <c r="F95" s="977">
        <v>0</v>
      </c>
      <c r="G95" s="986">
        <v>0</v>
      </c>
      <c r="H95" s="986">
        <v>0</v>
      </c>
      <c r="I95" s="986">
        <v>0</v>
      </c>
      <c r="J95" s="986">
        <v>0</v>
      </c>
      <c r="K95" s="986">
        <v>0</v>
      </c>
      <c r="L95" s="986">
        <v>0</v>
      </c>
      <c r="M95" s="986">
        <v>0</v>
      </c>
      <c r="N95" s="986">
        <v>0</v>
      </c>
      <c r="O95" s="977">
        <v>0</v>
      </c>
      <c r="P95" s="986">
        <v>0</v>
      </c>
      <c r="Q95" s="660"/>
      <c r="R95" s="657"/>
      <c r="S95" s="660"/>
      <c r="T95" s="660"/>
      <c r="U95" s="657"/>
      <c r="V95" s="478"/>
      <c r="W95" s="660"/>
      <c r="X95" s="657"/>
      <c r="Y95" s="478"/>
    </row>
    <row r="96" spans="1:25" x14ac:dyDescent="0.25">
      <c r="A96" s="651">
        <f t="shared" si="9"/>
        <v>70</v>
      </c>
      <c r="C96" s="637" t="str">
        <f t="shared" si="13"/>
        <v>September</v>
      </c>
      <c r="D96" s="979" t="s">
        <v>1562</v>
      </c>
      <c r="E96" s="977">
        <v>0</v>
      </c>
      <c r="F96" s="977">
        <v>0</v>
      </c>
      <c r="G96" s="986">
        <v>0</v>
      </c>
      <c r="H96" s="986">
        <v>0</v>
      </c>
      <c r="I96" s="986">
        <v>0</v>
      </c>
      <c r="J96" s="986">
        <v>0</v>
      </c>
      <c r="K96" s="986">
        <v>0</v>
      </c>
      <c r="L96" s="986">
        <v>0</v>
      </c>
      <c r="M96" s="986">
        <v>0</v>
      </c>
      <c r="N96" s="986">
        <v>0</v>
      </c>
      <c r="O96" s="977">
        <v>0</v>
      </c>
      <c r="P96" s="986">
        <v>0</v>
      </c>
      <c r="Q96" s="660"/>
      <c r="R96" s="657"/>
      <c r="S96" s="660"/>
      <c r="T96" s="660"/>
      <c r="U96" s="657"/>
      <c r="V96" s="478"/>
      <c r="W96" s="660"/>
      <c r="X96" s="657"/>
      <c r="Y96" s="478"/>
    </row>
    <row r="97" spans="1:25" x14ac:dyDescent="0.25">
      <c r="A97" s="652">
        <f t="shared" si="9"/>
        <v>71</v>
      </c>
      <c r="C97" s="637" t="str">
        <f t="shared" ref="C97:C99" si="14">C66</f>
        <v>October</v>
      </c>
      <c r="D97" s="979" t="s">
        <v>1562</v>
      </c>
      <c r="E97" s="977">
        <v>0</v>
      </c>
      <c r="F97" s="977">
        <v>0</v>
      </c>
      <c r="G97" s="986">
        <v>0</v>
      </c>
      <c r="H97" s="986">
        <v>0</v>
      </c>
      <c r="I97" s="986">
        <v>0</v>
      </c>
      <c r="J97" s="986">
        <v>0</v>
      </c>
      <c r="K97" s="986">
        <v>0</v>
      </c>
      <c r="L97" s="986">
        <v>0</v>
      </c>
      <c r="M97" s="986">
        <v>0</v>
      </c>
      <c r="N97" s="986">
        <v>0</v>
      </c>
      <c r="O97" s="977">
        <v>0</v>
      </c>
      <c r="P97" s="986">
        <v>0</v>
      </c>
      <c r="Q97" s="660"/>
      <c r="R97" s="657"/>
      <c r="S97" s="660"/>
      <c r="T97" s="660"/>
      <c r="U97" s="657"/>
      <c r="V97" s="478"/>
      <c r="W97" s="660"/>
      <c r="X97" s="657"/>
      <c r="Y97" s="478"/>
    </row>
    <row r="98" spans="1:25" x14ac:dyDescent="0.25">
      <c r="A98" s="652">
        <f t="shared" si="9"/>
        <v>72</v>
      </c>
      <c r="C98" s="637" t="str">
        <f t="shared" si="14"/>
        <v>November</v>
      </c>
      <c r="D98" s="979" t="s">
        <v>1562</v>
      </c>
      <c r="E98" s="977">
        <v>0</v>
      </c>
      <c r="F98" s="977">
        <v>0</v>
      </c>
      <c r="G98" s="986">
        <v>0</v>
      </c>
      <c r="H98" s="986">
        <v>0</v>
      </c>
      <c r="I98" s="986">
        <v>0</v>
      </c>
      <c r="J98" s="986">
        <v>0</v>
      </c>
      <c r="K98" s="986">
        <v>0</v>
      </c>
      <c r="L98" s="986">
        <v>0</v>
      </c>
      <c r="M98" s="986">
        <v>0</v>
      </c>
      <c r="N98" s="986">
        <v>0</v>
      </c>
      <c r="O98" s="977">
        <v>0</v>
      </c>
      <c r="P98" s="986">
        <v>0</v>
      </c>
      <c r="Q98" s="660"/>
      <c r="R98" s="657"/>
      <c r="S98" s="660"/>
      <c r="T98" s="660"/>
      <c r="U98" s="657"/>
      <c r="V98" s="478"/>
      <c r="W98" s="660"/>
      <c r="X98" s="657"/>
      <c r="Y98" s="478"/>
    </row>
    <row r="99" spans="1:25" x14ac:dyDescent="0.25">
      <c r="A99" s="652">
        <f t="shared" si="9"/>
        <v>73</v>
      </c>
      <c r="C99" s="637" t="str">
        <f t="shared" si="14"/>
        <v>December</v>
      </c>
      <c r="D99" s="979" t="s">
        <v>1562</v>
      </c>
      <c r="E99" s="977">
        <v>0</v>
      </c>
      <c r="F99" s="977">
        <v>0</v>
      </c>
      <c r="G99" s="986">
        <v>0</v>
      </c>
      <c r="H99" s="986">
        <v>0</v>
      </c>
      <c r="I99" s="986">
        <v>0</v>
      </c>
      <c r="J99" s="986">
        <v>0</v>
      </c>
      <c r="K99" s="986">
        <v>0</v>
      </c>
      <c r="L99" s="986">
        <v>0</v>
      </c>
      <c r="M99" s="986">
        <v>0</v>
      </c>
      <c r="N99" s="986">
        <v>0</v>
      </c>
      <c r="O99" s="977">
        <v>0</v>
      </c>
      <c r="P99" s="986">
        <v>0</v>
      </c>
      <c r="Q99" s="660"/>
      <c r="R99" s="657"/>
      <c r="S99" s="660"/>
      <c r="T99" s="660"/>
      <c r="U99" s="657"/>
      <c r="V99" s="478"/>
      <c r="W99" s="660"/>
      <c r="X99" s="657"/>
      <c r="Y99" s="478"/>
    </row>
    <row r="100" spans="1:25" x14ac:dyDescent="0.25">
      <c r="A100" s="651"/>
      <c r="O100" s="657"/>
    </row>
    <row r="101" spans="1:25" x14ac:dyDescent="0.25">
      <c r="A101" s="651"/>
      <c r="B101" s="607" t="s">
        <v>2317</v>
      </c>
      <c r="G101" s="608"/>
    </row>
    <row r="102" spans="1:25" x14ac:dyDescent="0.25">
      <c r="A102" s="653" t="s">
        <v>360</v>
      </c>
      <c r="B102" s="608"/>
      <c r="F102" s="700"/>
    </row>
    <row r="103" spans="1:25" x14ac:dyDescent="0.25">
      <c r="A103" s="651">
        <f>A99+1</f>
        <v>74</v>
      </c>
      <c r="C103" s="661" t="s">
        <v>2309</v>
      </c>
      <c r="E103" s="662">
        <v>7.4999999999999997E-2</v>
      </c>
    </row>
    <row r="105" spans="1:25" x14ac:dyDescent="0.25">
      <c r="A105" s="651"/>
      <c r="B105" s="607" t="s">
        <v>2319</v>
      </c>
    </row>
    <row r="106" spans="1:25" x14ac:dyDescent="0.25">
      <c r="A106" s="653" t="s">
        <v>360</v>
      </c>
      <c r="F106" s="700"/>
    </row>
    <row r="107" spans="1:25" x14ac:dyDescent="0.25">
      <c r="A107" s="651">
        <f>A103+1</f>
        <v>75</v>
      </c>
      <c r="B107" s="607"/>
      <c r="C107" s="604" t="s">
        <v>2310</v>
      </c>
      <c r="E107" s="662">
        <v>0.08</v>
      </c>
    </row>
    <row r="108" spans="1:25" x14ac:dyDescent="0.25">
      <c r="A108" s="651"/>
      <c r="B108" s="608"/>
      <c r="C108" s="604"/>
    </row>
    <row r="109" spans="1:25" x14ac:dyDescent="0.25">
      <c r="B109" s="607" t="s">
        <v>2320</v>
      </c>
    </row>
    <row r="110" spans="1:25" x14ac:dyDescent="0.25">
      <c r="A110" s="653" t="s">
        <v>360</v>
      </c>
      <c r="B110" s="608"/>
      <c r="F110" s="700"/>
    </row>
    <row r="111" spans="1:25" x14ac:dyDescent="0.25">
      <c r="A111" s="651">
        <f>A107+1</f>
        <v>76</v>
      </c>
      <c r="C111" s="604" t="s">
        <v>2311</v>
      </c>
      <c r="E111" s="662">
        <v>0.03</v>
      </c>
    </row>
    <row r="113" spans="1:9" x14ac:dyDescent="0.25">
      <c r="B113" s="607" t="s">
        <v>2318</v>
      </c>
    </row>
    <row r="114" spans="1:9" s="647" customFormat="1" x14ac:dyDescent="0.25">
      <c r="C114" s="658" t="s">
        <v>2367</v>
      </c>
      <c r="F114" s="663"/>
    </row>
    <row r="115" spans="1:9" s="651" customFormat="1" x14ac:dyDescent="0.25">
      <c r="B115" s="647" t="s">
        <v>394</v>
      </c>
      <c r="C115" s="647" t="s">
        <v>378</v>
      </c>
      <c r="D115" s="647" t="s">
        <v>379</v>
      </c>
      <c r="E115" s="647" t="s">
        <v>380</v>
      </c>
      <c r="F115" s="647"/>
    </row>
    <row r="116" spans="1:9" s="647" customFormat="1" x14ac:dyDescent="0.25">
      <c r="C116" s="651" t="s">
        <v>199</v>
      </c>
      <c r="E116" s="664" t="s">
        <v>2312</v>
      </c>
    </row>
    <row r="117" spans="1:9" x14ac:dyDescent="0.25">
      <c r="A117" s="651"/>
      <c r="B117" s="651"/>
      <c r="C117" s="651" t="str">
        <f>"Prior Year"</f>
        <v>Prior Year</v>
      </c>
      <c r="D117" s="651" t="s">
        <v>2313</v>
      </c>
      <c r="E117" s="651" t="s">
        <v>1524</v>
      </c>
      <c r="F117" s="652" t="s">
        <v>2538</v>
      </c>
    </row>
    <row r="118" spans="1:9" x14ac:dyDescent="0.25">
      <c r="A118" s="647" t="s">
        <v>360</v>
      </c>
      <c r="B118" s="647" t="s">
        <v>2210</v>
      </c>
      <c r="C118" s="647" t="s">
        <v>2314</v>
      </c>
      <c r="D118" s="647" t="s">
        <v>13</v>
      </c>
      <c r="E118" s="647" t="s">
        <v>2313</v>
      </c>
      <c r="F118" s="113" t="s">
        <v>224</v>
      </c>
    </row>
    <row r="119" spans="1:9" x14ac:dyDescent="0.25">
      <c r="A119" s="651">
        <f>A111+1</f>
        <v>77</v>
      </c>
      <c r="B119" s="651">
        <v>350.1</v>
      </c>
      <c r="C119" s="986">
        <v>0</v>
      </c>
      <c r="D119" s="970" t="s">
        <v>2690</v>
      </c>
      <c r="E119" s="986">
        <v>0</v>
      </c>
      <c r="F119" s="884" t="s">
        <v>2539</v>
      </c>
      <c r="H119" s="701"/>
      <c r="I119" s="699"/>
    </row>
    <row r="120" spans="1:9" x14ac:dyDescent="0.25">
      <c r="A120" s="651">
        <f>A119+1</f>
        <v>78</v>
      </c>
      <c r="B120" s="651">
        <v>350.2</v>
      </c>
      <c r="C120" s="986">
        <v>0</v>
      </c>
      <c r="D120" s="970" t="s">
        <v>2690</v>
      </c>
      <c r="E120" s="986">
        <v>0</v>
      </c>
      <c r="F120" s="884" t="s">
        <v>2540</v>
      </c>
      <c r="H120" s="701"/>
      <c r="I120" s="699"/>
    </row>
    <row r="121" spans="1:9" x14ac:dyDescent="0.25">
      <c r="A121" s="651">
        <f t="shared" ref="A121:A133" si="15">A120+1</f>
        <v>79</v>
      </c>
      <c r="B121" s="651">
        <v>352</v>
      </c>
      <c r="C121" s="986">
        <v>0</v>
      </c>
      <c r="D121" s="970" t="s">
        <v>2690</v>
      </c>
      <c r="E121" s="986">
        <v>0</v>
      </c>
      <c r="F121" s="884" t="s">
        <v>2541</v>
      </c>
      <c r="H121" s="701"/>
      <c r="I121" s="699"/>
    </row>
    <row r="122" spans="1:9" x14ac:dyDescent="0.25">
      <c r="A122" s="651">
        <f t="shared" si="15"/>
        <v>80</v>
      </c>
      <c r="B122" s="651">
        <v>353</v>
      </c>
      <c r="C122" s="986">
        <v>0</v>
      </c>
      <c r="D122" s="970" t="s">
        <v>2690</v>
      </c>
      <c r="E122" s="986">
        <v>0</v>
      </c>
      <c r="F122" s="884" t="s">
        <v>2542</v>
      </c>
      <c r="H122" s="701"/>
      <c r="I122" s="699"/>
    </row>
    <row r="123" spans="1:9" x14ac:dyDescent="0.25">
      <c r="A123" s="651">
        <f t="shared" si="15"/>
        <v>81</v>
      </c>
      <c r="B123" s="651">
        <v>354</v>
      </c>
      <c r="C123" s="986">
        <v>0</v>
      </c>
      <c r="D123" s="970" t="s">
        <v>2690</v>
      </c>
      <c r="E123" s="986">
        <v>0</v>
      </c>
      <c r="F123" s="884" t="s">
        <v>2543</v>
      </c>
      <c r="H123" s="701"/>
      <c r="I123" s="699"/>
    </row>
    <row r="124" spans="1:9" x14ac:dyDescent="0.25">
      <c r="A124" s="651">
        <f t="shared" si="15"/>
        <v>82</v>
      </c>
      <c r="B124" s="651">
        <v>355</v>
      </c>
      <c r="C124" s="986">
        <v>0</v>
      </c>
      <c r="D124" s="970" t="s">
        <v>2690</v>
      </c>
      <c r="E124" s="986">
        <v>0</v>
      </c>
      <c r="F124" s="884" t="s">
        <v>2544</v>
      </c>
      <c r="H124" s="701"/>
      <c r="I124" s="699"/>
    </row>
    <row r="125" spans="1:9" x14ac:dyDescent="0.25">
      <c r="A125" s="651">
        <f t="shared" si="15"/>
        <v>83</v>
      </c>
      <c r="B125" s="651">
        <v>356</v>
      </c>
      <c r="C125" s="986">
        <v>0</v>
      </c>
      <c r="D125" s="970" t="s">
        <v>2690</v>
      </c>
      <c r="E125" s="986">
        <v>0</v>
      </c>
      <c r="F125" s="884" t="s">
        <v>2545</v>
      </c>
      <c r="H125" s="701"/>
      <c r="I125" s="699"/>
    </row>
    <row r="126" spans="1:9" x14ac:dyDescent="0.25">
      <c r="A126" s="651">
        <f t="shared" si="15"/>
        <v>84</v>
      </c>
      <c r="B126" s="651">
        <v>357</v>
      </c>
      <c r="C126" s="986">
        <v>0</v>
      </c>
      <c r="D126" s="970" t="s">
        <v>2690</v>
      </c>
      <c r="E126" s="986">
        <v>0</v>
      </c>
      <c r="F126" s="884" t="s">
        <v>2546</v>
      </c>
      <c r="H126" s="701"/>
      <c r="I126" s="699"/>
    </row>
    <row r="127" spans="1:9" x14ac:dyDescent="0.25">
      <c r="A127" s="651">
        <f t="shared" si="15"/>
        <v>85</v>
      </c>
      <c r="B127" s="651">
        <v>358</v>
      </c>
      <c r="C127" s="986">
        <v>0</v>
      </c>
      <c r="D127" s="970" t="s">
        <v>2690</v>
      </c>
      <c r="E127" s="986">
        <v>0</v>
      </c>
      <c r="F127" s="884" t="s">
        <v>2547</v>
      </c>
      <c r="H127" s="701"/>
      <c r="I127" s="699"/>
    </row>
    <row r="128" spans="1:9" x14ac:dyDescent="0.25">
      <c r="A128" s="651">
        <f t="shared" si="15"/>
        <v>86</v>
      </c>
      <c r="B128" s="651">
        <v>359</v>
      </c>
      <c r="C128" s="986">
        <v>0</v>
      </c>
      <c r="D128" s="970" t="s">
        <v>2690</v>
      </c>
      <c r="E128" s="986">
        <v>0</v>
      </c>
      <c r="F128" s="884" t="s">
        <v>2548</v>
      </c>
      <c r="H128" s="701"/>
      <c r="I128" s="699"/>
    </row>
    <row r="129" spans="1:9" x14ac:dyDescent="0.25">
      <c r="A129" s="651">
        <f t="shared" si="15"/>
        <v>87</v>
      </c>
    </row>
    <row r="130" spans="1:9" x14ac:dyDescent="0.25">
      <c r="A130" s="651">
        <f t="shared" si="15"/>
        <v>88</v>
      </c>
      <c r="C130" s="665" t="s">
        <v>2315</v>
      </c>
      <c r="E130" s="986">
        <v>0</v>
      </c>
      <c r="F130" s="644" t="str">
        <f>"Sum of C"&amp;RIGHT(E115)&amp;" Lines "&amp;A119&amp;" to "&amp;A128</f>
        <v>Sum of C4 Lines 77 to 86</v>
      </c>
    </row>
    <row r="131" spans="1:9" x14ac:dyDescent="0.25">
      <c r="A131" s="651">
        <f t="shared" si="15"/>
        <v>89</v>
      </c>
      <c r="C131" s="644" t="str">
        <f>"Sum of Dec Prior Year Plant"</f>
        <v>Sum of Dec Prior Year Plant</v>
      </c>
      <c r="E131" s="986">
        <v>0</v>
      </c>
      <c r="F131" s="644" t="str">
        <f>"Sum of C"&amp;RIGHT(C115)&amp;" Lines "&amp;A119&amp;" to "&amp;A128</f>
        <v>Sum of C2 Lines 77 to 86</v>
      </c>
    </row>
    <row r="132" spans="1:9" x14ac:dyDescent="0.25">
      <c r="A132" s="651">
        <f t="shared" si="15"/>
        <v>90</v>
      </c>
    </row>
    <row r="133" spans="1:9" x14ac:dyDescent="0.25">
      <c r="A133" s="651">
        <f t="shared" si="15"/>
        <v>91</v>
      </c>
      <c r="C133" s="644" t="s">
        <v>2316</v>
      </c>
      <c r="E133" s="970" t="s">
        <v>2690</v>
      </c>
      <c r="F133" s="644" t="str">
        <f>"Line "&amp;A130&amp;" / Line "&amp;A131</f>
        <v>Line 88 / Line 89</v>
      </c>
    </row>
    <row r="134" spans="1:9" x14ac:dyDescent="0.25">
      <c r="A134" s="651"/>
    </row>
    <row r="135" spans="1:9" x14ac:dyDescent="0.25">
      <c r="A135" s="651"/>
      <c r="B135" s="643" t="s">
        <v>256</v>
      </c>
      <c r="C135"/>
      <c r="D135"/>
      <c r="E135"/>
      <c r="F135"/>
      <c r="G135"/>
      <c r="H135"/>
      <c r="I135"/>
    </row>
    <row r="136" spans="1:9" x14ac:dyDescent="0.25">
      <c r="A136" s="651"/>
      <c r="B136" s="639" t="s">
        <v>2582</v>
      </c>
      <c r="C136" s="672"/>
      <c r="D136" s="672"/>
      <c r="E136" s="672"/>
      <c r="F136" s="672"/>
      <c r="G136" s="672"/>
      <c r="H136" s="672"/>
      <c r="I136" s="672"/>
    </row>
    <row r="137" spans="1:9" x14ac:dyDescent="0.25">
      <c r="A137" s="651"/>
      <c r="B137" s="639" t="s">
        <v>2591</v>
      </c>
      <c r="C137"/>
      <c r="D137"/>
      <c r="E137"/>
      <c r="F137"/>
      <c r="G137"/>
      <c r="H137"/>
      <c r="I137"/>
    </row>
    <row r="138" spans="1:9" x14ac:dyDescent="0.25">
      <c r="A138" s="651"/>
    </row>
    <row r="139" spans="1:9" x14ac:dyDescent="0.25">
      <c r="A139" s="651"/>
    </row>
    <row r="140" spans="1:9" x14ac:dyDescent="0.25">
      <c r="A140" s="651"/>
    </row>
    <row r="141" spans="1:9" x14ac:dyDescent="0.25">
      <c r="A141" s="651"/>
    </row>
    <row r="142" spans="1:9" x14ac:dyDescent="0.25">
      <c r="A142" s="651"/>
    </row>
    <row r="143" spans="1:9" x14ac:dyDescent="0.25">
      <c r="A143" s="651"/>
    </row>
    <row r="144" spans="1:9" x14ac:dyDescent="0.25">
      <c r="A144" s="651"/>
    </row>
    <row r="145" spans="1:1" x14ac:dyDescent="0.25">
      <c r="A145" s="651"/>
    </row>
    <row r="146" spans="1:1" x14ac:dyDescent="0.25">
      <c r="A146" s="651"/>
    </row>
    <row r="147" spans="1:1" x14ac:dyDescent="0.25">
      <c r="A147" s="651"/>
    </row>
    <row r="148" spans="1:1" x14ac:dyDescent="0.25">
      <c r="A148" s="651"/>
    </row>
    <row r="149" spans="1:1" x14ac:dyDescent="0.25">
      <c r="A149" s="651"/>
    </row>
    <row r="150" spans="1:1" x14ac:dyDescent="0.25">
      <c r="A150" s="651"/>
    </row>
    <row r="151" spans="1:1" x14ac:dyDescent="0.25">
      <c r="A151" s="651"/>
    </row>
    <row r="152" spans="1:1" x14ac:dyDescent="0.25">
      <c r="A152" s="651"/>
    </row>
    <row r="153" spans="1:1" x14ac:dyDescent="0.25">
      <c r="A153" s="651"/>
    </row>
    <row r="154" spans="1:1" x14ac:dyDescent="0.25">
      <c r="A154" s="651"/>
    </row>
    <row r="155" spans="1:1" x14ac:dyDescent="0.25">
      <c r="A155" s="651"/>
    </row>
    <row r="156" spans="1:1" x14ac:dyDescent="0.25">
      <c r="A156" s="651"/>
    </row>
    <row r="157" spans="1:1" x14ac:dyDescent="0.25">
      <c r="A157" s="651"/>
    </row>
    <row r="158" spans="1:1" x14ac:dyDescent="0.25">
      <c r="A158" s="651"/>
    </row>
    <row r="159" spans="1:1" x14ac:dyDescent="0.25">
      <c r="A159" s="651"/>
    </row>
    <row r="160" spans="1:1" x14ac:dyDescent="0.25">
      <c r="A160" s="651"/>
    </row>
    <row r="161" spans="1:1" x14ac:dyDescent="0.25">
      <c r="A161" s="651"/>
    </row>
    <row r="162" spans="1:1" x14ac:dyDescent="0.25">
      <c r="A162" s="651"/>
    </row>
    <row r="163" spans="1:1" x14ac:dyDescent="0.25">
      <c r="A163" s="651"/>
    </row>
    <row r="164" spans="1:1" x14ac:dyDescent="0.25">
      <c r="A164" s="651"/>
    </row>
    <row r="165" spans="1:1" x14ac:dyDescent="0.25">
      <c r="A165" s="651"/>
    </row>
    <row r="166" spans="1:1" x14ac:dyDescent="0.25">
      <c r="A166" s="651"/>
    </row>
    <row r="167" spans="1:1" x14ac:dyDescent="0.25">
      <c r="A167" s="651"/>
    </row>
    <row r="168" spans="1:1" x14ac:dyDescent="0.25">
      <c r="A168" s="651"/>
    </row>
    <row r="169" spans="1:1" x14ac:dyDescent="0.25">
      <c r="A169" s="651"/>
    </row>
    <row r="170" spans="1:1" x14ac:dyDescent="0.25">
      <c r="A170" s="651"/>
    </row>
    <row r="171" spans="1:1" x14ac:dyDescent="0.25">
      <c r="A171" s="651"/>
    </row>
    <row r="172" spans="1:1" x14ac:dyDescent="0.25">
      <c r="A172" s="651"/>
    </row>
    <row r="173" spans="1:1" x14ac:dyDescent="0.25">
      <c r="A173" s="651"/>
    </row>
    <row r="174" spans="1:1" x14ac:dyDescent="0.25">
      <c r="A174" s="651"/>
    </row>
    <row r="175" spans="1:1" x14ac:dyDescent="0.25">
      <c r="A175" s="651"/>
    </row>
    <row r="176" spans="1:1" x14ac:dyDescent="0.25">
      <c r="A176" s="651"/>
    </row>
    <row r="177" spans="1:1" x14ac:dyDescent="0.25">
      <c r="A177" s="651"/>
    </row>
    <row r="178" spans="1:1" x14ac:dyDescent="0.25">
      <c r="A178" s="651"/>
    </row>
    <row r="179" spans="1:1" x14ac:dyDescent="0.25">
      <c r="A179" s="651"/>
    </row>
    <row r="180" spans="1:1" x14ac:dyDescent="0.25">
      <c r="A180" s="651"/>
    </row>
    <row r="181" spans="1:1" x14ac:dyDescent="0.25">
      <c r="A181" s="651"/>
    </row>
    <row r="182" spans="1:1" x14ac:dyDescent="0.25">
      <c r="A182" s="651"/>
    </row>
    <row r="183" spans="1:1" x14ac:dyDescent="0.25">
      <c r="A183" s="651"/>
    </row>
    <row r="184" spans="1:1" x14ac:dyDescent="0.25">
      <c r="A184" s="651"/>
    </row>
    <row r="185" spans="1:1" x14ac:dyDescent="0.25">
      <c r="A185" s="651"/>
    </row>
    <row r="186" spans="1:1" x14ac:dyDescent="0.25">
      <c r="A186" s="651"/>
    </row>
    <row r="187" spans="1:1" x14ac:dyDescent="0.25">
      <c r="A187" s="651"/>
    </row>
    <row r="188" spans="1:1" x14ac:dyDescent="0.25">
      <c r="A188" s="651"/>
    </row>
    <row r="189" spans="1:1" x14ac:dyDescent="0.25">
      <c r="A189" s="651"/>
    </row>
    <row r="190" spans="1:1" x14ac:dyDescent="0.25">
      <c r="A190" s="651"/>
    </row>
    <row r="191" spans="1:1" x14ac:dyDescent="0.25">
      <c r="A191" s="651"/>
    </row>
    <row r="192" spans="1:1" x14ac:dyDescent="0.25">
      <c r="A192" s="651"/>
    </row>
    <row r="193" spans="1:1" x14ac:dyDescent="0.25">
      <c r="A193" s="651"/>
    </row>
    <row r="194" spans="1:1" x14ac:dyDescent="0.25">
      <c r="A194" s="651"/>
    </row>
    <row r="195" spans="1:1" x14ac:dyDescent="0.25">
      <c r="A195" s="651"/>
    </row>
    <row r="196" spans="1:1" x14ac:dyDescent="0.25">
      <c r="A196" s="651"/>
    </row>
    <row r="197" spans="1:1" x14ac:dyDescent="0.25">
      <c r="A197" s="651"/>
    </row>
    <row r="198" spans="1:1" x14ac:dyDescent="0.25">
      <c r="A198" s="651"/>
    </row>
    <row r="199" spans="1:1" x14ac:dyDescent="0.25">
      <c r="A199" s="651"/>
    </row>
    <row r="200" spans="1:1" x14ac:dyDescent="0.25">
      <c r="A200" s="651"/>
    </row>
    <row r="201" spans="1:1" x14ac:dyDescent="0.25">
      <c r="A201" s="651"/>
    </row>
    <row r="202" spans="1:1" x14ac:dyDescent="0.25">
      <c r="A202" s="651"/>
    </row>
    <row r="203" spans="1:1" x14ac:dyDescent="0.25">
      <c r="A203" s="651"/>
    </row>
    <row r="204" spans="1:1" x14ac:dyDescent="0.25">
      <c r="A204" s="651"/>
    </row>
  </sheetData>
  <pageMargins left="0.7" right="0.7" top="0.75" bottom="0.75" header="0.3" footer="0.3"/>
  <pageSetup scale="52" orientation="landscape" cellComments="asDisplayed" r:id="rId1"/>
  <headerFooter>
    <oddHeader xml:space="preserve">&amp;C&amp;"Arial,Bold"Schedule 16
Plant Additions&amp;"Arial,Regular"
</oddHeader>
    <oddFooter>&amp;R16-PlantAdditions</oddFooter>
  </headerFooter>
  <rowBreaks count="1" manualBreakCount="1">
    <brk id="69" max="16383" man="1"/>
  </rowBreaks>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topLeftCell="A4" zoomScale="90" zoomScaleNormal="90" workbookViewId="0"/>
  </sheetViews>
  <sheetFormatPr defaultRowHeight="13.2" x14ac:dyDescent="0.25"/>
  <cols>
    <col min="1" max="1" width="4.6640625" customWidth="1"/>
    <col min="2" max="2" width="9.6640625" customWidth="1"/>
    <col min="3" max="5" width="14.6640625" customWidth="1"/>
    <col min="6" max="6" width="15.5546875" customWidth="1"/>
    <col min="7" max="13" width="14.6640625" customWidth="1"/>
  </cols>
  <sheetData>
    <row r="1" spans="1:13" x14ac:dyDescent="0.25">
      <c r="A1" s="1" t="s">
        <v>276</v>
      </c>
      <c r="B1" s="213"/>
      <c r="C1" s="213"/>
      <c r="D1" s="213"/>
      <c r="E1" s="213"/>
      <c r="F1" s="213"/>
      <c r="G1" s="213"/>
      <c r="H1" s="213"/>
      <c r="I1" s="515" t="s">
        <v>496</v>
      </c>
      <c r="J1" s="167"/>
      <c r="K1" s="213"/>
      <c r="L1" s="213"/>
      <c r="M1" s="213"/>
    </row>
    <row r="2" spans="1:13" x14ac:dyDescent="0.25">
      <c r="A2" s="213"/>
      <c r="B2" s="213"/>
      <c r="C2" s="213"/>
      <c r="D2" s="213"/>
      <c r="E2" s="213"/>
      <c r="F2" s="213"/>
      <c r="G2" s="213"/>
      <c r="H2" s="213"/>
      <c r="K2" s="213"/>
      <c r="L2" s="213"/>
      <c r="M2" s="213"/>
    </row>
    <row r="3" spans="1:13" x14ac:dyDescent="0.25">
      <c r="A3" s="213"/>
      <c r="B3" s="1" t="s">
        <v>1061</v>
      </c>
      <c r="C3" s="213"/>
      <c r="D3" s="213"/>
      <c r="E3" s="213"/>
      <c r="F3" s="213"/>
      <c r="G3" s="213"/>
      <c r="H3" s="222"/>
      <c r="I3" s="885" t="s">
        <v>1975</v>
      </c>
      <c r="J3" s="233" t="s">
        <v>1562</v>
      </c>
      <c r="K3" s="213"/>
      <c r="L3" s="213"/>
      <c r="M3" s="213"/>
    </row>
    <row r="4" spans="1:13" x14ac:dyDescent="0.25">
      <c r="A4" s="213"/>
      <c r="B4" s="213"/>
      <c r="C4" s="213"/>
      <c r="D4" s="213"/>
      <c r="E4" s="213"/>
      <c r="F4" s="213"/>
      <c r="G4" s="213"/>
      <c r="H4" s="222"/>
      <c r="I4" s="222"/>
      <c r="J4" s="213"/>
      <c r="K4" s="213"/>
      <c r="L4" s="213"/>
      <c r="M4" s="213"/>
    </row>
    <row r="5" spans="1:13" x14ac:dyDescent="0.25">
      <c r="A5" s="213"/>
      <c r="B5" s="466" t="s">
        <v>1064</v>
      </c>
      <c r="C5" s="213"/>
      <c r="D5" s="213"/>
      <c r="E5" s="213"/>
      <c r="F5" s="213"/>
      <c r="G5" s="213"/>
      <c r="H5" s="468" t="s">
        <v>2055</v>
      </c>
      <c r="I5" s="222"/>
      <c r="J5" s="213"/>
      <c r="K5" s="213"/>
      <c r="L5" s="213"/>
      <c r="M5" s="213"/>
    </row>
    <row r="6" spans="1:13" x14ac:dyDescent="0.25">
      <c r="A6" s="213"/>
      <c r="B6" s="213"/>
      <c r="C6" s="213"/>
      <c r="D6" s="213"/>
      <c r="E6" s="213"/>
      <c r="F6" s="213"/>
      <c r="G6" s="213"/>
      <c r="H6" s="213"/>
      <c r="I6" s="213"/>
      <c r="J6" s="213"/>
      <c r="K6" s="213"/>
      <c r="L6" s="213"/>
      <c r="M6" s="213"/>
    </row>
    <row r="7" spans="1:13" x14ac:dyDescent="0.25">
      <c r="A7" s="213"/>
      <c r="B7" s="84" t="s">
        <v>394</v>
      </c>
      <c r="C7" s="84" t="s">
        <v>378</v>
      </c>
      <c r="D7" s="84" t="s">
        <v>379</v>
      </c>
      <c r="E7" s="84" t="s">
        <v>380</v>
      </c>
      <c r="F7" s="84" t="s">
        <v>381</v>
      </c>
      <c r="G7" s="84" t="s">
        <v>382</v>
      </c>
      <c r="H7" s="84" t="s">
        <v>383</v>
      </c>
      <c r="I7" s="84" t="s">
        <v>595</v>
      </c>
      <c r="J7" s="84" t="s">
        <v>1043</v>
      </c>
      <c r="K7" s="84" t="s">
        <v>1059</v>
      </c>
      <c r="L7" s="84" t="s">
        <v>1062</v>
      </c>
      <c r="M7" s="84" t="s">
        <v>1080</v>
      </c>
    </row>
    <row r="8" spans="1:13" x14ac:dyDescent="0.25">
      <c r="A8" s="213"/>
      <c r="B8" s="232"/>
      <c r="C8" s="213"/>
      <c r="D8" s="213"/>
      <c r="E8" s="213"/>
      <c r="F8" s="213"/>
      <c r="G8" s="213"/>
      <c r="H8" s="213"/>
      <c r="I8" s="213"/>
      <c r="J8" s="213"/>
      <c r="K8" s="213"/>
      <c r="L8" s="213"/>
      <c r="M8" s="213"/>
    </row>
    <row r="9" spans="1:13" x14ac:dyDescent="0.25">
      <c r="A9" s="213"/>
      <c r="B9" s="103"/>
      <c r="C9" s="516" t="s">
        <v>12</v>
      </c>
      <c r="D9" s="213"/>
      <c r="E9" s="213"/>
      <c r="F9" s="213"/>
      <c r="G9" s="213"/>
      <c r="H9" s="213"/>
      <c r="I9" s="213"/>
      <c r="J9" s="213"/>
      <c r="K9" s="213"/>
      <c r="L9" s="213"/>
      <c r="M9" s="213"/>
    </row>
    <row r="10" spans="1:13" x14ac:dyDescent="0.25">
      <c r="A10" s="213"/>
      <c r="B10" s="103"/>
      <c r="C10" s="516" t="s">
        <v>1060</v>
      </c>
      <c r="D10" s="213"/>
      <c r="E10" s="213"/>
      <c r="F10" s="213"/>
      <c r="G10" s="213"/>
      <c r="H10" s="213"/>
      <c r="I10" s="213"/>
      <c r="J10" s="213"/>
      <c r="K10" s="213"/>
      <c r="L10" s="213"/>
      <c r="M10" s="213"/>
    </row>
    <row r="11" spans="1:13" x14ac:dyDescent="0.25">
      <c r="A11" s="49" t="s">
        <v>360</v>
      </c>
      <c r="B11" s="113" t="s">
        <v>2024</v>
      </c>
      <c r="C11" s="84">
        <v>350.1</v>
      </c>
      <c r="D11" s="84">
        <v>350.2</v>
      </c>
      <c r="E11" s="84">
        <v>352</v>
      </c>
      <c r="F11" s="84">
        <v>353</v>
      </c>
      <c r="G11" s="84">
        <v>354</v>
      </c>
      <c r="H11" s="84">
        <v>355</v>
      </c>
      <c r="I11" s="84">
        <v>356</v>
      </c>
      <c r="J11" s="84">
        <v>357</v>
      </c>
      <c r="K11" s="84">
        <v>358</v>
      </c>
      <c r="L11" s="84">
        <v>359</v>
      </c>
      <c r="M11" s="3" t="s">
        <v>215</v>
      </c>
    </row>
    <row r="12" spans="1:13" x14ac:dyDescent="0.25">
      <c r="A12" s="577">
        <v>1</v>
      </c>
      <c r="B12" s="979" t="s">
        <v>1562</v>
      </c>
      <c r="C12" s="986">
        <v>0</v>
      </c>
      <c r="D12" s="986">
        <v>0</v>
      </c>
      <c r="E12" s="986">
        <v>0</v>
      </c>
      <c r="F12" s="986">
        <v>0</v>
      </c>
      <c r="G12" s="986">
        <v>0</v>
      </c>
      <c r="H12" s="986">
        <v>0</v>
      </c>
      <c r="I12" s="986">
        <v>0</v>
      </c>
      <c r="J12" s="986">
        <v>0</v>
      </c>
      <c r="K12" s="986">
        <v>0</v>
      </c>
      <c r="L12" s="986">
        <v>0</v>
      </c>
      <c r="M12" s="986">
        <v>0</v>
      </c>
    </row>
    <row r="13" spans="1:13" x14ac:dyDescent="0.25">
      <c r="A13" s="577">
        <f>A12+1</f>
        <v>2</v>
      </c>
      <c r="B13" s="979" t="s">
        <v>1562</v>
      </c>
      <c r="C13" s="986">
        <v>0</v>
      </c>
      <c r="D13" s="986">
        <v>0</v>
      </c>
      <c r="E13" s="986">
        <v>0</v>
      </c>
      <c r="F13" s="986">
        <v>0</v>
      </c>
      <c r="G13" s="986">
        <v>0</v>
      </c>
      <c r="H13" s="986">
        <v>0</v>
      </c>
      <c r="I13" s="986">
        <v>0</v>
      </c>
      <c r="J13" s="986">
        <v>0</v>
      </c>
      <c r="K13" s="986">
        <v>0</v>
      </c>
      <c r="L13" s="986">
        <v>0</v>
      </c>
      <c r="M13" s="986">
        <v>0</v>
      </c>
    </row>
    <row r="14" spans="1:13" x14ac:dyDescent="0.25">
      <c r="A14" s="577">
        <f t="shared" ref="A14:A77" si="0">A13+1</f>
        <v>3</v>
      </c>
      <c r="B14" s="979" t="s">
        <v>1562</v>
      </c>
      <c r="C14" s="986">
        <v>0</v>
      </c>
      <c r="D14" s="986">
        <v>0</v>
      </c>
      <c r="E14" s="986">
        <v>0</v>
      </c>
      <c r="F14" s="986">
        <v>0</v>
      </c>
      <c r="G14" s="986">
        <v>0</v>
      </c>
      <c r="H14" s="986">
        <v>0</v>
      </c>
      <c r="I14" s="986">
        <v>0</v>
      </c>
      <c r="J14" s="986">
        <v>0</v>
      </c>
      <c r="K14" s="986">
        <v>0</v>
      </c>
      <c r="L14" s="986">
        <v>0</v>
      </c>
      <c r="M14" s="986">
        <v>0</v>
      </c>
    </row>
    <row r="15" spans="1:13" x14ac:dyDescent="0.25">
      <c r="A15" s="577">
        <f t="shared" si="0"/>
        <v>4</v>
      </c>
      <c r="B15" s="979" t="s">
        <v>1562</v>
      </c>
      <c r="C15" s="986">
        <v>0</v>
      </c>
      <c r="D15" s="986">
        <v>0</v>
      </c>
      <c r="E15" s="986">
        <v>0</v>
      </c>
      <c r="F15" s="986">
        <v>0</v>
      </c>
      <c r="G15" s="986">
        <v>0</v>
      </c>
      <c r="H15" s="986">
        <v>0</v>
      </c>
      <c r="I15" s="986">
        <v>0</v>
      </c>
      <c r="J15" s="986">
        <v>0</v>
      </c>
      <c r="K15" s="986">
        <v>0</v>
      </c>
      <c r="L15" s="986">
        <v>0</v>
      </c>
      <c r="M15" s="986">
        <v>0</v>
      </c>
    </row>
    <row r="16" spans="1:13" x14ac:dyDescent="0.25">
      <c r="A16" s="577">
        <f t="shared" si="0"/>
        <v>5</v>
      </c>
      <c r="B16" s="979" t="s">
        <v>1562</v>
      </c>
      <c r="C16" s="986">
        <v>0</v>
      </c>
      <c r="D16" s="986">
        <v>0</v>
      </c>
      <c r="E16" s="986">
        <v>0</v>
      </c>
      <c r="F16" s="986">
        <v>0</v>
      </c>
      <c r="G16" s="986">
        <v>0</v>
      </c>
      <c r="H16" s="986">
        <v>0</v>
      </c>
      <c r="I16" s="986">
        <v>0</v>
      </c>
      <c r="J16" s="986">
        <v>0</v>
      </c>
      <c r="K16" s="986">
        <v>0</v>
      </c>
      <c r="L16" s="986">
        <v>0</v>
      </c>
      <c r="M16" s="986">
        <v>0</v>
      </c>
    </row>
    <row r="17" spans="1:13" x14ac:dyDescent="0.25">
      <c r="A17" s="577">
        <f t="shared" si="0"/>
        <v>6</v>
      </c>
      <c r="B17" s="979" t="s">
        <v>1562</v>
      </c>
      <c r="C17" s="986">
        <v>0</v>
      </c>
      <c r="D17" s="986">
        <v>0</v>
      </c>
      <c r="E17" s="986">
        <v>0</v>
      </c>
      <c r="F17" s="986">
        <v>0</v>
      </c>
      <c r="G17" s="986">
        <v>0</v>
      </c>
      <c r="H17" s="986">
        <v>0</v>
      </c>
      <c r="I17" s="986">
        <v>0</v>
      </c>
      <c r="J17" s="986">
        <v>0</v>
      </c>
      <c r="K17" s="986">
        <v>0</v>
      </c>
      <c r="L17" s="986">
        <v>0</v>
      </c>
      <c r="M17" s="986">
        <v>0</v>
      </c>
    </row>
    <row r="18" spans="1:13" x14ac:dyDescent="0.25">
      <c r="A18" s="577">
        <f t="shared" si="0"/>
        <v>7</v>
      </c>
      <c r="B18" s="979" t="s">
        <v>1562</v>
      </c>
      <c r="C18" s="986">
        <v>0</v>
      </c>
      <c r="D18" s="986">
        <v>0</v>
      </c>
      <c r="E18" s="986">
        <v>0</v>
      </c>
      <c r="F18" s="986">
        <v>0</v>
      </c>
      <c r="G18" s="986">
        <v>0</v>
      </c>
      <c r="H18" s="986">
        <v>0</v>
      </c>
      <c r="I18" s="986">
        <v>0</v>
      </c>
      <c r="J18" s="986">
        <v>0</v>
      </c>
      <c r="K18" s="986">
        <v>0</v>
      </c>
      <c r="L18" s="986">
        <v>0</v>
      </c>
      <c r="M18" s="986">
        <v>0</v>
      </c>
    </row>
    <row r="19" spans="1:13" x14ac:dyDescent="0.25">
      <c r="A19" s="577">
        <f t="shared" si="0"/>
        <v>8</v>
      </c>
      <c r="B19" s="979" t="s">
        <v>1562</v>
      </c>
      <c r="C19" s="986">
        <v>0</v>
      </c>
      <c r="D19" s="986">
        <v>0</v>
      </c>
      <c r="E19" s="986">
        <v>0</v>
      </c>
      <c r="F19" s="986">
        <v>0</v>
      </c>
      <c r="G19" s="986">
        <v>0</v>
      </c>
      <c r="H19" s="986">
        <v>0</v>
      </c>
      <c r="I19" s="986">
        <v>0</v>
      </c>
      <c r="J19" s="986">
        <v>0</v>
      </c>
      <c r="K19" s="986">
        <v>0</v>
      </c>
      <c r="L19" s="986">
        <v>0</v>
      </c>
      <c r="M19" s="986">
        <v>0</v>
      </c>
    </row>
    <row r="20" spans="1:13" x14ac:dyDescent="0.25">
      <c r="A20" s="577">
        <f t="shared" si="0"/>
        <v>9</v>
      </c>
      <c r="B20" s="979" t="s">
        <v>1562</v>
      </c>
      <c r="C20" s="986">
        <v>0</v>
      </c>
      <c r="D20" s="986">
        <v>0</v>
      </c>
      <c r="E20" s="986">
        <v>0</v>
      </c>
      <c r="F20" s="986">
        <v>0</v>
      </c>
      <c r="G20" s="986">
        <v>0</v>
      </c>
      <c r="H20" s="986">
        <v>0</v>
      </c>
      <c r="I20" s="986">
        <v>0</v>
      </c>
      <c r="J20" s="986">
        <v>0</v>
      </c>
      <c r="K20" s="986">
        <v>0</v>
      </c>
      <c r="L20" s="986">
        <v>0</v>
      </c>
      <c r="M20" s="986">
        <v>0</v>
      </c>
    </row>
    <row r="21" spans="1:13" x14ac:dyDescent="0.25">
      <c r="A21" s="577">
        <f t="shared" si="0"/>
        <v>10</v>
      </c>
      <c r="B21" s="979" t="s">
        <v>1562</v>
      </c>
      <c r="C21" s="986">
        <v>0</v>
      </c>
      <c r="D21" s="986">
        <v>0</v>
      </c>
      <c r="E21" s="986">
        <v>0</v>
      </c>
      <c r="F21" s="986">
        <v>0</v>
      </c>
      <c r="G21" s="986">
        <v>0</v>
      </c>
      <c r="H21" s="986">
        <v>0</v>
      </c>
      <c r="I21" s="986">
        <v>0</v>
      </c>
      <c r="J21" s="986">
        <v>0</v>
      </c>
      <c r="K21" s="986">
        <v>0</v>
      </c>
      <c r="L21" s="986">
        <v>0</v>
      </c>
      <c r="M21" s="986">
        <v>0</v>
      </c>
    </row>
    <row r="22" spans="1:13" x14ac:dyDescent="0.25">
      <c r="A22" s="577">
        <f t="shared" si="0"/>
        <v>11</v>
      </c>
      <c r="B22" s="979" t="s">
        <v>1562</v>
      </c>
      <c r="C22" s="986">
        <v>0</v>
      </c>
      <c r="D22" s="986">
        <v>0</v>
      </c>
      <c r="E22" s="986">
        <v>0</v>
      </c>
      <c r="F22" s="986">
        <v>0</v>
      </c>
      <c r="G22" s="986">
        <v>0</v>
      </c>
      <c r="H22" s="986">
        <v>0</v>
      </c>
      <c r="I22" s="986">
        <v>0</v>
      </c>
      <c r="J22" s="986">
        <v>0</v>
      </c>
      <c r="K22" s="986">
        <v>0</v>
      </c>
      <c r="L22" s="986">
        <v>0</v>
      </c>
      <c r="M22" s="986">
        <v>0</v>
      </c>
    </row>
    <row r="23" spans="1:13" x14ac:dyDescent="0.25">
      <c r="A23" s="577">
        <f t="shared" si="0"/>
        <v>12</v>
      </c>
      <c r="B23" s="979" t="s">
        <v>1562</v>
      </c>
      <c r="C23" s="986">
        <v>0</v>
      </c>
      <c r="D23" s="986">
        <v>0</v>
      </c>
      <c r="E23" s="986">
        <v>0</v>
      </c>
      <c r="F23" s="986">
        <v>0</v>
      </c>
      <c r="G23" s="986">
        <v>0</v>
      </c>
      <c r="H23" s="986">
        <v>0</v>
      </c>
      <c r="I23" s="986">
        <v>0</v>
      </c>
      <c r="J23" s="986">
        <v>0</v>
      </c>
      <c r="K23" s="986">
        <v>0</v>
      </c>
      <c r="L23" s="986">
        <v>0</v>
      </c>
      <c r="M23" s="986">
        <v>0</v>
      </c>
    </row>
    <row r="24" spans="1:13" x14ac:dyDescent="0.25">
      <c r="A24" s="577">
        <f t="shared" si="0"/>
        <v>13</v>
      </c>
      <c r="B24" s="979" t="s">
        <v>1562</v>
      </c>
      <c r="C24" s="986">
        <v>0</v>
      </c>
      <c r="D24" s="986">
        <v>0</v>
      </c>
      <c r="E24" s="986">
        <v>0</v>
      </c>
      <c r="F24" s="986">
        <v>0</v>
      </c>
      <c r="G24" s="986">
        <v>0</v>
      </c>
      <c r="H24" s="986">
        <v>0</v>
      </c>
      <c r="I24" s="986">
        <v>0</v>
      </c>
      <c r="J24" s="986">
        <v>0</v>
      </c>
      <c r="K24" s="986">
        <v>0</v>
      </c>
      <c r="L24" s="986">
        <v>0</v>
      </c>
      <c r="M24" s="986">
        <v>0</v>
      </c>
    </row>
    <row r="25" spans="1:13" x14ac:dyDescent="0.25">
      <c r="A25" s="577">
        <f t="shared" si="0"/>
        <v>14</v>
      </c>
      <c r="B25" s="213"/>
      <c r="C25" s="213"/>
      <c r="D25" s="213"/>
      <c r="E25" s="213"/>
      <c r="F25" s="213"/>
      <c r="G25" s="213"/>
      <c r="H25" s="213"/>
      <c r="I25" s="213"/>
      <c r="J25" s="213"/>
      <c r="K25" s="213"/>
      <c r="L25" s="213"/>
      <c r="M25" s="213"/>
    </row>
    <row r="26" spans="1:13" x14ac:dyDescent="0.25">
      <c r="A26" s="577">
        <f t="shared" si="0"/>
        <v>15</v>
      </c>
      <c r="B26" s="639" t="s">
        <v>2500</v>
      </c>
      <c r="C26" s="222"/>
      <c r="D26" s="222"/>
      <c r="E26" s="222"/>
      <c r="F26" s="222"/>
      <c r="G26" s="222"/>
      <c r="H26" s="222"/>
      <c r="I26" s="213"/>
      <c r="J26" s="213"/>
      <c r="K26" s="213"/>
      <c r="L26" s="213"/>
      <c r="M26" s="213"/>
    </row>
    <row r="27" spans="1:13" x14ac:dyDescent="0.25">
      <c r="A27" s="577"/>
      <c r="B27" s="103"/>
      <c r="C27" s="222"/>
      <c r="D27" s="222"/>
      <c r="E27" s="222"/>
      <c r="F27" s="222"/>
      <c r="G27" s="213"/>
      <c r="H27" s="213"/>
      <c r="I27" s="213"/>
      <c r="J27" s="213"/>
      <c r="K27" s="213"/>
      <c r="L27" s="213"/>
      <c r="M27" s="213"/>
    </row>
    <row r="28" spans="1:13" x14ac:dyDescent="0.25">
      <c r="A28" s="577"/>
      <c r="B28" s="103"/>
      <c r="C28" s="222"/>
      <c r="D28" s="222"/>
      <c r="E28" s="222"/>
      <c r="F28" s="222"/>
      <c r="G28" s="213"/>
      <c r="H28" s="213"/>
      <c r="I28" s="213"/>
      <c r="J28" s="213"/>
      <c r="K28" s="213"/>
      <c r="L28" s="213"/>
      <c r="M28" s="213"/>
    </row>
    <row r="29" spans="1:13" x14ac:dyDescent="0.25">
      <c r="A29" s="577">
        <f>A26+1</f>
        <v>16</v>
      </c>
      <c r="B29" s="113" t="s">
        <v>2024</v>
      </c>
      <c r="C29" s="335">
        <v>350.1</v>
      </c>
      <c r="D29" s="335">
        <v>350.2</v>
      </c>
      <c r="E29" s="335">
        <v>352</v>
      </c>
      <c r="F29" s="335">
        <v>353</v>
      </c>
      <c r="G29" s="84">
        <v>354</v>
      </c>
      <c r="H29" s="84">
        <v>355</v>
      </c>
      <c r="I29" s="84">
        <v>356</v>
      </c>
      <c r="J29" s="84">
        <v>357</v>
      </c>
      <c r="K29" s="84">
        <v>358</v>
      </c>
      <c r="L29" s="84">
        <v>359</v>
      </c>
      <c r="M29" s="3"/>
    </row>
    <row r="30" spans="1:13" x14ac:dyDescent="0.25">
      <c r="A30" s="577" t="s">
        <v>2501</v>
      </c>
      <c r="B30" s="979" t="s">
        <v>1562</v>
      </c>
      <c r="C30" s="980" t="s">
        <v>2690</v>
      </c>
      <c r="D30" s="980" t="s">
        <v>2690</v>
      </c>
      <c r="E30" s="980" t="s">
        <v>2690</v>
      </c>
      <c r="F30" s="980" t="s">
        <v>2690</v>
      </c>
      <c r="G30" s="980" t="s">
        <v>2690</v>
      </c>
      <c r="H30" s="980" t="s">
        <v>2690</v>
      </c>
      <c r="I30" s="980" t="s">
        <v>2690</v>
      </c>
      <c r="J30" s="980" t="s">
        <v>2690</v>
      </c>
      <c r="K30" s="980" t="s">
        <v>2690</v>
      </c>
      <c r="L30" s="980" t="s">
        <v>2690</v>
      </c>
      <c r="M30" s="213"/>
    </row>
    <row r="31" spans="1:13" x14ac:dyDescent="0.25">
      <c r="A31" s="577" t="s">
        <v>2502</v>
      </c>
      <c r="B31" s="979" t="s">
        <v>1562</v>
      </c>
      <c r="C31" s="980" t="s">
        <v>2690</v>
      </c>
      <c r="D31" s="980" t="s">
        <v>2690</v>
      </c>
      <c r="E31" s="980" t="s">
        <v>2690</v>
      </c>
      <c r="F31" s="980" t="s">
        <v>2690</v>
      </c>
      <c r="G31" s="980" t="s">
        <v>2690</v>
      </c>
      <c r="H31" s="980" t="s">
        <v>2690</v>
      </c>
      <c r="I31" s="980" t="s">
        <v>2690</v>
      </c>
      <c r="J31" s="980" t="s">
        <v>2690</v>
      </c>
      <c r="K31" s="980" t="s">
        <v>2690</v>
      </c>
      <c r="L31" s="980" t="s">
        <v>2690</v>
      </c>
      <c r="M31" s="213"/>
    </row>
    <row r="32" spans="1:13" x14ac:dyDescent="0.25">
      <c r="A32" s="577" t="s">
        <v>2503</v>
      </c>
      <c r="B32" s="979" t="s">
        <v>1562</v>
      </c>
      <c r="C32" s="980" t="s">
        <v>2690</v>
      </c>
      <c r="D32" s="980" t="s">
        <v>2690</v>
      </c>
      <c r="E32" s="980" t="s">
        <v>2690</v>
      </c>
      <c r="F32" s="980" t="s">
        <v>2690</v>
      </c>
      <c r="G32" s="980" t="s">
        <v>2690</v>
      </c>
      <c r="H32" s="980" t="s">
        <v>2690</v>
      </c>
      <c r="I32" s="980" t="s">
        <v>2690</v>
      </c>
      <c r="J32" s="980" t="s">
        <v>2690</v>
      </c>
      <c r="K32" s="980" t="s">
        <v>2690</v>
      </c>
      <c r="L32" s="980" t="s">
        <v>2690</v>
      </c>
      <c r="M32" s="213"/>
    </row>
    <row r="33" spans="1:13" x14ac:dyDescent="0.25">
      <c r="A33" s="577" t="s">
        <v>2504</v>
      </c>
      <c r="B33" s="979" t="s">
        <v>1562</v>
      </c>
      <c r="C33" s="980" t="s">
        <v>2690</v>
      </c>
      <c r="D33" s="980" t="s">
        <v>2690</v>
      </c>
      <c r="E33" s="980" t="s">
        <v>2690</v>
      </c>
      <c r="F33" s="980" t="s">
        <v>2690</v>
      </c>
      <c r="G33" s="980" t="s">
        <v>2690</v>
      </c>
      <c r="H33" s="980" t="s">
        <v>2690</v>
      </c>
      <c r="I33" s="980" t="s">
        <v>2690</v>
      </c>
      <c r="J33" s="980" t="s">
        <v>2690</v>
      </c>
      <c r="K33" s="980" t="s">
        <v>2690</v>
      </c>
      <c r="L33" s="980" t="s">
        <v>2690</v>
      </c>
      <c r="M33" s="213"/>
    </row>
    <row r="34" spans="1:13" x14ac:dyDescent="0.25">
      <c r="A34" s="577" t="s">
        <v>2505</v>
      </c>
      <c r="B34" s="979" t="s">
        <v>1562</v>
      </c>
      <c r="C34" s="980" t="s">
        <v>2690</v>
      </c>
      <c r="D34" s="980" t="s">
        <v>2690</v>
      </c>
      <c r="E34" s="980" t="s">
        <v>2690</v>
      </c>
      <c r="F34" s="980" t="s">
        <v>2690</v>
      </c>
      <c r="G34" s="980" t="s">
        <v>2690</v>
      </c>
      <c r="H34" s="980" t="s">
        <v>2690</v>
      </c>
      <c r="I34" s="980" t="s">
        <v>2690</v>
      </c>
      <c r="J34" s="980" t="s">
        <v>2690</v>
      </c>
      <c r="K34" s="980" t="s">
        <v>2690</v>
      </c>
      <c r="L34" s="980" t="s">
        <v>2690</v>
      </c>
      <c r="M34" s="213"/>
    </row>
    <row r="35" spans="1:13" x14ac:dyDescent="0.25">
      <c r="A35" s="577" t="s">
        <v>2506</v>
      </c>
      <c r="B35" s="979" t="s">
        <v>1562</v>
      </c>
      <c r="C35" s="980" t="s">
        <v>2690</v>
      </c>
      <c r="D35" s="980" t="s">
        <v>2690</v>
      </c>
      <c r="E35" s="980" t="s">
        <v>2690</v>
      </c>
      <c r="F35" s="980" t="s">
        <v>2690</v>
      </c>
      <c r="G35" s="980" t="s">
        <v>2690</v>
      </c>
      <c r="H35" s="980" t="s">
        <v>2690</v>
      </c>
      <c r="I35" s="980" t="s">
        <v>2690</v>
      </c>
      <c r="J35" s="980" t="s">
        <v>2690</v>
      </c>
      <c r="K35" s="980" t="s">
        <v>2690</v>
      </c>
      <c r="L35" s="980" t="s">
        <v>2690</v>
      </c>
      <c r="M35" s="213"/>
    </row>
    <row r="36" spans="1:13" x14ac:dyDescent="0.25">
      <c r="A36" s="577" t="s">
        <v>2507</v>
      </c>
      <c r="B36" s="979" t="s">
        <v>1562</v>
      </c>
      <c r="C36" s="980" t="s">
        <v>2690</v>
      </c>
      <c r="D36" s="980" t="s">
        <v>2690</v>
      </c>
      <c r="E36" s="980" t="s">
        <v>2690</v>
      </c>
      <c r="F36" s="980" t="s">
        <v>2690</v>
      </c>
      <c r="G36" s="980" t="s">
        <v>2690</v>
      </c>
      <c r="H36" s="980" t="s">
        <v>2690</v>
      </c>
      <c r="I36" s="980" t="s">
        <v>2690</v>
      </c>
      <c r="J36" s="980" t="s">
        <v>2690</v>
      </c>
      <c r="K36" s="980" t="s">
        <v>2690</v>
      </c>
      <c r="L36" s="980" t="s">
        <v>2690</v>
      </c>
      <c r="M36" s="213"/>
    </row>
    <row r="37" spans="1:13" x14ac:dyDescent="0.25">
      <c r="A37" s="577" t="s">
        <v>2508</v>
      </c>
      <c r="B37" s="979" t="s">
        <v>1562</v>
      </c>
      <c r="C37" s="980" t="s">
        <v>2690</v>
      </c>
      <c r="D37" s="980" t="s">
        <v>2690</v>
      </c>
      <c r="E37" s="980" t="s">
        <v>2690</v>
      </c>
      <c r="F37" s="980" t="s">
        <v>2690</v>
      </c>
      <c r="G37" s="980" t="s">
        <v>2690</v>
      </c>
      <c r="H37" s="980" t="s">
        <v>2690</v>
      </c>
      <c r="I37" s="980" t="s">
        <v>2690</v>
      </c>
      <c r="J37" s="980" t="s">
        <v>2690</v>
      </c>
      <c r="K37" s="980" t="s">
        <v>2690</v>
      </c>
      <c r="L37" s="980" t="s">
        <v>2690</v>
      </c>
      <c r="M37" s="213"/>
    </row>
    <row r="38" spans="1:13" x14ac:dyDescent="0.25">
      <c r="A38" s="577" t="s">
        <v>2509</v>
      </c>
      <c r="B38" s="979" t="s">
        <v>1562</v>
      </c>
      <c r="C38" s="980" t="s">
        <v>2690</v>
      </c>
      <c r="D38" s="980" t="s">
        <v>2690</v>
      </c>
      <c r="E38" s="980" t="s">
        <v>2690</v>
      </c>
      <c r="F38" s="980" t="s">
        <v>2690</v>
      </c>
      <c r="G38" s="980" t="s">
        <v>2690</v>
      </c>
      <c r="H38" s="980" t="s">
        <v>2690</v>
      </c>
      <c r="I38" s="980" t="s">
        <v>2690</v>
      </c>
      <c r="J38" s="980" t="s">
        <v>2690</v>
      </c>
      <c r="K38" s="980" t="s">
        <v>2690</v>
      </c>
      <c r="L38" s="980" t="s">
        <v>2690</v>
      </c>
      <c r="M38" s="213"/>
    </row>
    <row r="39" spans="1:13" x14ac:dyDescent="0.25">
      <c r="A39" s="577" t="s">
        <v>2510</v>
      </c>
      <c r="B39" s="979" t="s">
        <v>1562</v>
      </c>
      <c r="C39" s="980" t="s">
        <v>2690</v>
      </c>
      <c r="D39" s="980" t="s">
        <v>2690</v>
      </c>
      <c r="E39" s="980" t="s">
        <v>2690</v>
      </c>
      <c r="F39" s="980" t="s">
        <v>2690</v>
      </c>
      <c r="G39" s="980" t="s">
        <v>2690</v>
      </c>
      <c r="H39" s="980" t="s">
        <v>2690</v>
      </c>
      <c r="I39" s="980" t="s">
        <v>2690</v>
      </c>
      <c r="J39" s="980" t="s">
        <v>2690</v>
      </c>
      <c r="K39" s="980" t="s">
        <v>2690</v>
      </c>
      <c r="L39" s="980" t="s">
        <v>2690</v>
      </c>
      <c r="M39" s="213"/>
    </row>
    <row r="40" spans="1:13" x14ac:dyDescent="0.25">
      <c r="A40" s="577" t="s">
        <v>2511</v>
      </c>
      <c r="B40" s="979" t="s">
        <v>1562</v>
      </c>
      <c r="C40" s="980" t="s">
        <v>2690</v>
      </c>
      <c r="D40" s="980" t="s">
        <v>2690</v>
      </c>
      <c r="E40" s="980" t="s">
        <v>2690</v>
      </c>
      <c r="F40" s="980" t="s">
        <v>2690</v>
      </c>
      <c r="G40" s="980" t="s">
        <v>2690</v>
      </c>
      <c r="H40" s="980" t="s">
        <v>2690</v>
      </c>
      <c r="I40" s="980" t="s">
        <v>2690</v>
      </c>
      <c r="J40" s="980" t="s">
        <v>2690</v>
      </c>
      <c r="K40" s="980" t="s">
        <v>2690</v>
      </c>
      <c r="L40" s="980" t="s">
        <v>2690</v>
      </c>
      <c r="M40" s="213"/>
    </row>
    <row r="41" spans="1:13" x14ac:dyDescent="0.25">
      <c r="A41" s="577" t="s">
        <v>2512</v>
      </c>
      <c r="B41" s="979" t="s">
        <v>1562</v>
      </c>
      <c r="C41" s="980" t="s">
        <v>2690</v>
      </c>
      <c r="D41" s="980" t="s">
        <v>2690</v>
      </c>
      <c r="E41" s="980" t="s">
        <v>2690</v>
      </c>
      <c r="F41" s="980" t="s">
        <v>2690</v>
      </c>
      <c r="G41" s="980" t="s">
        <v>2690</v>
      </c>
      <c r="H41" s="980" t="s">
        <v>2690</v>
      </c>
      <c r="I41" s="980" t="s">
        <v>2690</v>
      </c>
      <c r="J41" s="980" t="s">
        <v>2690</v>
      </c>
      <c r="K41" s="980" t="s">
        <v>2690</v>
      </c>
      <c r="L41" s="980" t="s">
        <v>2690</v>
      </c>
      <c r="M41" s="213"/>
    </row>
    <row r="42" spans="1:13" x14ac:dyDescent="0.25">
      <c r="A42" s="577" t="s">
        <v>2513</v>
      </c>
      <c r="B42" s="979" t="s">
        <v>1562</v>
      </c>
      <c r="C42" s="980" t="s">
        <v>2690</v>
      </c>
      <c r="D42" s="980" t="s">
        <v>2690</v>
      </c>
      <c r="E42" s="980" t="s">
        <v>2690</v>
      </c>
      <c r="F42" s="980" t="s">
        <v>2690</v>
      </c>
      <c r="G42" s="980" t="s">
        <v>2690</v>
      </c>
      <c r="H42" s="980" t="s">
        <v>2690</v>
      </c>
      <c r="I42" s="980" t="s">
        <v>2690</v>
      </c>
      <c r="J42" s="980" t="s">
        <v>2690</v>
      </c>
      <c r="K42" s="980" t="s">
        <v>2690</v>
      </c>
      <c r="L42" s="980" t="s">
        <v>2690</v>
      </c>
      <c r="M42" s="213"/>
    </row>
    <row r="43" spans="1:13" x14ac:dyDescent="0.25">
      <c r="A43" s="577">
        <v>18</v>
      </c>
      <c r="C43" s="341"/>
      <c r="D43" s="341"/>
      <c r="E43" s="341"/>
      <c r="F43" s="341"/>
      <c r="G43" s="341"/>
      <c r="H43" s="341"/>
      <c r="I43" s="341"/>
      <c r="J43" s="341"/>
      <c r="K43" s="341"/>
      <c r="L43" s="341"/>
      <c r="M43" s="213"/>
    </row>
    <row r="44" spans="1:13" x14ac:dyDescent="0.25">
      <c r="A44" s="577">
        <f t="shared" si="0"/>
        <v>19</v>
      </c>
      <c r="B44" s="468" t="s">
        <v>1063</v>
      </c>
      <c r="C44" s="223"/>
      <c r="D44" s="223"/>
      <c r="E44" s="223"/>
      <c r="F44" s="223"/>
      <c r="G44" s="514" t="s">
        <v>1938</v>
      </c>
      <c r="H44" s="223"/>
      <c r="I44" s="341"/>
      <c r="J44" s="341"/>
      <c r="K44" s="341"/>
      <c r="L44" s="341"/>
      <c r="M44" s="213"/>
    </row>
    <row r="45" spans="1:13" x14ac:dyDescent="0.25">
      <c r="A45" s="577">
        <f t="shared" si="0"/>
        <v>20</v>
      </c>
      <c r="B45" s="222"/>
      <c r="C45" s="222"/>
      <c r="D45" s="222"/>
      <c r="E45" s="222"/>
      <c r="F45" s="222"/>
      <c r="G45" s="222"/>
      <c r="H45" s="222"/>
      <c r="I45" s="213"/>
      <c r="J45" s="213"/>
      <c r="K45" s="213"/>
      <c r="L45" s="213"/>
      <c r="M45" s="213"/>
    </row>
    <row r="46" spans="1:13" x14ac:dyDescent="0.25">
      <c r="A46" s="577">
        <f t="shared" si="0"/>
        <v>21</v>
      </c>
      <c r="B46" s="103"/>
      <c r="C46" s="863" t="s">
        <v>12</v>
      </c>
      <c r="D46" s="222"/>
      <c r="E46" s="222"/>
      <c r="F46" s="222"/>
      <c r="G46" s="222"/>
      <c r="H46" s="222"/>
      <c r="I46" s="213"/>
      <c r="J46" s="213"/>
      <c r="K46" s="213"/>
      <c r="L46" s="213"/>
      <c r="M46" s="213"/>
    </row>
    <row r="47" spans="1:13" x14ac:dyDescent="0.25">
      <c r="A47" s="577">
        <f t="shared" si="0"/>
        <v>22</v>
      </c>
      <c r="B47" s="103"/>
      <c r="C47" s="863" t="s">
        <v>1060</v>
      </c>
      <c r="D47" s="222"/>
      <c r="E47" s="222"/>
      <c r="F47" s="222"/>
      <c r="G47" s="222"/>
      <c r="H47" s="222"/>
      <c r="I47" s="213"/>
      <c r="J47" s="213"/>
      <c r="K47" s="213"/>
      <c r="L47" s="213"/>
      <c r="M47" s="577" t="s">
        <v>211</v>
      </c>
    </row>
    <row r="48" spans="1:13" x14ac:dyDescent="0.25">
      <c r="A48" s="577">
        <f t="shared" si="0"/>
        <v>23</v>
      </c>
      <c r="B48" s="113" t="s">
        <v>2024</v>
      </c>
      <c r="C48" s="335">
        <v>350.1</v>
      </c>
      <c r="D48" s="335">
        <v>350.2</v>
      </c>
      <c r="E48" s="335">
        <v>352</v>
      </c>
      <c r="F48" s="335">
        <v>353</v>
      </c>
      <c r="G48" s="335">
        <v>354</v>
      </c>
      <c r="H48" s="335">
        <v>355</v>
      </c>
      <c r="I48" s="84">
        <v>356</v>
      </c>
      <c r="J48" s="84">
        <v>357</v>
      </c>
      <c r="K48" s="84">
        <v>358</v>
      </c>
      <c r="L48" s="84">
        <v>359</v>
      </c>
      <c r="M48" s="3" t="s">
        <v>215</v>
      </c>
    </row>
    <row r="49" spans="1:13" x14ac:dyDescent="0.25">
      <c r="A49" s="577">
        <f t="shared" si="0"/>
        <v>24</v>
      </c>
      <c r="B49" s="979" t="s">
        <v>1562</v>
      </c>
      <c r="C49" s="986">
        <v>0</v>
      </c>
      <c r="D49" s="986">
        <v>0</v>
      </c>
      <c r="E49" s="986">
        <v>0</v>
      </c>
      <c r="F49" s="986">
        <v>0</v>
      </c>
      <c r="G49" s="986">
        <v>0</v>
      </c>
      <c r="H49" s="986">
        <v>0</v>
      </c>
      <c r="I49" s="986">
        <v>0</v>
      </c>
      <c r="J49" s="986">
        <v>0</v>
      </c>
      <c r="K49" s="986">
        <v>0</v>
      </c>
      <c r="L49" s="986">
        <v>0</v>
      </c>
      <c r="M49" s="986">
        <v>0</v>
      </c>
    </row>
    <row r="50" spans="1:13" x14ac:dyDescent="0.25">
      <c r="A50" s="577">
        <f t="shared" si="0"/>
        <v>25</v>
      </c>
      <c r="B50" s="979" t="s">
        <v>1562</v>
      </c>
      <c r="C50" s="986">
        <v>0</v>
      </c>
      <c r="D50" s="986">
        <v>0</v>
      </c>
      <c r="E50" s="986">
        <v>0</v>
      </c>
      <c r="F50" s="986">
        <v>0</v>
      </c>
      <c r="G50" s="986">
        <v>0</v>
      </c>
      <c r="H50" s="986">
        <v>0</v>
      </c>
      <c r="I50" s="986">
        <v>0</v>
      </c>
      <c r="J50" s="986">
        <v>0</v>
      </c>
      <c r="K50" s="986">
        <v>0</v>
      </c>
      <c r="L50" s="986">
        <v>0</v>
      </c>
      <c r="M50" s="986">
        <v>0</v>
      </c>
    </row>
    <row r="51" spans="1:13" x14ac:dyDescent="0.25">
      <c r="A51" s="577">
        <f t="shared" si="0"/>
        <v>26</v>
      </c>
      <c r="B51" s="979" t="s">
        <v>1562</v>
      </c>
      <c r="C51" s="986">
        <v>0</v>
      </c>
      <c r="D51" s="986">
        <v>0</v>
      </c>
      <c r="E51" s="986">
        <v>0</v>
      </c>
      <c r="F51" s="986">
        <v>0</v>
      </c>
      <c r="G51" s="986">
        <v>0</v>
      </c>
      <c r="H51" s="986">
        <v>0</v>
      </c>
      <c r="I51" s="986">
        <v>0</v>
      </c>
      <c r="J51" s="986">
        <v>0</v>
      </c>
      <c r="K51" s="986">
        <v>0</v>
      </c>
      <c r="L51" s="986">
        <v>0</v>
      </c>
      <c r="M51" s="986">
        <v>0</v>
      </c>
    </row>
    <row r="52" spans="1:13" x14ac:dyDescent="0.25">
      <c r="A52" s="577">
        <f t="shared" si="0"/>
        <v>27</v>
      </c>
      <c r="B52" s="979" t="s">
        <v>1562</v>
      </c>
      <c r="C52" s="986">
        <v>0</v>
      </c>
      <c r="D52" s="986">
        <v>0</v>
      </c>
      <c r="E52" s="986">
        <v>0</v>
      </c>
      <c r="F52" s="986">
        <v>0</v>
      </c>
      <c r="G52" s="986">
        <v>0</v>
      </c>
      <c r="H52" s="986">
        <v>0</v>
      </c>
      <c r="I52" s="986">
        <v>0</v>
      </c>
      <c r="J52" s="986">
        <v>0</v>
      </c>
      <c r="K52" s="986">
        <v>0</v>
      </c>
      <c r="L52" s="986">
        <v>0</v>
      </c>
      <c r="M52" s="986">
        <v>0</v>
      </c>
    </row>
    <row r="53" spans="1:13" x14ac:dyDescent="0.25">
      <c r="A53" s="577">
        <f t="shared" si="0"/>
        <v>28</v>
      </c>
      <c r="B53" s="979" t="s">
        <v>1562</v>
      </c>
      <c r="C53" s="986">
        <v>0</v>
      </c>
      <c r="D53" s="986">
        <v>0</v>
      </c>
      <c r="E53" s="986">
        <v>0</v>
      </c>
      <c r="F53" s="986">
        <v>0</v>
      </c>
      <c r="G53" s="986">
        <v>0</v>
      </c>
      <c r="H53" s="986">
        <v>0</v>
      </c>
      <c r="I53" s="986">
        <v>0</v>
      </c>
      <c r="J53" s="986">
        <v>0</v>
      </c>
      <c r="K53" s="986">
        <v>0</v>
      </c>
      <c r="L53" s="986">
        <v>0</v>
      </c>
      <c r="M53" s="986">
        <v>0</v>
      </c>
    </row>
    <row r="54" spans="1:13" x14ac:dyDescent="0.25">
      <c r="A54" s="577">
        <f t="shared" si="0"/>
        <v>29</v>
      </c>
      <c r="B54" s="979" t="s">
        <v>1562</v>
      </c>
      <c r="C54" s="986">
        <v>0</v>
      </c>
      <c r="D54" s="986">
        <v>0</v>
      </c>
      <c r="E54" s="986">
        <v>0</v>
      </c>
      <c r="F54" s="986">
        <v>0</v>
      </c>
      <c r="G54" s="986">
        <v>0</v>
      </c>
      <c r="H54" s="986">
        <v>0</v>
      </c>
      <c r="I54" s="986">
        <v>0</v>
      </c>
      <c r="J54" s="986">
        <v>0</v>
      </c>
      <c r="K54" s="986">
        <v>0</v>
      </c>
      <c r="L54" s="986">
        <v>0</v>
      </c>
      <c r="M54" s="986">
        <v>0</v>
      </c>
    </row>
    <row r="55" spans="1:13" x14ac:dyDescent="0.25">
      <c r="A55" s="577">
        <f t="shared" si="0"/>
        <v>30</v>
      </c>
      <c r="B55" s="979" t="s">
        <v>1562</v>
      </c>
      <c r="C55" s="986">
        <v>0</v>
      </c>
      <c r="D55" s="986">
        <v>0</v>
      </c>
      <c r="E55" s="986">
        <v>0</v>
      </c>
      <c r="F55" s="986">
        <v>0</v>
      </c>
      <c r="G55" s="986">
        <v>0</v>
      </c>
      <c r="H55" s="986">
        <v>0</v>
      </c>
      <c r="I55" s="986">
        <v>0</v>
      </c>
      <c r="J55" s="986">
        <v>0</v>
      </c>
      <c r="K55" s="986">
        <v>0</v>
      </c>
      <c r="L55" s="986">
        <v>0</v>
      </c>
      <c r="M55" s="986">
        <v>0</v>
      </c>
    </row>
    <row r="56" spans="1:13" x14ac:dyDescent="0.25">
      <c r="A56" s="577">
        <f t="shared" si="0"/>
        <v>31</v>
      </c>
      <c r="B56" s="979" t="s">
        <v>1562</v>
      </c>
      <c r="C56" s="986">
        <v>0</v>
      </c>
      <c r="D56" s="986">
        <v>0</v>
      </c>
      <c r="E56" s="986">
        <v>0</v>
      </c>
      <c r="F56" s="986">
        <v>0</v>
      </c>
      <c r="G56" s="986">
        <v>0</v>
      </c>
      <c r="H56" s="986">
        <v>0</v>
      </c>
      <c r="I56" s="986">
        <v>0</v>
      </c>
      <c r="J56" s="986">
        <v>0</v>
      </c>
      <c r="K56" s="986">
        <v>0</v>
      </c>
      <c r="L56" s="986">
        <v>0</v>
      </c>
      <c r="M56" s="986">
        <v>0</v>
      </c>
    </row>
    <row r="57" spans="1:13" x14ac:dyDescent="0.25">
      <c r="A57" s="577">
        <f t="shared" si="0"/>
        <v>32</v>
      </c>
      <c r="B57" s="979" t="s">
        <v>1562</v>
      </c>
      <c r="C57" s="986">
        <v>0</v>
      </c>
      <c r="D57" s="986">
        <v>0</v>
      </c>
      <c r="E57" s="986">
        <v>0</v>
      </c>
      <c r="F57" s="986">
        <v>0</v>
      </c>
      <c r="G57" s="986">
        <v>0</v>
      </c>
      <c r="H57" s="986">
        <v>0</v>
      </c>
      <c r="I57" s="986">
        <v>0</v>
      </c>
      <c r="J57" s="986">
        <v>0</v>
      </c>
      <c r="K57" s="986">
        <v>0</v>
      </c>
      <c r="L57" s="986">
        <v>0</v>
      </c>
      <c r="M57" s="986">
        <v>0</v>
      </c>
    </row>
    <row r="58" spans="1:13" x14ac:dyDescent="0.25">
      <c r="A58" s="577">
        <f t="shared" si="0"/>
        <v>33</v>
      </c>
      <c r="B58" s="979" t="s">
        <v>1562</v>
      </c>
      <c r="C58" s="986">
        <v>0</v>
      </c>
      <c r="D58" s="986">
        <v>0</v>
      </c>
      <c r="E58" s="986">
        <v>0</v>
      </c>
      <c r="F58" s="986">
        <v>0</v>
      </c>
      <c r="G58" s="986">
        <v>0</v>
      </c>
      <c r="H58" s="986">
        <v>0</v>
      </c>
      <c r="I58" s="986">
        <v>0</v>
      </c>
      <c r="J58" s="986">
        <v>0</v>
      </c>
      <c r="K58" s="986">
        <v>0</v>
      </c>
      <c r="L58" s="986">
        <v>0</v>
      </c>
      <c r="M58" s="986">
        <v>0</v>
      </c>
    </row>
    <row r="59" spans="1:13" x14ac:dyDescent="0.25">
      <c r="A59" s="577">
        <f t="shared" si="0"/>
        <v>34</v>
      </c>
      <c r="B59" s="979" t="s">
        <v>1562</v>
      </c>
      <c r="C59" s="986">
        <v>0</v>
      </c>
      <c r="D59" s="986">
        <v>0</v>
      </c>
      <c r="E59" s="986">
        <v>0</v>
      </c>
      <c r="F59" s="986">
        <v>0</v>
      </c>
      <c r="G59" s="986">
        <v>0</v>
      </c>
      <c r="H59" s="986">
        <v>0</v>
      </c>
      <c r="I59" s="986">
        <v>0</v>
      </c>
      <c r="J59" s="986">
        <v>0</v>
      </c>
      <c r="K59" s="986">
        <v>0</v>
      </c>
      <c r="L59" s="986">
        <v>0</v>
      </c>
      <c r="M59" s="986">
        <v>0</v>
      </c>
    </row>
    <row r="60" spans="1:13" ht="15" x14ac:dyDescent="0.4">
      <c r="A60" s="577">
        <f t="shared" si="0"/>
        <v>35</v>
      </c>
      <c r="B60" s="979" t="s">
        <v>1562</v>
      </c>
      <c r="C60" s="987">
        <v>0</v>
      </c>
      <c r="D60" s="987">
        <v>0</v>
      </c>
      <c r="E60" s="987">
        <v>0</v>
      </c>
      <c r="F60" s="987">
        <v>0</v>
      </c>
      <c r="G60" s="987">
        <v>0</v>
      </c>
      <c r="H60" s="987">
        <v>0</v>
      </c>
      <c r="I60" s="987">
        <v>0</v>
      </c>
      <c r="J60" s="987">
        <v>0</v>
      </c>
      <c r="K60" s="987">
        <v>0</v>
      </c>
      <c r="L60" s="987">
        <v>0</v>
      </c>
      <c r="M60" s="986">
        <v>0</v>
      </c>
    </row>
    <row r="61" spans="1:13" x14ac:dyDescent="0.25">
      <c r="A61" s="577">
        <f t="shared" si="0"/>
        <v>36</v>
      </c>
      <c r="B61" s="214" t="s">
        <v>216</v>
      </c>
      <c r="C61" s="986">
        <v>0</v>
      </c>
      <c r="D61" s="986">
        <v>0</v>
      </c>
      <c r="E61" s="986">
        <v>0</v>
      </c>
      <c r="F61" s="986">
        <v>0</v>
      </c>
      <c r="G61" s="986">
        <v>0</v>
      </c>
      <c r="H61" s="986">
        <v>0</v>
      </c>
      <c r="I61" s="986">
        <v>0</v>
      </c>
      <c r="J61" s="986">
        <v>0</v>
      </c>
      <c r="K61" s="986">
        <v>0</v>
      </c>
      <c r="L61" s="986">
        <v>0</v>
      </c>
      <c r="M61" s="6"/>
    </row>
    <row r="62" spans="1:13" x14ac:dyDescent="0.25">
      <c r="A62" s="577">
        <f t="shared" si="0"/>
        <v>37</v>
      </c>
      <c r="B62" s="213"/>
      <c r="C62" s="213"/>
      <c r="D62" s="213"/>
      <c r="E62" s="213"/>
      <c r="F62" s="213"/>
      <c r="G62" s="213"/>
      <c r="H62" s="213"/>
      <c r="I62" s="213"/>
      <c r="J62" s="213"/>
      <c r="K62" s="213"/>
      <c r="L62" s="464" t="s">
        <v>1065</v>
      </c>
      <c r="M62" s="986">
        <v>0</v>
      </c>
    </row>
    <row r="63" spans="1:13" x14ac:dyDescent="0.25">
      <c r="A63" s="577">
        <f t="shared" si="0"/>
        <v>38</v>
      </c>
      <c r="B63" s="213"/>
      <c r="C63" s="213"/>
      <c r="D63" s="213"/>
      <c r="E63" s="213"/>
      <c r="F63" s="213"/>
      <c r="G63" s="213"/>
      <c r="H63" s="213"/>
      <c r="I63" s="213"/>
      <c r="J63" s="213"/>
      <c r="K63" s="213"/>
      <c r="L63" s="729" t="s">
        <v>1066</v>
      </c>
      <c r="M63" s="213"/>
    </row>
    <row r="64" spans="1:13" x14ac:dyDescent="0.25">
      <c r="A64" s="577">
        <f t="shared" si="0"/>
        <v>39</v>
      </c>
      <c r="B64" s="1" t="s">
        <v>1105</v>
      </c>
      <c r="C64" s="213"/>
      <c r="D64" s="213"/>
      <c r="E64" s="213"/>
      <c r="F64" s="213"/>
      <c r="G64" s="213"/>
      <c r="H64" s="213"/>
      <c r="I64" s="213"/>
      <c r="J64" s="213"/>
      <c r="K64" s="213"/>
      <c r="L64" s="213"/>
      <c r="M64" s="213"/>
    </row>
    <row r="65" spans="1:13" x14ac:dyDescent="0.25">
      <c r="A65" s="577">
        <f t="shared" si="0"/>
        <v>40</v>
      </c>
      <c r="B65" s="213"/>
      <c r="C65" s="213"/>
      <c r="D65" s="213"/>
      <c r="E65" s="213"/>
      <c r="F65" s="213"/>
      <c r="G65" s="213"/>
      <c r="H65" s="213"/>
      <c r="I65" s="213"/>
      <c r="J65" s="213"/>
      <c r="K65" s="213"/>
      <c r="L65" s="213"/>
      <c r="M65" s="213"/>
    </row>
    <row r="66" spans="1:13" x14ac:dyDescent="0.25">
      <c r="A66" s="577">
        <f t="shared" si="0"/>
        <v>41</v>
      </c>
      <c r="B66" s="222"/>
      <c r="C66" s="222"/>
      <c r="D66" s="335">
        <v>360</v>
      </c>
      <c r="E66" s="335">
        <v>361</v>
      </c>
      <c r="F66" s="335">
        <v>362</v>
      </c>
      <c r="G66" s="222"/>
      <c r="H66" s="879" t="s">
        <v>198</v>
      </c>
      <c r="I66" s="3"/>
      <c r="J66" s="213"/>
      <c r="K66" s="213"/>
      <c r="L66" s="213"/>
      <c r="M66" s="213"/>
    </row>
    <row r="67" spans="1:13" x14ac:dyDescent="0.25">
      <c r="A67" s="577">
        <f t="shared" si="0"/>
        <v>42</v>
      </c>
      <c r="B67" s="468" t="s">
        <v>1106</v>
      </c>
      <c r="C67" s="222"/>
      <c r="D67" s="986">
        <v>0</v>
      </c>
      <c r="E67" s="986">
        <v>0</v>
      </c>
      <c r="F67" s="986">
        <v>0</v>
      </c>
      <c r="G67" s="222"/>
      <c r="H67" s="468" t="str">
        <f>"6-PlantInService Line "&amp;'[2]6-PlantInService'!A35&amp;"."</f>
        <v>6-PlantInService Line 15.</v>
      </c>
      <c r="I67" s="470"/>
      <c r="J67" s="213"/>
      <c r="K67" s="213"/>
      <c r="L67" s="213"/>
      <c r="M67" s="213"/>
    </row>
    <row r="68" spans="1:13" ht="15" x14ac:dyDescent="0.4">
      <c r="A68" s="577">
        <f t="shared" si="0"/>
        <v>43</v>
      </c>
      <c r="B68" s="468" t="s">
        <v>1107</v>
      </c>
      <c r="C68" s="222"/>
      <c r="D68" s="987">
        <v>0</v>
      </c>
      <c r="E68" s="987">
        <v>0</v>
      </c>
      <c r="F68" s="987">
        <v>0</v>
      </c>
      <c r="G68" s="222"/>
      <c r="H68" s="468" t="str">
        <f>"6-PlantInService Line "&amp;'[2]6-PlantInService'!A36&amp;"."</f>
        <v>6-PlantInService Line 16.</v>
      </c>
      <c r="I68" s="213"/>
      <c r="J68" s="213"/>
      <c r="K68" s="213"/>
      <c r="M68" s="213"/>
    </row>
    <row r="69" spans="1:13" x14ac:dyDescent="0.25">
      <c r="A69" s="577">
        <f t="shared" si="0"/>
        <v>44</v>
      </c>
      <c r="B69" s="468" t="s">
        <v>1108</v>
      </c>
      <c r="C69" s="222"/>
      <c r="D69" s="986">
        <v>0</v>
      </c>
      <c r="E69" s="986">
        <v>0</v>
      </c>
      <c r="F69" s="986">
        <v>0</v>
      </c>
      <c r="G69" s="222"/>
      <c r="H69" s="944"/>
      <c r="I69" s="470"/>
      <c r="J69" s="213"/>
      <c r="K69" s="213"/>
      <c r="M69" s="213"/>
    </row>
    <row r="70" spans="1:13" x14ac:dyDescent="0.25">
      <c r="A70" s="577">
        <f t="shared" si="0"/>
        <v>45</v>
      </c>
      <c r="B70" s="13"/>
      <c r="C70" s="13"/>
      <c r="D70" s="13"/>
      <c r="E70" s="13"/>
      <c r="F70" s="13"/>
      <c r="G70" s="13"/>
      <c r="H70" s="13"/>
      <c r="J70" s="213"/>
      <c r="K70" s="213"/>
      <c r="M70" s="213"/>
    </row>
    <row r="71" spans="1:13" x14ac:dyDescent="0.25">
      <c r="A71" s="577">
        <f t="shared" si="0"/>
        <v>46</v>
      </c>
      <c r="B71" s="639" t="s">
        <v>2056</v>
      </c>
      <c r="C71" s="222"/>
      <c r="D71" s="222"/>
      <c r="E71" s="222"/>
      <c r="F71" s="13"/>
      <c r="G71" s="13"/>
      <c r="H71" s="13"/>
      <c r="J71" s="222"/>
      <c r="K71" s="222"/>
      <c r="L71" s="217"/>
      <c r="M71" s="213"/>
    </row>
    <row r="72" spans="1:13" x14ac:dyDescent="0.25">
      <c r="A72" s="577">
        <f t="shared" si="0"/>
        <v>47</v>
      </c>
      <c r="B72" s="222"/>
      <c r="C72" s="13"/>
      <c r="D72" s="335">
        <v>360</v>
      </c>
      <c r="E72" s="335">
        <v>361</v>
      </c>
      <c r="F72" s="335">
        <v>362</v>
      </c>
      <c r="G72" s="13"/>
      <c r="H72" s="13"/>
      <c r="J72" s="222"/>
      <c r="K72" s="222"/>
      <c r="L72" s="217"/>
      <c r="M72" s="213"/>
    </row>
    <row r="73" spans="1:13" x14ac:dyDescent="0.25">
      <c r="A73" s="577">
        <f t="shared" si="0"/>
        <v>48</v>
      </c>
      <c r="B73" s="13"/>
      <c r="C73" s="13"/>
      <c r="D73" s="970" t="s">
        <v>2690</v>
      </c>
      <c r="E73" s="970" t="s">
        <v>2690</v>
      </c>
      <c r="F73" s="970" t="s">
        <v>2690</v>
      </c>
      <c r="G73" s="13"/>
      <c r="H73" s="13"/>
      <c r="J73" s="222"/>
      <c r="K73" s="222"/>
      <c r="L73" s="217"/>
      <c r="M73" s="213"/>
    </row>
    <row r="74" spans="1:13" x14ac:dyDescent="0.25">
      <c r="A74" s="577">
        <f t="shared" si="0"/>
        <v>49</v>
      </c>
      <c r="B74" s="13"/>
      <c r="C74" s="13"/>
      <c r="D74" s="13"/>
      <c r="E74" s="13"/>
      <c r="F74" s="13"/>
      <c r="G74" s="13"/>
      <c r="H74" s="13"/>
      <c r="J74" s="222"/>
      <c r="K74" s="222"/>
      <c r="L74" s="104"/>
      <c r="M74" s="213"/>
    </row>
    <row r="75" spans="1:13" x14ac:dyDescent="0.25">
      <c r="A75" s="577">
        <f t="shared" si="0"/>
        <v>50</v>
      </c>
      <c r="B75" s="13" t="s">
        <v>397</v>
      </c>
      <c r="C75" s="13"/>
      <c r="D75" s="13"/>
      <c r="E75" s="13"/>
      <c r="F75" s="468" t="s">
        <v>1939</v>
      </c>
      <c r="G75" s="13"/>
      <c r="H75" s="13"/>
      <c r="J75" s="222"/>
      <c r="K75" s="222"/>
      <c r="L75" s="223"/>
      <c r="M75" s="213"/>
    </row>
    <row r="76" spans="1:13" x14ac:dyDescent="0.25">
      <c r="A76" s="577">
        <f t="shared" si="0"/>
        <v>51</v>
      </c>
      <c r="B76" s="13"/>
      <c r="C76" s="13"/>
      <c r="D76" s="13"/>
      <c r="E76" s="13"/>
      <c r="F76" s="13"/>
      <c r="G76" s="13"/>
      <c r="H76" s="13"/>
      <c r="J76" s="222"/>
      <c r="K76" s="222"/>
      <c r="L76" s="223"/>
      <c r="M76" s="213"/>
    </row>
    <row r="77" spans="1:13" x14ac:dyDescent="0.25">
      <c r="A77" s="577">
        <f t="shared" si="0"/>
        <v>52</v>
      </c>
      <c r="B77" s="13"/>
      <c r="C77" s="13"/>
      <c r="D77" s="335">
        <v>360</v>
      </c>
      <c r="E77" s="335">
        <v>361</v>
      </c>
      <c r="F77" s="335">
        <v>362</v>
      </c>
      <c r="G77" s="441" t="s">
        <v>215</v>
      </c>
      <c r="H77" s="13"/>
      <c r="J77" s="222"/>
      <c r="K77" s="222"/>
      <c r="L77" s="223"/>
      <c r="M77" s="213"/>
    </row>
    <row r="78" spans="1:13" x14ac:dyDescent="0.25">
      <c r="A78" s="577">
        <f t="shared" ref="A78:A91" si="1">A77+1</f>
        <v>53</v>
      </c>
      <c r="B78" s="13"/>
      <c r="C78" s="13"/>
      <c r="D78" s="986">
        <v>0</v>
      </c>
      <c r="E78" s="986">
        <v>0</v>
      </c>
      <c r="F78" s="986">
        <v>0</v>
      </c>
      <c r="G78" s="986">
        <v>0</v>
      </c>
      <c r="H78" s="105" t="s">
        <v>1109</v>
      </c>
      <c r="J78" s="222"/>
      <c r="K78" s="222"/>
      <c r="L78" s="217"/>
      <c r="M78" s="213"/>
    </row>
    <row r="79" spans="1:13" x14ac:dyDescent="0.25">
      <c r="A79" s="577">
        <f t="shared" si="1"/>
        <v>54</v>
      </c>
      <c r="B79" s="13"/>
      <c r="C79" s="13"/>
      <c r="D79" s="13"/>
      <c r="E79" s="13"/>
      <c r="F79" s="13"/>
      <c r="G79" s="13"/>
      <c r="H79" s="105" t="s">
        <v>1110</v>
      </c>
      <c r="J79" s="222"/>
      <c r="K79" s="222"/>
      <c r="L79" s="222"/>
      <c r="M79" s="213"/>
    </row>
    <row r="80" spans="1:13" x14ac:dyDescent="0.25">
      <c r="A80" s="577">
        <f t="shared" si="1"/>
        <v>55</v>
      </c>
      <c r="B80" s="13"/>
      <c r="C80" s="13"/>
      <c r="D80" s="13"/>
      <c r="E80" s="13"/>
      <c r="F80" s="13"/>
      <c r="G80" s="13"/>
      <c r="H80" s="13"/>
      <c r="J80" s="222"/>
      <c r="K80" s="222"/>
      <c r="L80" s="222"/>
      <c r="M80" s="213"/>
    </row>
    <row r="81" spans="1:13" x14ac:dyDescent="0.25">
      <c r="A81" s="577">
        <f t="shared" si="1"/>
        <v>56</v>
      </c>
      <c r="B81" s="43" t="s">
        <v>1111</v>
      </c>
      <c r="C81" s="13"/>
      <c r="D81" s="13"/>
      <c r="E81" s="13"/>
      <c r="F81" s="13"/>
      <c r="G81" s="13"/>
      <c r="H81" s="13"/>
      <c r="J81" s="222"/>
      <c r="K81" s="222"/>
      <c r="L81" s="222"/>
      <c r="M81" s="213"/>
    </row>
    <row r="82" spans="1:13" x14ac:dyDescent="0.25">
      <c r="A82" s="577">
        <f t="shared" si="1"/>
        <v>57</v>
      </c>
      <c r="B82" s="213"/>
      <c r="C82" s="213"/>
      <c r="D82" s="213"/>
      <c r="E82" s="213"/>
      <c r="F82" s="213"/>
      <c r="G82" s="213"/>
      <c r="H82" s="213"/>
      <c r="I82" s="213"/>
      <c r="J82" s="213"/>
      <c r="K82" s="213"/>
      <c r="L82" s="213"/>
      <c r="M82" s="213"/>
    </row>
    <row r="83" spans="1:13" x14ac:dyDescent="0.25">
      <c r="A83" s="577">
        <f t="shared" si="1"/>
        <v>58</v>
      </c>
      <c r="B83" s="550" t="s">
        <v>1067</v>
      </c>
      <c r="C83" s="213"/>
      <c r="D83" s="213"/>
      <c r="E83" s="213"/>
      <c r="F83" s="213"/>
      <c r="G83" s="213"/>
      <c r="H83" s="977">
        <v>0</v>
      </c>
      <c r="I83" s="470" t="s">
        <v>1069</v>
      </c>
      <c r="J83" s="213"/>
      <c r="K83" s="213"/>
      <c r="L83" s="213"/>
      <c r="M83" s="213"/>
    </row>
    <row r="84" spans="1:13" ht="15" x14ac:dyDescent="0.4">
      <c r="A84" s="577">
        <f t="shared" si="1"/>
        <v>59</v>
      </c>
      <c r="B84" s="466" t="s">
        <v>1068</v>
      </c>
      <c r="C84" s="213"/>
      <c r="D84" s="213"/>
      <c r="E84" s="213"/>
      <c r="F84" s="213"/>
      <c r="G84" s="213"/>
      <c r="H84" s="978">
        <v>0</v>
      </c>
      <c r="I84" s="470" t="s">
        <v>1070</v>
      </c>
      <c r="J84" s="213"/>
      <c r="K84" s="213"/>
      <c r="L84" s="213"/>
      <c r="M84" s="213"/>
    </row>
    <row r="85" spans="1:13" x14ac:dyDescent="0.25">
      <c r="A85" s="577">
        <f t="shared" si="1"/>
        <v>60</v>
      </c>
      <c r="B85" s="550" t="s">
        <v>1071</v>
      </c>
      <c r="C85" s="213"/>
      <c r="D85" s="213"/>
      <c r="E85" s="213"/>
      <c r="F85" s="213"/>
      <c r="G85" s="213"/>
      <c r="H85" s="986">
        <v>0</v>
      </c>
      <c r="I85" s="470" t="str">
        <f>"Line "&amp;A83&amp;" + Line "&amp;A84&amp;""</f>
        <v>Line 58 + Line 59</v>
      </c>
      <c r="J85" s="213"/>
      <c r="K85" s="213"/>
      <c r="L85" s="213"/>
      <c r="M85" s="213"/>
    </row>
    <row r="86" spans="1:13" x14ac:dyDescent="0.25">
      <c r="A86" s="577">
        <f t="shared" si="1"/>
        <v>61</v>
      </c>
      <c r="B86" s="550" t="s">
        <v>104</v>
      </c>
      <c r="C86" s="213"/>
      <c r="D86" s="213"/>
      <c r="E86" s="213"/>
      <c r="F86" s="213"/>
      <c r="G86" s="213"/>
      <c r="H86" s="970" t="s">
        <v>2690</v>
      </c>
      <c r="I86" s="105" t="str">
        <f>"27-Allocators, Line "&amp;'27-Allocators'!A15&amp;""</f>
        <v>27-Allocators, Line 9</v>
      </c>
      <c r="J86" s="213"/>
      <c r="K86" s="213"/>
      <c r="L86" s="213"/>
      <c r="M86" s="213"/>
    </row>
    <row r="87" spans="1:13" x14ac:dyDescent="0.25">
      <c r="A87" s="577">
        <f t="shared" si="1"/>
        <v>62</v>
      </c>
      <c r="B87" s="550" t="s">
        <v>1072</v>
      </c>
      <c r="C87" s="213"/>
      <c r="D87" s="213"/>
      <c r="E87" s="213"/>
      <c r="F87" s="213"/>
      <c r="G87" s="213"/>
      <c r="H87" s="986">
        <v>0</v>
      </c>
      <c r="I87" s="470" t="str">
        <f>"Line "&amp;A85&amp;" * Line "&amp;A86&amp;""</f>
        <v>Line 60 * Line 61</v>
      </c>
      <c r="J87" s="213"/>
      <c r="K87" s="213"/>
      <c r="L87" s="213"/>
      <c r="M87" s="213"/>
    </row>
    <row r="88" spans="1:13" x14ac:dyDescent="0.25">
      <c r="A88" s="577">
        <f t="shared" si="1"/>
        <v>63</v>
      </c>
      <c r="B88" s="550"/>
      <c r="C88" s="466"/>
      <c r="D88" s="213"/>
      <c r="E88" s="213"/>
      <c r="F88" s="213"/>
      <c r="G88" s="213"/>
      <c r="H88" s="213"/>
      <c r="I88" s="213"/>
      <c r="J88" s="213"/>
      <c r="K88" s="213"/>
      <c r="L88" s="213"/>
      <c r="M88" s="213"/>
    </row>
    <row r="89" spans="1:13" x14ac:dyDescent="0.25">
      <c r="A89" s="577">
        <f t="shared" si="1"/>
        <v>64</v>
      </c>
      <c r="B89" s="83" t="s">
        <v>1895</v>
      </c>
      <c r="C89" s="213"/>
      <c r="D89" s="213"/>
      <c r="E89" s="213"/>
      <c r="F89" s="213"/>
      <c r="G89" s="213"/>
      <c r="H89" s="213"/>
      <c r="I89" s="213"/>
      <c r="J89" s="213"/>
      <c r="K89" s="213"/>
      <c r="L89" s="213"/>
      <c r="M89" s="213"/>
    </row>
    <row r="90" spans="1:13" x14ac:dyDescent="0.25">
      <c r="A90" s="577">
        <f t="shared" si="1"/>
        <v>65</v>
      </c>
      <c r="B90" s="550"/>
      <c r="C90" s="466"/>
      <c r="D90" s="213"/>
      <c r="E90" s="213"/>
      <c r="F90" s="213"/>
      <c r="G90" s="213"/>
      <c r="H90" s="213"/>
      <c r="I90" s="213"/>
      <c r="J90" s="213"/>
      <c r="K90" s="213"/>
      <c r="L90" s="213"/>
      <c r="M90" s="213"/>
    </row>
    <row r="91" spans="1:13" x14ac:dyDescent="0.25">
      <c r="A91" s="577">
        <f t="shared" si="1"/>
        <v>66</v>
      </c>
      <c r="B91" s="550" t="s">
        <v>1894</v>
      </c>
      <c r="C91" s="213"/>
      <c r="D91" s="213"/>
      <c r="E91" s="213"/>
      <c r="F91" s="3" t="s">
        <v>194</v>
      </c>
      <c r="G91" s="3" t="s">
        <v>198</v>
      </c>
      <c r="H91" s="213"/>
      <c r="I91" s="213"/>
    </row>
    <row r="92" spans="1:13" x14ac:dyDescent="0.25">
      <c r="A92" s="577">
        <f>A91+1</f>
        <v>67</v>
      </c>
      <c r="B92" s="470" t="s">
        <v>1058</v>
      </c>
      <c r="C92" s="213"/>
      <c r="D92" s="213"/>
      <c r="E92" s="213"/>
      <c r="F92" s="986">
        <v>0</v>
      </c>
      <c r="G92" s="470" t="str">
        <f>"Line "&amp;A62&amp;", Col 12"</f>
        <v>Line 37, Col 12</v>
      </c>
      <c r="H92" s="213"/>
      <c r="I92" s="213"/>
    </row>
    <row r="93" spans="1:13" x14ac:dyDescent="0.25">
      <c r="A93" s="577">
        <f>A92+1</f>
        <v>68</v>
      </c>
      <c r="B93" s="470" t="s">
        <v>1074</v>
      </c>
      <c r="C93" s="213"/>
      <c r="D93" s="213"/>
      <c r="E93" s="213"/>
      <c r="F93" s="986">
        <v>0</v>
      </c>
      <c r="G93" s="470" t="str">
        <f>"Line "&amp;A78&amp;""</f>
        <v>Line 53</v>
      </c>
      <c r="H93" s="213"/>
      <c r="I93" s="213"/>
    </row>
    <row r="94" spans="1:13" ht="15" x14ac:dyDescent="0.4">
      <c r="A94" s="577">
        <f>A93+1</f>
        <v>69</v>
      </c>
      <c r="B94" s="470" t="s">
        <v>1073</v>
      </c>
      <c r="C94" s="213"/>
      <c r="D94" s="213"/>
      <c r="E94" s="213"/>
      <c r="F94" s="987">
        <v>0</v>
      </c>
      <c r="G94" s="470" t="str">
        <f>"Line "&amp;A87&amp;""</f>
        <v>Line 62</v>
      </c>
      <c r="H94" s="213"/>
      <c r="I94" s="213"/>
    </row>
    <row r="95" spans="1:13" x14ac:dyDescent="0.25">
      <c r="A95" s="577">
        <f>A94+1</f>
        <v>70</v>
      </c>
      <c r="B95" s="213"/>
      <c r="C95" s="213"/>
      <c r="D95" s="213"/>
      <c r="E95" s="214" t="s">
        <v>1112</v>
      </c>
      <c r="F95" s="986">
        <v>0</v>
      </c>
      <c r="G95" s="470" t="str">
        <f>"Line "&amp;A92&amp;" + Line "&amp;A93&amp;" + Line "&amp;A94&amp;""</f>
        <v>Line 67 + Line 68 + Line 69</v>
      </c>
      <c r="H95" s="213"/>
      <c r="I95" s="213"/>
    </row>
    <row r="96" spans="1:13" x14ac:dyDescent="0.25">
      <c r="A96" s="213"/>
      <c r="B96" s="1" t="s">
        <v>256</v>
      </c>
      <c r="C96" s="213"/>
      <c r="D96" s="213"/>
      <c r="E96" s="213"/>
      <c r="F96" s="213"/>
      <c r="G96" s="213"/>
      <c r="H96" s="213"/>
      <c r="I96" s="213"/>
    </row>
    <row r="97" spans="1:10" x14ac:dyDescent="0.25">
      <c r="A97" s="213"/>
      <c r="B97" s="466" t="s">
        <v>1613</v>
      </c>
      <c r="C97" s="213"/>
      <c r="D97" s="213"/>
      <c r="E97" s="213"/>
      <c r="F97" s="213"/>
      <c r="G97" s="213"/>
      <c r="H97" s="213"/>
      <c r="I97" s="213"/>
    </row>
    <row r="98" spans="1:10" x14ac:dyDescent="0.25">
      <c r="A98" s="213"/>
      <c r="B98" s="468" t="str">
        <f>"same account, times the Monthly Depreciation Rate for that account.  Monthly rate = annual rates on Line "&amp;A30&amp;" etc. divided by 12."</f>
        <v>same account, times the Monthly Depreciation Rate for that account.  Monthly rate = annual rates on Line 17a etc. divided by 12.</v>
      </c>
      <c r="C98" s="222"/>
      <c r="D98" s="222"/>
      <c r="E98" s="222"/>
      <c r="F98" s="222"/>
      <c r="G98" s="222"/>
      <c r="H98" s="222"/>
      <c r="I98" s="222"/>
      <c r="J98" s="13"/>
    </row>
    <row r="99" spans="1:10" x14ac:dyDescent="0.25">
      <c r="A99" s="213"/>
      <c r="B99" s="468" t="str">
        <f>"2) Depreciation Expense for each account is equal to the Average BOY/EOY value on Line "&amp;A69&amp;" times the"</f>
        <v>2) Depreciation Expense for each account is equal to the Average BOY/EOY value on Line 44 times the</v>
      </c>
      <c r="C99" s="222"/>
      <c r="D99" s="222"/>
      <c r="E99" s="222"/>
      <c r="F99" s="222"/>
      <c r="G99" s="222"/>
      <c r="H99" s="222"/>
      <c r="I99" s="222"/>
      <c r="J99" s="13"/>
    </row>
    <row r="100" spans="1:10" x14ac:dyDescent="0.25">
      <c r="B100" s="468" t="str">
        <f>"Depreciation Rate on Line "&amp;A73&amp;"."</f>
        <v>Depreciation Rate on Line 48.</v>
      </c>
      <c r="C100" s="13"/>
      <c r="D100" s="13"/>
      <c r="E100" s="13"/>
      <c r="F100" s="13"/>
      <c r="G100" s="13"/>
      <c r="H100" s="13"/>
      <c r="I100" s="13"/>
      <c r="J100" s="13"/>
    </row>
    <row r="101" spans="1:10" x14ac:dyDescent="0.25">
      <c r="B101" s="43" t="s">
        <v>420</v>
      </c>
      <c r="C101" s="13"/>
      <c r="D101" s="13"/>
      <c r="E101" s="13"/>
      <c r="F101" s="13"/>
      <c r="G101" s="13"/>
      <c r="H101" s="13"/>
      <c r="I101" s="13"/>
      <c r="J101" s="13"/>
    </row>
    <row r="102" spans="1:10" x14ac:dyDescent="0.25">
      <c r="B102" s="468" t="s">
        <v>2514</v>
      </c>
      <c r="C102" s="13"/>
      <c r="D102" s="13"/>
      <c r="E102" s="13"/>
      <c r="F102" s="13"/>
      <c r="G102" s="13"/>
      <c r="H102" s="13"/>
      <c r="I102" s="13"/>
      <c r="J102" s="13"/>
    </row>
    <row r="103" spans="1:10" x14ac:dyDescent="0.25">
      <c r="B103" s="468" t="s">
        <v>2515</v>
      </c>
      <c r="C103" s="13"/>
      <c r="D103" s="13"/>
      <c r="E103" s="13"/>
      <c r="F103" s="13"/>
      <c r="G103" s="13"/>
      <c r="H103" s="13"/>
      <c r="I103" s="13"/>
      <c r="J103" s="13"/>
    </row>
    <row r="104" spans="1:10" x14ac:dyDescent="0.25">
      <c r="B104" s="13" t="s">
        <v>2516</v>
      </c>
      <c r="C104" s="13"/>
      <c r="D104" s="13"/>
      <c r="E104" s="13"/>
      <c r="F104" s="13"/>
      <c r="G104" s="13"/>
      <c r="H104" s="13"/>
      <c r="I104" s="13"/>
      <c r="J104" s="13"/>
    </row>
    <row r="105" spans="1:10" x14ac:dyDescent="0.25">
      <c r="B105" s="13" t="s">
        <v>2517</v>
      </c>
      <c r="C105" s="13"/>
      <c r="D105" s="13"/>
      <c r="E105" s="13"/>
      <c r="F105" s="13"/>
      <c r="G105" s="13"/>
      <c r="H105" s="13"/>
      <c r="I105" s="13"/>
      <c r="J105" s="13"/>
    </row>
    <row r="106" spans="1:10" x14ac:dyDescent="0.25">
      <c r="B106" s="468" t="s">
        <v>2031</v>
      </c>
      <c r="C106" s="13"/>
      <c r="D106" s="13"/>
      <c r="E106" s="13"/>
      <c r="F106" s="13"/>
      <c r="G106" s="13"/>
      <c r="H106" s="13"/>
      <c r="I106" s="13"/>
      <c r="J106" s="13"/>
    </row>
    <row r="107" spans="1:10" x14ac:dyDescent="0.25">
      <c r="B107" s="468" t="str">
        <f>"for Distribution Plant - ISO on Line "&amp;A78&amp;" utilizing the weighted-average (by time) of the annual depreciation rates in effect in the Prior Year."</f>
        <v>for Distribution Plant - ISO on Line 53 utilizing the weighted-average (by time) of the annual depreciation rates in effect in the Prior Year.</v>
      </c>
      <c r="C107" s="13"/>
      <c r="D107" s="13"/>
      <c r="E107" s="13"/>
      <c r="F107" s="13"/>
      <c r="G107" s="13"/>
      <c r="H107" s="13"/>
      <c r="I107" s="13"/>
      <c r="J107" s="13"/>
    </row>
  </sheetData>
  <pageMargins left="0.7" right="0.7" top="0.75" bottom="0.75" header="0.3" footer="0.3"/>
  <pageSetup scale="60" orientation="landscape" cellComments="asDisplayed" r:id="rId1"/>
  <headerFooter>
    <oddHeader xml:space="preserve">&amp;C&amp;"Arial,Bold"Schedule 17
Depreciation Expense&amp;"Arial,Regular"
</oddHeader>
    <oddFooter>&amp;R17-Depreciation</oddFooter>
  </headerFooter>
  <rowBreaks count="1" manualBreakCount="1">
    <brk id="63"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heetViews>
  <sheetFormatPr defaultRowHeight="13.2" x14ac:dyDescent="0.25"/>
  <cols>
    <col min="1" max="1" width="4.6640625" customWidth="1"/>
    <col min="4" max="4" width="38.6640625" customWidth="1"/>
    <col min="5" max="7" width="9.109375" style="466"/>
  </cols>
  <sheetData>
    <row r="1" spans="1:7" x14ac:dyDescent="0.25">
      <c r="A1" s="382" t="s">
        <v>1113</v>
      </c>
      <c r="B1" s="466"/>
      <c r="C1" s="466"/>
      <c r="D1" s="466"/>
    </row>
    <row r="2" spans="1:7" x14ac:dyDescent="0.25">
      <c r="A2" s="466"/>
      <c r="B2" s="466"/>
      <c r="C2" s="466"/>
      <c r="D2" s="466"/>
    </row>
    <row r="3" spans="1:7" x14ac:dyDescent="0.25">
      <c r="A3" s="466"/>
      <c r="B3" s="382" t="s">
        <v>351</v>
      </c>
      <c r="C3" s="466"/>
      <c r="D3" s="466"/>
      <c r="E3" s="577" t="s">
        <v>414</v>
      </c>
      <c r="F3" s="577"/>
      <c r="G3" s="577"/>
    </row>
    <row r="4" spans="1:7" x14ac:dyDescent="0.25">
      <c r="A4" s="466"/>
      <c r="B4" s="466"/>
      <c r="C4" s="216" t="s">
        <v>12</v>
      </c>
      <c r="D4" s="466"/>
      <c r="E4" s="577" t="s">
        <v>1114</v>
      </c>
      <c r="F4" s="4" t="s">
        <v>1115</v>
      </c>
      <c r="G4" s="4"/>
    </row>
    <row r="5" spans="1:7" x14ac:dyDescent="0.25">
      <c r="A5" s="49" t="s">
        <v>360</v>
      </c>
      <c r="B5" s="466"/>
      <c r="C5" s="343" t="s">
        <v>110</v>
      </c>
      <c r="D5" s="343" t="s">
        <v>111</v>
      </c>
      <c r="E5" s="3" t="s">
        <v>1116</v>
      </c>
      <c r="F5" s="3" t="s">
        <v>1117</v>
      </c>
      <c r="G5" s="3" t="s">
        <v>215</v>
      </c>
    </row>
    <row r="6" spans="1:7" ht="15" customHeight="1" x14ac:dyDescent="0.25">
      <c r="A6" s="577">
        <v>1</v>
      </c>
      <c r="B6" s="466"/>
      <c r="C6" s="729">
        <v>350.1</v>
      </c>
      <c r="D6" s="470" t="s">
        <v>1118</v>
      </c>
      <c r="E6" s="514">
        <v>0</v>
      </c>
      <c r="F6" s="514">
        <v>0</v>
      </c>
      <c r="G6" s="514">
        <v>0</v>
      </c>
    </row>
    <row r="7" spans="1:7" ht="15" customHeight="1" x14ac:dyDescent="0.25">
      <c r="A7" s="577">
        <f>A6+1</f>
        <v>2</v>
      </c>
      <c r="B7" s="466"/>
      <c r="C7" s="729">
        <v>350.2</v>
      </c>
      <c r="D7" s="470" t="s">
        <v>1119</v>
      </c>
      <c r="E7" s="514">
        <v>1.66E-2</v>
      </c>
      <c r="F7" s="514">
        <v>0</v>
      </c>
      <c r="G7" s="514">
        <v>1.66E-2</v>
      </c>
    </row>
    <row r="8" spans="1:7" x14ac:dyDescent="0.25">
      <c r="A8" s="577">
        <f t="shared" ref="A8:A16" si="0">A7+1</f>
        <v>3</v>
      </c>
      <c r="B8" s="466"/>
      <c r="C8" s="729">
        <v>352</v>
      </c>
      <c r="D8" s="470" t="s">
        <v>1120</v>
      </c>
      <c r="E8" s="514">
        <v>1.7999999999999999E-2</v>
      </c>
      <c r="F8" s="514">
        <v>7.7000000000000002E-3</v>
      </c>
      <c r="G8" s="514">
        <v>2.5700000000000001E-2</v>
      </c>
    </row>
    <row r="9" spans="1:7" x14ac:dyDescent="0.25">
      <c r="A9" s="577">
        <f t="shared" si="0"/>
        <v>4</v>
      </c>
      <c r="B9" s="466"/>
      <c r="C9" s="729">
        <v>353</v>
      </c>
      <c r="D9" s="470" t="s">
        <v>1121</v>
      </c>
      <c r="E9" s="514">
        <v>2.1999999999999999E-2</v>
      </c>
      <c r="F9" s="514">
        <v>2.7000000000000001E-3</v>
      </c>
      <c r="G9" s="514">
        <v>2.47E-2</v>
      </c>
    </row>
    <row r="10" spans="1:7" x14ac:dyDescent="0.25">
      <c r="A10" s="577">
        <f t="shared" si="0"/>
        <v>5</v>
      </c>
      <c r="B10" s="466"/>
      <c r="C10" s="729">
        <v>354</v>
      </c>
      <c r="D10" s="470" t="s">
        <v>1330</v>
      </c>
      <c r="E10" s="514">
        <v>1.35E-2</v>
      </c>
      <c r="F10" s="514">
        <v>1.09E-2</v>
      </c>
      <c r="G10" s="514">
        <v>2.4400000000000002E-2</v>
      </c>
    </row>
    <row r="11" spans="1:7" x14ac:dyDescent="0.25">
      <c r="A11" s="577">
        <f t="shared" si="0"/>
        <v>6</v>
      </c>
      <c r="B11" s="466"/>
      <c r="C11" s="729">
        <v>355</v>
      </c>
      <c r="D11" s="470" t="s">
        <v>1122</v>
      </c>
      <c r="E11" s="514">
        <v>0.02</v>
      </c>
      <c r="F11" s="514">
        <v>1.67E-2</v>
      </c>
      <c r="G11" s="514">
        <v>3.6700000000000003E-2</v>
      </c>
    </row>
    <row r="12" spans="1:7" x14ac:dyDescent="0.25">
      <c r="A12" s="577">
        <f t="shared" si="0"/>
        <v>7</v>
      </c>
      <c r="B12" s="466"/>
      <c r="C12" s="729">
        <v>356</v>
      </c>
      <c r="D12" s="470" t="s">
        <v>1123</v>
      </c>
      <c r="E12" s="514">
        <v>0.02</v>
      </c>
      <c r="F12" s="514">
        <v>1.0500000000000001E-2</v>
      </c>
      <c r="G12" s="514">
        <v>3.0499999999999999E-2</v>
      </c>
    </row>
    <row r="13" spans="1:7" x14ac:dyDescent="0.25">
      <c r="A13" s="577">
        <f t="shared" si="0"/>
        <v>8</v>
      </c>
      <c r="B13" s="466"/>
      <c r="C13" s="729">
        <v>357</v>
      </c>
      <c r="D13" s="470" t="s">
        <v>1124</v>
      </c>
      <c r="E13" s="514">
        <v>1.6500000000000001E-2</v>
      </c>
      <c r="F13" s="514">
        <v>0</v>
      </c>
      <c r="G13" s="514">
        <v>1.6500000000000001E-2</v>
      </c>
    </row>
    <row r="14" spans="1:7" x14ac:dyDescent="0.25">
      <c r="A14" s="577">
        <f t="shared" si="0"/>
        <v>9</v>
      </c>
      <c r="B14" s="466"/>
      <c r="C14" s="729">
        <v>358</v>
      </c>
      <c r="D14" s="470" t="s">
        <v>1125</v>
      </c>
      <c r="E14" s="514">
        <v>3.2599999999999997E-2</v>
      </c>
      <c r="F14" s="514">
        <v>6.1000000000000004E-3</v>
      </c>
      <c r="G14" s="514">
        <v>3.8699999999999998E-2</v>
      </c>
    </row>
    <row r="15" spans="1:7" x14ac:dyDescent="0.25">
      <c r="A15" s="577">
        <f t="shared" si="0"/>
        <v>10</v>
      </c>
      <c r="B15" s="466"/>
      <c r="C15" s="729">
        <v>359</v>
      </c>
      <c r="D15" s="470" t="s">
        <v>1126</v>
      </c>
      <c r="E15" s="514">
        <v>1.5599999999999999E-2</v>
      </c>
      <c r="F15" s="514">
        <v>0</v>
      </c>
      <c r="G15" s="514">
        <v>1.5599999999999999E-2</v>
      </c>
    </row>
    <row r="16" spans="1:7" x14ac:dyDescent="0.25">
      <c r="A16" s="577">
        <f t="shared" si="0"/>
        <v>11</v>
      </c>
      <c r="B16" s="466"/>
      <c r="C16" s="466"/>
      <c r="D16" s="466"/>
    </row>
    <row r="17" spans="1:7" x14ac:dyDescent="0.25">
      <c r="A17" s="466"/>
      <c r="B17" s="382" t="s">
        <v>352</v>
      </c>
      <c r="C17" s="466"/>
      <c r="D17" s="466"/>
      <c r="E17" s="577" t="s">
        <v>414</v>
      </c>
      <c r="F17" s="577"/>
      <c r="G17" s="577"/>
    </row>
    <row r="18" spans="1:7" x14ac:dyDescent="0.25">
      <c r="A18" s="466"/>
      <c r="B18" s="466"/>
      <c r="C18" s="216" t="s">
        <v>12</v>
      </c>
      <c r="D18" s="466"/>
      <c r="E18" s="577" t="s">
        <v>1114</v>
      </c>
      <c r="F18" s="4" t="s">
        <v>1115</v>
      </c>
      <c r="G18" s="4"/>
    </row>
    <row r="19" spans="1:7" x14ac:dyDescent="0.25">
      <c r="A19" s="466"/>
      <c r="B19" s="466"/>
      <c r="C19" s="343" t="s">
        <v>110</v>
      </c>
      <c r="D19" s="343" t="s">
        <v>111</v>
      </c>
      <c r="E19" s="3" t="s">
        <v>1116</v>
      </c>
      <c r="F19" s="3" t="s">
        <v>1117</v>
      </c>
      <c r="G19" s="3" t="s">
        <v>215</v>
      </c>
    </row>
    <row r="20" spans="1:7" x14ac:dyDescent="0.25">
      <c r="A20" s="577">
        <f>A16+1</f>
        <v>12</v>
      </c>
      <c r="B20" s="466"/>
      <c r="C20" s="466">
        <v>360</v>
      </c>
      <c r="D20" s="470" t="s">
        <v>1127</v>
      </c>
      <c r="E20" s="880">
        <v>1.67E-2</v>
      </c>
      <c r="F20" s="880">
        <v>0</v>
      </c>
      <c r="G20" s="880">
        <v>1.67E-2</v>
      </c>
    </row>
    <row r="21" spans="1:7" x14ac:dyDescent="0.25">
      <c r="A21" s="577">
        <f>A20+1</f>
        <v>13</v>
      </c>
      <c r="B21" s="466"/>
      <c r="C21" s="466">
        <v>361</v>
      </c>
      <c r="D21" s="470" t="s">
        <v>1120</v>
      </c>
      <c r="E21" s="880">
        <v>2.3300000000000001E-2</v>
      </c>
      <c r="F21" s="880">
        <v>7.1000000000000004E-3</v>
      </c>
      <c r="G21" s="880">
        <v>3.04E-2</v>
      </c>
    </row>
    <row r="22" spans="1:7" x14ac:dyDescent="0.25">
      <c r="A22" s="577">
        <f>A21+1</f>
        <v>14</v>
      </c>
      <c r="B22" s="466"/>
      <c r="C22" s="466">
        <v>362</v>
      </c>
      <c r="D22" s="470" t="s">
        <v>1121</v>
      </c>
      <c r="E22" s="880">
        <v>2.1700000000000001E-2</v>
      </c>
      <c r="F22" s="880">
        <v>9.5999999999999992E-3</v>
      </c>
      <c r="G22" s="880">
        <v>3.1300000000000001E-2</v>
      </c>
    </row>
    <row r="23" spans="1:7" x14ac:dyDescent="0.25">
      <c r="A23" s="466"/>
      <c r="B23" s="466"/>
      <c r="C23" s="466"/>
      <c r="D23" s="466"/>
    </row>
    <row r="24" spans="1:7" x14ac:dyDescent="0.25">
      <c r="A24" s="466"/>
      <c r="B24" s="382" t="s">
        <v>1128</v>
      </c>
      <c r="C24" s="466"/>
      <c r="D24" s="466"/>
      <c r="E24" s="577" t="s">
        <v>414</v>
      </c>
    </row>
    <row r="25" spans="1:7" x14ac:dyDescent="0.25">
      <c r="A25" s="466"/>
      <c r="B25" s="466"/>
      <c r="C25" s="216" t="s">
        <v>12</v>
      </c>
      <c r="D25" s="466"/>
      <c r="E25" s="577" t="s">
        <v>1114</v>
      </c>
      <c r="F25" s="4" t="s">
        <v>1115</v>
      </c>
      <c r="G25" s="4"/>
    </row>
    <row r="26" spans="1:7" x14ac:dyDescent="0.25">
      <c r="A26" s="466"/>
      <c r="B26" s="466"/>
      <c r="C26" s="343" t="s">
        <v>110</v>
      </c>
      <c r="D26" s="343" t="s">
        <v>111</v>
      </c>
      <c r="E26" s="3" t="s">
        <v>1116</v>
      </c>
      <c r="F26" s="3" t="s">
        <v>1117</v>
      </c>
      <c r="G26" s="3" t="s">
        <v>215</v>
      </c>
    </row>
    <row r="27" spans="1:7" x14ac:dyDescent="0.25">
      <c r="A27" s="577">
        <f>A22+1</f>
        <v>15</v>
      </c>
      <c r="B27" s="466"/>
      <c r="C27" s="466">
        <v>389</v>
      </c>
      <c r="D27" s="470" t="s">
        <v>1127</v>
      </c>
      <c r="E27" s="880">
        <v>1.67E-2</v>
      </c>
      <c r="F27" s="880">
        <v>0</v>
      </c>
      <c r="G27" s="880">
        <v>1.67E-2</v>
      </c>
    </row>
    <row r="28" spans="1:7" x14ac:dyDescent="0.25">
      <c r="A28" s="577">
        <f t="shared" ref="A28:A42" si="1">A27+1</f>
        <v>16</v>
      </c>
      <c r="B28" s="466"/>
      <c r="C28" s="466">
        <v>390</v>
      </c>
      <c r="D28" s="470" t="s">
        <v>1120</v>
      </c>
      <c r="E28" s="880">
        <v>2.41E-2</v>
      </c>
      <c r="F28" s="880">
        <v>3.3E-3</v>
      </c>
      <c r="G28" s="880">
        <v>2.7400000000000001E-2</v>
      </c>
    </row>
    <row r="29" spans="1:7" x14ac:dyDescent="0.25">
      <c r="A29" s="577">
        <f t="shared" si="1"/>
        <v>17</v>
      </c>
      <c r="B29" s="466"/>
      <c r="C29" s="466">
        <v>391.1</v>
      </c>
      <c r="D29" s="880" t="s">
        <v>1129</v>
      </c>
      <c r="E29" s="880">
        <f>G29-F29</f>
        <v>0.05</v>
      </c>
      <c r="F29" s="880">
        <v>0</v>
      </c>
      <c r="G29" s="880">
        <v>0.05</v>
      </c>
    </row>
    <row r="30" spans="1:7" x14ac:dyDescent="0.25">
      <c r="A30" s="577">
        <f t="shared" si="1"/>
        <v>18</v>
      </c>
      <c r="B30" s="466"/>
      <c r="C30" s="466">
        <v>391.5</v>
      </c>
      <c r="D30" s="880" t="s">
        <v>1810</v>
      </c>
      <c r="E30" s="880">
        <f t="shared" ref="E30:E53" si="2">G30-F30</f>
        <v>0.2</v>
      </c>
      <c r="F30" s="880">
        <v>0</v>
      </c>
      <c r="G30" s="880">
        <v>0.2</v>
      </c>
    </row>
    <row r="31" spans="1:7" x14ac:dyDescent="0.25">
      <c r="A31" s="577">
        <f t="shared" si="1"/>
        <v>19</v>
      </c>
      <c r="B31" s="466"/>
      <c r="C31" s="466">
        <v>391.6</v>
      </c>
      <c r="D31" s="880" t="s">
        <v>1811</v>
      </c>
      <c r="E31" s="880">
        <f t="shared" si="2"/>
        <v>0.2</v>
      </c>
      <c r="F31" s="880">
        <v>0</v>
      </c>
      <c r="G31" s="880">
        <v>0.2</v>
      </c>
    </row>
    <row r="32" spans="1:7" x14ac:dyDescent="0.25">
      <c r="A32" s="577">
        <f t="shared" si="1"/>
        <v>20</v>
      </c>
      <c r="B32" s="466"/>
      <c r="C32" s="466">
        <v>391.2</v>
      </c>
      <c r="D32" s="880" t="s">
        <v>1812</v>
      </c>
      <c r="E32" s="880">
        <f t="shared" si="2"/>
        <v>0.2</v>
      </c>
      <c r="F32" s="880">
        <v>0</v>
      </c>
      <c r="G32" s="880">
        <v>0.2</v>
      </c>
    </row>
    <row r="33" spans="1:11" x14ac:dyDescent="0.25">
      <c r="A33" s="577">
        <f t="shared" si="1"/>
        <v>21</v>
      </c>
      <c r="B33" s="466"/>
      <c r="C33" s="466">
        <v>391.3</v>
      </c>
      <c r="D33" s="880" t="s">
        <v>1813</v>
      </c>
      <c r="E33" s="880">
        <f t="shared" si="2"/>
        <v>0.2</v>
      </c>
      <c r="F33" s="880">
        <v>0</v>
      </c>
      <c r="G33" s="880">
        <v>0.2</v>
      </c>
    </row>
    <row r="34" spans="1:11" x14ac:dyDescent="0.25">
      <c r="A34" s="577">
        <f t="shared" si="1"/>
        <v>22</v>
      </c>
      <c r="B34" s="466"/>
      <c r="C34" s="464">
        <v>391.7</v>
      </c>
      <c r="D34" s="880" t="s">
        <v>1814</v>
      </c>
      <c r="E34" s="880">
        <f t="shared" si="2"/>
        <v>0.2</v>
      </c>
      <c r="F34" s="880">
        <v>0</v>
      </c>
      <c r="G34" s="880">
        <v>0.2</v>
      </c>
    </row>
    <row r="35" spans="1:11" x14ac:dyDescent="0.25">
      <c r="A35" s="577">
        <f t="shared" si="1"/>
        <v>23</v>
      </c>
      <c r="B35" s="466"/>
      <c r="C35" s="464">
        <v>391.4</v>
      </c>
      <c r="D35" s="880" t="s">
        <v>1815</v>
      </c>
      <c r="E35" s="880">
        <f t="shared" si="2"/>
        <v>0.1429</v>
      </c>
      <c r="F35" s="880">
        <v>0</v>
      </c>
      <c r="G35" s="880">
        <v>0.1429</v>
      </c>
    </row>
    <row r="36" spans="1:11" x14ac:dyDescent="0.25">
      <c r="A36" s="577">
        <f t="shared" si="1"/>
        <v>24</v>
      </c>
      <c r="B36" s="466"/>
      <c r="C36" s="466">
        <v>391.4</v>
      </c>
      <c r="D36" s="880" t="s">
        <v>1816</v>
      </c>
      <c r="E36" s="880">
        <f t="shared" si="2"/>
        <v>0.1</v>
      </c>
      <c r="F36" s="880">
        <v>0</v>
      </c>
      <c r="G36" s="880">
        <v>0.1</v>
      </c>
    </row>
    <row r="37" spans="1:11" x14ac:dyDescent="0.25">
      <c r="A37" s="577">
        <f t="shared" si="1"/>
        <v>25</v>
      </c>
      <c r="B37" s="466"/>
      <c r="C37" s="464">
        <v>391.4</v>
      </c>
      <c r="D37" s="880" t="s">
        <v>1817</v>
      </c>
      <c r="E37" s="880">
        <f t="shared" si="2"/>
        <v>6.6699999999999995E-2</v>
      </c>
      <c r="F37" s="880">
        <v>0</v>
      </c>
      <c r="G37" s="880">
        <v>6.6699999999999995E-2</v>
      </c>
    </row>
    <row r="38" spans="1:11" x14ac:dyDescent="0.25">
      <c r="A38" s="577">
        <f t="shared" si="1"/>
        <v>26</v>
      </c>
      <c r="B38" s="466"/>
      <c r="C38" s="464">
        <v>391.4</v>
      </c>
      <c r="D38" s="880" t="s">
        <v>1818</v>
      </c>
      <c r="E38" s="880">
        <f t="shared" si="2"/>
        <v>0.05</v>
      </c>
      <c r="F38" s="880">
        <v>0</v>
      </c>
      <c r="G38" s="880">
        <v>0.05</v>
      </c>
    </row>
    <row r="39" spans="1:11" ht="14.4" x14ac:dyDescent="0.3">
      <c r="A39" s="577">
        <f t="shared" si="1"/>
        <v>27</v>
      </c>
      <c r="B39" s="466"/>
      <c r="C39" s="464">
        <v>391.4</v>
      </c>
      <c r="D39" s="880" t="s">
        <v>1819</v>
      </c>
      <c r="E39" s="880">
        <f t="shared" si="2"/>
        <v>0.04</v>
      </c>
      <c r="F39" s="880">
        <v>0</v>
      </c>
      <c r="G39" s="880">
        <v>0.04</v>
      </c>
      <c r="I39" s="345"/>
      <c r="J39" s="345"/>
      <c r="K39" s="345"/>
    </row>
    <row r="40" spans="1:11" ht="14.4" x14ac:dyDescent="0.3">
      <c r="A40" s="577">
        <f t="shared" si="1"/>
        <v>28</v>
      </c>
      <c r="B40" s="466"/>
      <c r="C40" s="464">
        <v>393</v>
      </c>
      <c r="D40" s="466" t="s">
        <v>1820</v>
      </c>
      <c r="E40" s="880">
        <f t="shared" si="2"/>
        <v>0.05</v>
      </c>
      <c r="F40" s="880">
        <v>0</v>
      </c>
      <c r="G40" s="880">
        <v>0.05</v>
      </c>
      <c r="I40" s="345"/>
      <c r="J40" s="345"/>
      <c r="K40" s="345"/>
    </row>
    <row r="41" spans="1:11" ht="14.4" x14ac:dyDescent="0.3">
      <c r="A41" s="577">
        <f t="shared" si="1"/>
        <v>29</v>
      </c>
      <c r="B41" s="466"/>
      <c r="C41" s="464">
        <v>395</v>
      </c>
      <c r="D41" s="466" t="s">
        <v>1821</v>
      </c>
      <c r="E41" s="880">
        <f t="shared" si="2"/>
        <v>6.6699999999999995E-2</v>
      </c>
      <c r="F41" s="880">
        <v>0</v>
      </c>
      <c r="G41" s="880">
        <v>6.6699999999999995E-2</v>
      </c>
      <c r="I41" s="345"/>
      <c r="J41" s="345"/>
      <c r="K41" s="345"/>
    </row>
    <row r="42" spans="1:11" ht="14.4" x14ac:dyDescent="0.3">
      <c r="A42" s="577">
        <f t="shared" si="1"/>
        <v>30</v>
      </c>
      <c r="B42" s="466"/>
      <c r="C42" s="464">
        <v>398</v>
      </c>
      <c r="D42" s="466" t="s">
        <v>1822</v>
      </c>
      <c r="E42" s="880">
        <f t="shared" si="2"/>
        <v>0.05</v>
      </c>
      <c r="F42" s="880">
        <v>0</v>
      </c>
      <c r="G42" s="880">
        <v>0.05</v>
      </c>
      <c r="I42" s="345"/>
      <c r="J42" s="345"/>
      <c r="K42" s="345"/>
    </row>
    <row r="43" spans="1:11" ht="14.4" x14ac:dyDescent="0.3">
      <c r="A43" s="577">
        <f>A42+1</f>
        <v>31</v>
      </c>
      <c r="B43" s="466"/>
      <c r="C43" s="464">
        <v>397</v>
      </c>
      <c r="D43" s="466" t="s">
        <v>2790</v>
      </c>
      <c r="E43" s="880">
        <v>0.2</v>
      </c>
      <c r="F43" s="880">
        <v>0</v>
      </c>
      <c r="G43" s="880">
        <v>0.2</v>
      </c>
      <c r="I43" s="345"/>
      <c r="J43" s="345"/>
      <c r="K43" s="345"/>
    </row>
    <row r="44" spans="1:11" ht="14.4" x14ac:dyDescent="0.3">
      <c r="A44" s="577">
        <f t="shared" ref="A44:A53" si="3">A43+1</f>
        <v>32</v>
      </c>
      <c r="B44" s="466"/>
      <c r="C44" s="464">
        <v>397</v>
      </c>
      <c r="D44" s="466" t="s">
        <v>1823</v>
      </c>
      <c r="E44" s="880">
        <v>0.1429</v>
      </c>
      <c r="F44" s="880">
        <v>0</v>
      </c>
      <c r="G44" s="880">
        <v>0.1429</v>
      </c>
      <c r="I44" s="345"/>
      <c r="J44" s="345"/>
      <c r="K44" s="345"/>
    </row>
    <row r="45" spans="1:11" ht="14.4" x14ac:dyDescent="0.3">
      <c r="A45" s="577">
        <f t="shared" si="3"/>
        <v>33</v>
      </c>
      <c r="B45" s="466"/>
      <c r="C45" s="464">
        <v>397</v>
      </c>
      <c r="D45" s="466" t="s">
        <v>1824</v>
      </c>
      <c r="E45" s="880">
        <f t="shared" si="2"/>
        <v>0.1</v>
      </c>
      <c r="F45" s="880">
        <v>0</v>
      </c>
      <c r="G45" s="880">
        <v>0.1</v>
      </c>
      <c r="I45" s="345"/>
      <c r="J45" s="345"/>
      <c r="K45" s="345"/>
    </row>
    <row r="46" spans="1:11" ht="14.4" x14ac:dyDescent="0.3">
      <c r="A46" s="577">
        <f t="shared" si="3"/>
        <v>34</v>
      </c>
      <c r="B46" s="466"/>
      <c r="C46" s="464">
        <v>397</v>
      </c>
      <c r="D46" s="466" t="s">
        <v>1825</v>
      </c>
      <c r="E46" s="880">
        <v>6.6699999999999995E-2</v>
      </c>
      <c r="F46" s="880">
        <v>0</v>
      </c>
      <c r="G46" s="880">
        <v>6.6699999999999995E-2</v>
      </c>
      <c r="I46" s="345"/>
      <c r="J46" s="345"/>
      <c r="K46" s="345"/>
    </row>
    <row r="47" spans="1:11" ht="14.4" x14ac:dyDescent="0.3">
      <c r="A47" s="577">
        <f t="shared" si="3"/>
        <v>35</v>
      </c>
      <c r="B47" s="466"/>
      <c r="C47" s="464">
        <v>397</v>
      </c>
      <c r="D47" s="466" t="s">
        <v>2791</v>
      </c>
      <c r="E47" s="1036">
        <v>0.05</v>
      </c>
      <c r="F47" s="880">
        <v>0</v>
      </c>
      <c r="G47" s="1036">
        <v>0.05</v>
      </c>
      <c r="I47" s="345"/>
      <c r="J47" s="345"/>
      <c r="K47" s="345"/>
    </row>
    <row r="48" spans="1:11" x14ac:dyDescent="0.25">
      <c r="A48" s="577">
        <f t="shared" si="3"/>
        <v>36</v>
      </c>
      <c r="B48" s="466"/>
      <c r="C48" s="464">
        <v>397</v>
      </c>
      <c r="D48" s="466" t="s">
        <v>1826</v>
      </c>
      <c r="E48" s="880">
        <v>5.9400000000000001E-2</v>
      </c>
      <c r="F48" s="880">
        <v>1.1999999999999999E-3</v>
      </c>
      <c r="G48" s="880">
        <v>6.0600000000000001E-2</v>
      </c>
    </row>
    <row r="49" spans="1:7" x14ac:dyDescent="0.25">
      <c r="A49" s="577">
        <f t="shared" si="3"/>
        <v>37</v>
      </c>
      <c r="B49" s="466"/>
      <c r="C49" s="464">
        <v>397</v>
      </c>
      <c r="D49" s="466" t="s">
        <v>1827</v>
      </c>
      <c r="E49" s="880">
        <v>3.6499999999999998E-2</v>
      </c>
      <c r="F49" s="880">
        <v>1E-3</v>
      </c>
      <c r="G49" s="880">
        <v>3.7499999999999999E-2</v>
      </c>
    </row>
    <row r="50" spans="1:7" x14ac:dyDescent="0.25">
      <c r="A50" s="577">
        <f t="shared" si="3"/>
        <v>38</v>
      </c>
      <c r="B50" s="466"/>
      <c r="C50" s="464">
        <v>392</v>
      </c>
      <c r="D50" s="466" t="s">
        <v>1828</v>
      </c>
      <c r="E50" s="880">
        <f t="shared" si="2"/>
        <v>0.1429</v>
      </c>
      <c r="F50" s="880">
        <v>0</v>
      </c>
      <c r="G50" s="880">
        <v>0.1429</v>
      </c>
    </row>
    <row r="51" spans="1:7" x14ac:dyDescent="0.25">
      <c r="A51" s="577">
        <f t="shared" si="3"/>
        <v>39</v>
      </c>
      <c r="B51" s="466"/>
      <c r="C51" s="464">
        <v>394.4</v>
      </c>
      <c r="D51" s="466" t="s">
        <v>1829</v>
      </c>
      <c r="E51" s="880">
        <f t="shared" si="2"/>
        <v>0.1</v>
      </c>
      <c r="F51" s="880">
        <v>0</v>
      </c>
      <c r="G51" s="880">
        <v>0.1</v>
      </c>
    </row>
    <row r="52" spans="1:7" x14ac:dyDescent="0.25">
      <c r="A52" s="577">
        <f t="shared" si="3"/>
        <v>40</v>
      </c>
      <c r="B52" s="466"/>
      <c r="C52" s="464">
        <v>394.5</v>
      </c>
      <c r="D52" s="466" t="s">
        <v>1830</v>
      </c>
      <c r="E52" s="880">
        <f t="shared" si="2"/>
        <v>0.1</v>
      </c>
      <c r="F52" s="880">
        <v>0</v>
      </c>
      <c r="G52" s="880">
        <v>0.1</v>
      </c>
    </row>
    <row r="53" spans="1:7" x14ac:dyDescent="0.25">
      <c r="A53" s="577">
        <f t="shared" si="3"/>
        <v>41</v>
      </c>
      <c r="B53" s="466"/>
      <c r="C53" s="464">
        <v>396</v>
      </c>
      <c r="D53" s="466" t="s">
        <v>1831</v>
      </c>
      <c r="E53" s="880">
        <f t="shared" si="2"/>
        <v>6.6699999999999995E-2</v>
      </c>
      <c r="F53" s="880">
        <v>0</v>
      </c>
      <c r="G53" s="880">
        <v>6.6699999999999995E-2</v>
      </c>
    </row>
    <row r="54" spans="1:7" x14ac:dyDescent="0.25">
      <c r="A54" s="466"/>
      <c r="B54" s="466"/>
      <c r="C54" s="466"/>
      <c r="D54" s="466"/>
    </row>
    <row r="55" spans="1:7" x14ac:dyDescent="0.25">
      <c r="A55" s="466"/>
      <c r="B55" s="382" t="s">
        <v>1130</v>
      </c>
      <c r="C55" s="466"/>
      <c r="D55" s="466"/>
      <c r="E55" s="577" t="s">
        <v>414</v>
      </c>
    </row>
    <row r="56" spans="1:7" x14ac:dyDescent="0.25">
      <c r="A56" s="466"/>
      <c r="B56" s="466"/>
      <c r="C56" s="216" t="s">
        <v>12</v>
      </c>
      <c r="D56" s="466"/>
      <c r="E56" s="577" t="s">
        <v>1114</v>
      </c>
      <c r="F56" s="4" t="s">
        <v>1115</v>
      </c>
      <c r="G56" s="4"/>
    </row>
    <row r="57" spans="1:7" x14ac:dyDescent="0.25">
      <c r="A57" s="466"/>
      <c r="B57" s="466"/>
      <c r="C57" s="343" t="s">
        <v>110</v>
      </c>
      <c r="D57" s="343" t="s">
        <v>111</v>
      </c>
      <c r="E57" s="3" t="s">
        <v>1116</v>
      </c>
      <c r="F57" s="3" t="s">
        <v>1117</v>
      </c>
      <c r="G57" s="3" t="s">
        <v>215</v>
      </c>
    </row>
    <row r="58" spans="1:7" x14ac:dyDescent="0.25">
      <c r="A58" s="577">
        <f>A53+1</f>
        <v>42</v>
      </c>
      <c r="B58" s="466"/>
      <c r="C58" s="464">
        <v>302</v>
      </c>
      <c r="D58" s="470" t="s">
        <v>1131</v>
      </c>
      <c r="E58" s="880">
        <v>2.52E-2</v>
      </c>
      <c r="F58" s="880">
        <v>0</v>
      </c>
      <c r="G58" s="880">
        <v>2.52E-2</v>
      </c>
    </row>
    <row r="59" spans="1:7" x14ac:dyDescent="0.25">
      <c r="A59" s="577">
        <f t="shared" ref="A59:A64" si="4">A58+1</f>
        <v>43</v>
      </c>
      <c r="B59" s="466"/>
      <c r="C59" s="464">
        <v>303</v>
      </c>
      <c r="D59" s="470" t="s">
        <v>1132</v>
      </c>
      <c r="E59" s="880">
        <v>2.5000000000000001E-2</v>
      </c>
      <c r="F59" s="880">
        <v>0</v>
      </c>
      <c r="G59" s="880">
        <v>2.5000000000000001E-2</v>
      </c>
    </row>
    <row r="60" spans="1:7" x14ac:dyDescent="0.25">
      <c r="A60" s="577">
        <f t="shared" si="4"/>
        <v>44</v>
      </c>
      <c r="B60" s="466"/>
      <c r="C60" s="464">
        <v>301</v>
      </c>
      <c r="D60" s="470" t="s">
        <v>1133</v>
      </c>
      <c r="E60" s="880">
        <v>0.05</v>
      </c>
      <c r="F60" s="880">
        <v>0</v>
      </c>
      <c r="G60" s="880">
        <v>0.05</v>
      </c>
    </row>
    <row r="61" spans="1:7" x14ac:dyDescent="0.25">
      <c r="A61" s="577">
        <f t="shared" si="4"/>
        <v>45</v>
      </c>
      <c r="B61" s="466"/>
      <c r="C61" s="464">
        <v>303</v>
      </c>
      <c r="D61" s="470" t="s">
        <v>1134</v>
      </c>
      <c r="E61" s="880">
        <v>0.20580000000000001</v>
      </c>
      <c r="F61" s="880">
        <v>0</v>
      </c>
      <c r="G61" s="880">
        <v>0.20580000000000001</v>
      </c>
    </row>
    <row r="62" spans="1:7" x14ac:dyDescent="0.25">
      <c r="A62" s="577">
        <f t="shared" si="4"/>
        <v>46</v>
      </c>
      <c r="B62" s="466"/>
      <c r="C62" s="464">
        <v>303</v>
      </c>
      <c r="D62" s="470" t="s">
        <v>1135</v>
      </c>
      <c r="E62" s="880">
        <v>0.14929999999999999</v>
      </c>
      <c r="F62" s="880">
        <v>0</v>
      </c>
      <c r="G62" s="880">
        <v>0.14929999999999999</v>
      </c>
    </row>
    <row r="63" spans="1:7" x14ac:dyDescent="0.25">
      <c r="A63" s="577">
        <f t="shared" si="4"/>
        <v>47</v>
      </c>
      <c r="B63" s="466"/>
      <c r="C63" s="464">
        <v>303</v>
      </c>
      <c r="D63" s="470" t="s">
        <v>1136</v>
      </c>
      <c r="E63" s="880">
        <v>0.1245</v>
      </c>
      <c r="F63" s="880">
        <v>0</v>
      </c>
      <c r="G63" s="880">
        <v>0.1245</v>
      </c>
    </row>
    <row r="64" spans="1:7" x14ac:dyDescent="0.25">
      <c r="A64" s="577">
        <f t="shared" si="4"/>
        <v>48</v>
      </c>
      <c r="B64" s="466"/>
      <c r="C64" s="464">
        <v>303</v>
      </c>
      <c r="D64" s="470" t="s">
        <v>1137</v>
      </c>
      <c r="E64" s="880">
        <v>6.7799999999999999E-2</v>
      </c>
      <c r="F64" s="880">
        <v>0</v>
      </c>
      <c r="G64" s="880">
        <v>6.7799999999999999E-2</v>
      </c>
    </row>
    <row r="65" spans="1:6" x14ac:dyDescent="0.25">
      <c r="A65" s="466"/>
      <c r="B65" s="468" t="s">
        <v>1982</v>
      </c>
      <c r="C65" s="468"/>
      <c r="D65" s="468"/>
      <c r="E65" s="468"/>
      <c r="F65" s="468"/>
    </row>
    <row r="66" spans="1:6" x14ac:dyDescent="0.25">
      <c r="A66" s="466"/>
      <c r="B66" s="468" t="s">
        <v>1981</v>
      </c>
      <c r="C66" s="468"/>
      <c r="D66" s="468"/>
      <c r="E66" s="468"/>
      <c r="F66" s="468"/>
    </row>
  </sheetData>
  <pageMargins left="0.7" right="0.7" top="0.75" bottom="0.75" header="0.3" footer="0.3"/>
  <pageSetup scale="75" orientation="portrait" cellComments="asDisplayed" r:id="rId1"/>
  <headerFooter>
    <oddHeader xml:space="preserve">&amp;C&amp;"Arial,Bold"Schedule 18
Depreciation Rates&amp;"Arial,Regular"
</oddHeader>
    <oddFooter>&amp;R18-DepRates</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6"/>
  <sheetViews>
    <sheetView zoomScale="90" zoomScaleNormal="90" workbookViewId="0"/>
  </sheetViews>
  <sheetFormatPr defaultColWidth="9.109375" defaultRowHeight="13.2" x14ac:dyDescent="0.25"/>
  <cols>
    <col min="1" max="1" width="5.6640625" style="479" customWidth="1"/>
    <col min="2" max="2" width="50.6640625" style="479" customWidth="1"/>
    <col min="3" max="5" width="14.6640625" style="477" customWidth="1"/>
    <col min="6" max="6" width="12.6640625" style="869" customWidth="1"/>
    <col min="7" max="7" width="16.6640625" style="843" customWidth="1"/>
    <col min="8" max="9" width="14.6640625" style="844" customWidth="1"/>
    <col min="10" max="12" width="14.6640625" style="479" customWidth="1"/>
    <col min="13" max="16384" width="9.109375" style="466"/>
  </cols>
  <sheetData>
    <row r="1" spans="1:12" ht="12.75" customHeight="1" x14ac:dyDescent="0.4">
      <c r="A1" s="397" t="s">
        <v>1410</v>
      </c>
      <c r="C1" s="398"/>
      <c r="D1" s="399"/>
      <c r="E1" s="399"/>
      <c r="F1" s="400"/>
      <c r="G1" s="401"/>
      <c r="H1" s="401"/>
      <c r="I1" s="401"/>
      <c r="J1" s="401"/>
      <c r="K1" s="466"/>
      <c r="L1" s="466"/>
    </row>
    <row r="2" spans="1:12" ht="12.75" customHeight="1" x14ac:dyDescent="0.4">
      <c r="A2" s="402"/>
      <c r="C2" s="398"/>
      <c r="D2" s="399"/>
      <c r="E2" s="399"/>
      <c r="F2" s="403"/>
      <c r="G2" s="704" t="s">
        <v>332</v>
      </c>
      <c r="H2" s="476"/>
      <c r="I2" s="399"/>
      <c r="J2" s="401"/>
      <c r="K2" s="401"/>
      <c r="L2" s="401"/>
    </row>
    <row r="3" spans="1:12" ht="12.75" customHeight="1" x14ac:dyDescent="0.25">
      <c r="A3" s="404"/>
      <c r="B3" s="405" t="s">
        <v>1411</v>
      </c>
      <c r="C3" s="407"/>
      <c r="D3" s="407"/>
      <c r="E3" s="407"/>
      <c r="F3" s="408"/>
      <c r="G3" s="406"/>
      <c r="H3" s="406"/>
      <c r="I3" s="406"/>
      <c r="J3" s="406"/>
      <c r="K3" s="406"/>
      <c r="L3" s="409"/>
    </row>
    <row r="4" spans="1:12" ht="12.75" customHeight="1" x14ac:dyDescent="0.4">
      <c r="A4" s="410"/>
      <c r="B4" s="402"/>
      <c r="C4" s="411"/>
      <c r="D4" s="411"/>
      <c r="E4" s="411"/>
      <c r="F4" s="412"/>
      <c r="G4" s="25"/>
      <c r="H4" s="25"/>
      <c r="I4" s="25"/>
      <c r="J4" s="25"/>
      <c r="K4" s="25"/>
      <c r="L4" s="401"/>
    </row>
    <row r="5" spans="1:12" ht="12.75" customHeight="1" x14ac:dyDescent="0.25">
      <c r="A5" s="406"/>
      <c r="B5" s="413" t="s">
        <v>394</v>
      </c>
      <c r="C5" s="413" t="s">
        <v>378</v>
      </c>
      <c r="D5" s="413" t="s">
        <v>379</v>
      </c>
      <c r="E5" s="413" t="s">
        <v>380</v>
      </c>
      <c r="F5" s="414" t="s">
        <v>381</v>
      </c>
      <c r="G5" s="413" t="s">
        <v>382</v>
      </c>
      <c r="H5" s="413" t="s">
        <v>383</v>
      </c>
      <c r="I5" s="413" t="s">
        <v>595</v>
      </c>
      <c r="J5" s="413" t="s">
        <v>1043</v>
      </c>
      <c r="K5" s="413" t="s">
        <v>1059</v>
      </c>
      <c r="L5" s="413" t="s">
        <v>1062</v>
      </c>
    </row>
    <row r="6" spans="1:12" ht="12.75" customHeight="1" x14ac:dyDescent="0.25">
      <c r="A6" s="410"/>
      <c r="B6" s="402"/>
      <c r="C6" s="562" t="s">
        <v>1412</v>
      </c>
      <c r="D6" s="411"/>
      <c r="E6" s="411"/>
      <c r="F6" s="839" t="s">
        <v>396</v>
      </c>
      <c r="G6" s="562" t="s">
        <v>1413</v>
      </c>
      <c r="H6" s="415"/>
      <c r="I6" s="415"/>
      <c r="J6" s="562" t="s">
        <v>1414</v>
      </c>
      <c r="K6" s="562" t="s">
        <v>1415</v>
      </c>
      <c r="L6" s="563" t="s">
        <v>1416</v>
      </c>
    </row>
    <row r="7" spans="1:12" ht="12.75" customHeight="1" x14ac:dyDescent="0.25">
      <c r="C7" s="840"/>
      <c r="D7" s="841"/>
      <c r="E7" s="841"/>
      <c r="F7" s="842"/>
      <c r="J7" s="845"/>
    </row>
    <row r="8" spans="1:12" x14ac:dyDescent="0.25">
      <c r="A8" s="416"/>
      <c r="B8" s="1117" t="s">
        <v>1417</v>
      </c>
      <c r="C8" s="1119" t="s">
        <v>1418</v>
      </c>
      <c r="D8" s="1119"/>
      <c r="E8" s="1119"/>
      <c r="F8" s="417"/>
      <c r="G8" s="1115" t="s">
        <v>1419</v>
      </c>
      <c r="H8" s="1115"/>
      <c r="I8" s="1116"/>
      <c r="J8" s="1114" t="s">
        <v>1420</v>
      </c>
      <c r="K8" s="1115"/>
      <c r="L8" s="1116"/>
    </row>
    <row r="9" spans="1:12" x14ac:dyDescent="0.25">
      <c r="A9" s="49"/>
      <c r="B9" s="1118"/>
      <c r="C9" s="838" t="s">
        <v>215</v>
      </c>
      <c r="D9" s="838" t="s">
        <v>1421</v>
      </c>
      <c r="E9" s="418" t="s">
        <v>1422</v>
      </c>
      <c r="F9" s="419" t="s">
        <v>1354</v>
      </c>
      <c r="G9" s="418" t="s">
        <v>215</v>
      </c>
      <c r="H9" s="418" t="s">
        <v>1421</v>
      </c>
      <c r="I9" s="418" t="s">
        <v>1422</v>
      </c>
      <c r="J9" s="838" t="s">
        <v>215</v>
      </c>
      <c r="K9" s="418" t="s">
        <v>1421</v>
      </c>
      <c r="L9" s="418" t="s">
        <v>1422</v>
      </c>
    </row>
    <row r="10" spans="1:12" x14ac:dyDescent="0.25">
      <c r="A10" s="49" t="s">
        <v>360</v>
      </c>
      <c r="B10" s="420" t="s">
        <v>1423</v>
      </c>
      <c r="C10" s="239"/>
      <c r="D10" s="239"/>
      <c r="E10" s="421"/>
      <c r="F10" s="422"/>
      <c r="G10" s="421"/>
      <c r="H10" s="421"/>
      <c r="I10" s="421"/>
      <c r="J10" s="239"/>
      <c r="K10" s="421"/>
      <c r="L10" s="421"/>
    </row>
    <row r="11" spans="1:12" x14ac:dyDescent="0.25">
      <c r="A11" s="577">
        <v>1</v>
      </c>
      <c r="B11" s="482" t="s">
        <v>1424</v>
      </c>
      <c r="C11" s="986">
        <v>0</v>
      </c>
      <c r="D11" s="977">
        <v>0</v>
      </c>
      <c r="E11" s="977">
        <v>0</v>
      </c>
      <c r="F11" s="979" t="s">
        <v>1562</v>
      </c>
      <c r="G11" s="986">
        <v>0</v>
      </c>
      <c r="H11" s="977">
        <v>0</v>
      </c>
      <c r="I11" s="977">
        <v>0</v>
      </c>
      <c r="J11" s="986">
        <v>0</v>
      </c>
      <c r="K11" s="986">
        <v>0</v>
      </c>
      <c r="L11" s="986">
        <v>0</v>
      </c>
    </row>
    <row r="12" spans="1:12" x14ac:dyDescent="0.25">
      <c r="A12" s="577">
        <f>A11+1</f>
        <v>2</v>
      </c>
      <c r="B12" s="482" t="s">
        <v>1425</v>
      </c>
      <c r="C12" s="986">
        <v>0</v>
      </c>
      <c r="D12" s="977">
        <v>0</v>
      </c>
      <c r="E12" s="977">
        <v>0</v>
      </c>
      <c r="F12" s="979" t="s">
        <v>1562</v>
      </c>
      <c r="G12" s="986">
        <v>0</v>
      </c>
      <c r="H12" s="977">
        <v>0</v>
      </c>
      <c r="I12" s="977">
        <v>0</v>
      </c>
      <c r="J12" s="986">
        <v>0</v>
      </c>
      <c r="K12" s="986">
        <v>0</v>
      </c>
      <c r="L12" s="986">
        <v>0</v>
      </c>
    </row>
    <row r="13" spans="1:12" x14ac:dyDescent="0.25">
      <c r="A13" s="577">
        <f t="shared" ref="A13:A63" si="0">A12+1</f>
        <v>3</v>
      </c>
      <c r="B13" s="595" t="s">
        <v>1426</v>
      </c>
      <c r="C13" s="986">
        <v>0</v>
      </c>
      <c r="D13" s="977">
        <v>0</v>
      </c>
      <c r="E13" s="977">
        <v>0</v>
      </c>
      <c r="F13" s="979" t="s">
        <v>1562</v>
      </c>
      <c r="G13" s="986">
        <v>0</v>
      </c>
      <c r="H13" s="977">
        <v>0</v>
      </c>
      <c r="I13" s="977">
        <v>0</v>
      </c>
      <c r="J13" s="986">
        <v>0</v>
      </c>
      <c r="K13" s="986">
        <v>0</v>
      </c>
      <c r="L13" s="986">
        <v>0</v>
      </c>
    </row>
    <row r="14" spans="1:12" x14ac:dyDescent="0.25">
      <c r="A14" s="577">
        <f t="shared" si="0"/>
        <v>4</v>
      </c>
      <c r="B14" s="595" t="s">
        <v>1427</v>
      </c>
      <c r="C14" s="986">
        <v>0</v>
      </c>
      <c r="D14" s="977">
        <v>0</v>
      </c>
      <c r="E14" s="977">
        <v>0</v>
      </c>
      <c r="F14" s="979" t="s">
        <v>1562</v>
      </c>
      <c r="G14" s="986">
        <v>0</v>
      </c>
      <c r="H14" s="977">
        <v>0</v>
      </c>
      <c r="I14" s="977">
        <v>0</v>
      </c>
      <c r="J14" s="986">
        <v>0</v>
      </c>
      <c r="K14" s="986">
        <v>0</v>
      </c>
      <c r="L14" s="986">
        <v>0</v>
      </c>
    </row>
    <row r="15" spans="1:12" x14ac:dyDescent="0.25">
      <c r="A15" s="577">
        <f t="shared" si="0"/>
        <v>5</v>
      </c>
      <c r="B15" s="595" t="s">
        <v>1428</v>
      </c>
      <c r="C15" s="986">
        <v>0</v>
      </c>
      <c r="D15" s="977">
        <v>0</v>
      </c>
      <c r="E15" s="977">
        <v>0</v>
      </c>
      <c r="F15" s="979" t="s">
        <v>1562</v>
      </c>
      <c r="G15" s="986">
        <v>0</v>
      </c>
      <c r="H15" s="977">
        <v>0</v>
      </c>
      <c r="I15" s="977">
        <v>0</v>
      </c>
      <c r="J15" s="986">
        <v>0</v>
      </c>
      <c r="K15" s="986">
        <v>0</v>
      </c>
      <c r="L15" s="986">
        <v>0</v>
      </c>
    </row>
    <row r="16" spans="1:12" x14ac:dyDescent="0.25">
      <c r="A16" s="577">
        <f t="shared" si="0"/>
        <v>6</v>
      </c>
      <c r="B16" s="595" t="s">
        <v>1429</v>
      </c>
      <c r="C16" s="986">
        <v>0</v>
      </c>
      <c r="D16" s="977">
        <v>0</v>
      </c>
      <c r="E16" s="977">
        <v>0</v>
      </c>
      <c r="F16" s="979" t="s">
        <v>1562</v>
      </c>
      <c r="G16" s="986">
        <v>0</v>
      </c>
      <c r="H16" s="977">
        <v>0</v>
      </c>
      <c r="I16" s="977">
        <v>0</v>
      </c>
      <c r="J16" s="986">
        <v>0</v>
      </c>
      <c r="K16" s="986">
        <v>0</v>
      </c>
      <c r="L16" s="986">
        <v>0</v>
      </c>
    </row>
    <row r="17" spans="1:12" x14ac:dyDescent="0.25">
      <c r="A17" s="577">
        <f t="shared" si="0"/>
        <v>7</v>
      </c>
      <c r="B17" s="595" t="s">
        <v>1430</v>
      </c>
      <c r="C17" s="986">
        <v>0</v>
      </c>
      <c r="D17" s="977">
        <v>0</v>
      </c>
      <c r="E17" s="977">
        <v>0</v>
      </c>
      <c r="F17" s="979" t="s">
        <v>1562</v>
      </c>
      <c r="G17" s="986">
        <v>0</v>
      </c>
      <c r="H17" s="977">
        <v>0</v>
      </c>
      <c r="I17" s="977">
        <v>0</v>
      </c>
      <c r="J17" s="986">
        <v>0</v>
      </c>
      <c r="K17" s="986">
        <v>0</v>
      </c>
      <c r="L17" s="986">
        <v>0</v>
      </c>
    </row>
    <row r="18" spans="1:12" x14ac:dyDescent="0.25">
      <c r="A18" s="577">
        <f t="shared" si="0"/>
        <v>8</v>
      </c>
      <c r="B18" s="595" t="s">
        <v>1431</v>
      </c>
      <c r="C18" s="986">
        <v>0</v>
      </c>
      <c r="D18" s="977">
        <v>0</v>
      </c>
      <c r="E18" s="977">
        <v>0</v>
      </c>
      <c r="F18" s="979" t="s">
        <v>1562</v>
      </c>
      <c r="G18" s="986">
        <v>0</v>
      </c>
      <c r="H18" s="977">
        <v>0</v>
      </c>
      <c r="I18" s="977">
        <v>0</v>
      </c>
      <c r="J18" s="986">
        <v>0</v>
      </c>
      <c r="K18" s="986">
        <v>0</v>
      </c>
      <c r="L18" s="986">
        <v>0</v>
      </c>
    </row>
    <row r="19" spans="1:12" x14ac:dyDescent="0.25">
      <c r="A19" s="577">
        <f t="shared" si="0"/>
        <v>9</v>
      </c>
      <c r="B19" s="595" t="s">
        <v>1432</v>
      </c>
      <c r="C19" s="986">
        <v>0</v>
      </c>
      <c r="D19" s="977">
        <v>0</v>
      </c>
      <c r="E19" s="977">
        <v>0</v>
      </c>
      <c r="F19" s="979" t="s">
        <v>1562</v>
      </c>
      <c r="G19" s="986">
        <v>0</v>
      </c>
      <c r="H19" s="977">
        <v>0</v>
      </c>
      <c r="I19" s="977">
        <v>0</v>
      </c>
      <c r="J19" s="986">
        <v>0</v>
      </c>
      <c r="K19" s="986">
        <v>0</v>
      </c>
      <c r="L19" s="986">
        <v>0</v>
      </c>
    </row>
    <row r="20" spans="1:12" x14ac:dyDescent="0.25">
      <c r="A20" s="577">
        <f t="shared" si="0"/>
        <v>10</v>
      </c>
      <c r="B20" s="595" t="s">
        <v>1433</v>
      </c>
      <c r="C20" s="986">
        <v>0</v>
      </c>
      <c r="D20" s="977">
        <v>0</v>
      </c>
      <c r="E20" s="977">
        <v>0</v>
      </c>
      <c r="F20" s="979" t="s">
        <v>1562</v>
      </c>
      <c r="G20" s="986">
        <v>0</v>
      </c>
      <c r="H20" s="977">
        <v>0</v>
      </c>
      <c r="I20" s="977">
        <v>0</v>
      </c>
      <c r="J20" s="986">
        <v>0</v>
      </c>
      <c r="K20" s="986">
        <v>0</v>
      </c>
      <c r="L20" s="986">
        <v>0</v>
      </c>
    </row>
    <row r="21" spans="1:12" x14ac:dyDescent="0.25">
      <c r="A21" s="577">
        <f t="shared" si="0"/>
        <v>11</v>
      </c>
      <c r="B21" s="595" t="s">
        <v>1434</v>
      </c>
      <c r="C21" s="986">
        <v>0</v>
      </c>
      <c r="D21" s="977">
        <v>0</v>
      </c>
      <c r="E21" s="977">
        <v>0</v>
      </c>
      <c r="F21" s="979" t="s">
        <v>1562</v>
      </c>
      <c r="G21" s="986">
        <v>0</v>
      </c>
      <c r="H21" s="977">
        <v>0</v>
      </c>
      <c r="I21" s="977">
        <v>0</v>
      </c>
      <c r="J21" s="986">
        <v>0</v>
      </c>
      <c r="K21" s="986">
        <v>0</v>
      </c>
      <c r="L21" s="986">
        <v>0</v>
      </c>
    </row>
    <row r="22" spans="1:12" x14ac:dyDescent="0.25">
      <c r="A22" s="577">
        <f t="shared" si="0"/>
        <v>12</v>
      </c>
      <c r="B22" s="595" t="s">
        <v>1435</v>
      </c>
      <c r="C22" s="986">
        <v>0</v>
      </c>
      <c r="D22" s="977">
        <v>0</v>
      </c>
      <c r="E22" s="977">
        <v>0</v>
      </c>
      <c r="F22" s="979" t="s">
        <v>1562</v>
      </c>
      <c r="G22" s="986">
        <v>0</v>
      </c>
      <c r="H22" s="977">
        <v>0</v>
      </c>
      <c r="I22" s="977">
        <v>0</v>
      </c>
      <c r="J22" s="986">
        <v>0</v>
      </c>
      <c r="K22" s="986">
        <v>0</v>
      </c>
      <c r="L22" s="986">
        <v>0</v>
      </c>
    </row>
    <row r="23" spans="1:12" x14ac:dyDescent="0.25">
      <c r="A23" s="577">
        <f t="shared" si="0"/>
        <v>13</v>
      </c>
      <c r="B23" s="595" t="s">
        <v>1436</v>
      </c>
      <c r="C23" s="986">
        <v>0</v>
      </c>
      <c r="D23" s="977">
        <v>0</v>
      </c>
      <c r="E23" s="977">
        <v>0</v>
      </c>
      <c r="F23" s="979" t="s">
        <v>1562</v>
      </c>
      <c r="G23" s="986">
        <v>0</v>
      </c>
      <c r="H23" s="977">
        <v>0</v>
      </c>
      <c r="I23" s="977">
        <v>0</v>
      </c>
      <c r="J23" s="986">
        <v>0</v>
      </c>
      <c r="K23" s="986">
        <v>0</v>
      </c>
      <c r="L23" s="986">
        <v>0</v>
      </c>
    </row>
    <row r="24" spans="1:12" x14ac:dyDescent="0.25">
      <c r="A24" s="577">
        <f t="shared" si="0"/>
        <v>14</v>
      </c>
      <c r="B24" s="595" t="s">
        <v>1437</v>
      </c>
      <c r="C24" s="986">
        <v>0</v>
      </c>
      <c r="D24" s="977">
        <v>0</v>
      </c>
      <c r="E24" s="977">
        <v>0</v>
      </c>
      <c r="F24" s="979" t="s">
        <v>1562</v>
      </c>
      <c r="G24" s="986">
        <v>0</v>
      </c>
      <c r="H24" s="977">
        <v>0</v>
      </c>
      <c r="I24" s="977">
        <v>0</v>
      </c>
      <c r="J24" s="986">
        <v>0</v>
      </c>
      <c r="K24" s="986">
        <v>0</v>
      </c>
      <c r="L24" s="986">
        <v>0</v>
      </c>
    </row>
    <row r="25" spans="1:12" x14ac:dyDescent="0.25">
      <c r="A25" s="577">
        <f t="shared" si="0"/>
        <v>15</v>
      </c>
      <c r="B25" s="595" t="s">
        <v>1438</v>
      </c>
      <c r="C25" s="986">
        <v>0</v>
      </c>
      <c r="D25" s="977">
        <v>0</v>
      </c>
      <c r="E25" s="977">
        <v>0</v>
      </c>
      <c r="F25" s="979" t="s">
        <v>1562</v>
      </c>
      <c r="G25" s="986">
        <v>0</v>
      </c>
      <c r="H25" s="977">
        <v>0</v>
      </c>
      <c r="I25" s="977">
        <v>0</v>
      </c>
      <c r="J25" s="986">
        <v>0</v>
      </c>
      <c r="K25" s="986">
        <v>0</v>
      </c>
      <c r="L25" s="986">
        <v>0</v>
      </c>
    </row>
    <row r="26" spans="1:12" x14ac:dyDescent="0.25">
      <c r="A26" s="577">
        <f t="shared" si="0"/>
        <v>16</v>
      </c>
      <c r="B26" s="595" t="s">
        <v>1439</v>
      </c>
      <c r="C26" s="986">
        <v>0</v>
      </c>
      <c r="D26" s="977">
        <v>0</v>
      </c>
      <c r="E26" s="977">
        <v>0</v>
      </c>
      <c r="F26" s="979" t="s">
        <v>1562</v>
      </c>
      <c r="G26" s="986">
        <v>0</v>
      </c>
      <c r="H26" s="977">
        <v>0</v>
      </c>
      <c r="I26" s="977">
        <v>0</v>
      </c>
      <c r="J26" s="986">
        <v>0</v>
      </c>
      <c r="K26" s="986">
        <v>0</v>
      </c>
      <c r="L26" s="986">
        <v>0</v>
      </c>
    </row>
    <row r="27" spans="1:12" x14ac:dyDescent="0.25">
      <c r="A27" s="577">
        <f t="shared" si="0"/>
        <v>17</v>
      </c>
      <c r="B27" s="595" t="s">
        <v>1440</v>
      </c>
      <c r="C27" s="986">
        <v>0</v>
      </c>
      <c r="D27" s="977">
        <v>0</v>
      </c>
      <c r="E27" s="977">
        <v>0</v>
      </c>
      <c r="F27" s="979" t="s">
        <v>1562</v>
      </c>
      <c r="G27" s="986">
        <v>0</v>
      </c>
      <c r="H27" s="977">
        <v>0</v>
      </c>
      <c r="I27" s="977">
        <v>0</v>
      </c>
      <c r="J27" s="986">
        <v>0</v>
      </c>
      <c r="K27" s="986">
        <v>0</v>
      </c>
      <c r="L27" s="986">
        <v>0</v>
      </c>
    </row>
    <row r="28" spans="1:12" x14ac:dyDescent="0.25">
      <c r="A28" s="103">
        <f t="shared" si="0"/>
        <v>18</v>
      </c>
      <c r="B28" s="595" t="s">
        <v>2064</v>
      </c>
      <c r="C28" s="986">
        <v>0</v>
      </c>
      <c r="D28" s="977">
        <v>0</v>
      </c>
      <c r="E28" s="977">
        <v>0</v>
      </c>
      <c r="F28" s="979" t="s">
        <v>1562</v>
      </c>
      <c r="G28" s="986">
        <v>0</v>
      </c>
      <c r="H28" s="977">
        <v>0</v>
      </c>
      <c r="I28" s="977">
        <v>0</v>
      </c>
      <c r="J28" s="986">
        <v>0</v>
      </c>
      <c r="K28" s="986">
        <v>0</v>
      </c>
      <c r="L28" s="986">
        <v>0</v>
      </c>
    </row>
    <row r="29" spans="1:12" x14ac:dyDescent="0.25">
      <c r="A29" s="103">
        <f t="shared" si="0"/>
        <v>19</v>
      </c>
      <c r="B29" s="595" t="s">
        <v>2065</v>
      </c>
      <c r="C29" s="986">
        <v>0</v>
      </c>
      <c r="D29" s="977">
        <v>0</v>
      </c>
      <c r="E29" s="977">
        <v>0</v>
      </c>
      <c r="F29" s="979" t="s">
        <v>1562</v>
      </c>
      <c r="G29" s="986">
        <v>0</v>
      </c>
      <c r="H29" s="977">
        <v>0</v>
      </c>
      <c r="I29" s="977">
        <v>0</v>
      </c>
      <c r="J29" s="986">
        <v>0</v>
      </c>
      <c r="K29" s="986">
        <v>0</v>
      </c>
      <c r="L29" s="986">
        <v>0</v>
      </c>
    </row>
    <row r="30" spans="1:12" x14ac:dyDescent="0.25">
      <c r="A30" s="103">
        <f t="shared" si="0"/>
        <v>20</v>
      </c>
      <c r="B30" s="595" t="s">
        <v>1441</v>
      </c>
      <c r="C30" s="986">
        <v>0</v>
      </c>
      <c r="D30" s="977">
        <v>0</v>
      </c>
      <c r="E30" s="977">
        <v>0</v>
      </c>
      <c r="F30" s="979" t="s">
        <v>1562</v>
      </c>
      <c r="G30" s="986">
        <v>0</v>
      </c>
      <c r="H30" s="977">
        <v>0</v>
      </c>
      <c r="I30" s="977">
        <v>0</v>
      </c>
      <c r="J30" s="986">
        <v>0</v>
      </c>
      <c r="K30" s="986">
        <v>0</v>
      </c>
      <c r="L30" s="986">
        <v>0</v>
      </c>
    </row>
    <row r="31" spans="1:12" x14ac:dyDescent="0.25">
      <c r="A31" s="103">
        <f t="shared" si="0"/>
        <v>21</v>
      </c>
      <c r="B31" s="595" t="s">
        <v>1442</v>
      </c>
      <c r="C31" s="986">
        <v>0</v>
      </c>
      <c r="D31" s="977">
        <v>0</v>
      </c>
      <c r="E31" s="977">
        <v>0</v>
      </c>
      <c r="F31" s="979" t="s">
        <v>1562</v>
      </c>
      <c r="G31" s="986">
        <v>0</v>
      </c>
      <c r="H31" s="977">
        <v>0</v>
      </c>
      <c r="I31" s="977">
        <v>0</v>
      </c>
      <c r="J31" s="986">
        <v>0</v>
      </c>
      <c r="K31" s="986">
        <v>0</v>
      </c>
      <c r="L31" s="986">
        <v>0</v>
      </c>
    </row>
    <row r="32" spans="1:12" x14ac:dyDescent="0.25">
      <c r="A32" s="103">
        <f t="shared" si="0"/>
        <v>22</v>
      </c>
      <c r="B32" s="595" t="s">
        <v>1443</v>
      </c>
      <c r="C32" s="986">
        <v>0</v>
      </c>
      <c r="D32" s="977">
        <v>0</v>
      </c>
      <c r="E32" s="977">
        <v>0</v>
      </c>
      <c r="F32" s="979" t="s">
        <v>1562</v>
      </c>
      <c r="G32" s="986">
        <v>0</v>
      </c>
      <c r="H32" s="977">
        <v>0</v>
      </c>
      <c r="I32" s="977">
        <v>0</v>
      </c>
      <c r="J32" s="986">
        <v>0</v>
      </c>
      <c r="K32" s="986">
        <v>0</v>
      </c>
      <c r="L32" s="986">
        <v>0</v>
      </c>
    </row>
    <row r="33" spans="1:12" x14ac:dyDescent="0.25">
      <c r="A33" s="103">
        <f t="shared" si="0"/>
        <v>23</v>
      </c>
      <c r="B33" s="595" t="s">
        <v>1444</v>
      </c>
      <c r="C33" s="986">
        <v>0</v>
      </c>
      <c r="D33" s="977">
        <v>0</v>
      </c>
      <c r="E33" s="977">
        <v>0</v>
      </c>
      <c r="F33" s="979" t="s">
        <v>1562</v>
      </c>
      <c r="G33" s="986">
        <v>0</v>
      </c>
      <c r="H33" s="977">
        <v>0</v>
      </c>
      <c r="I33" s="977">
        <v>0</v>
      </c>
      <c r="J33" s="986">
        <v>0</v>
      </c>
      <c r="K33" s="986">
        <v>0</v>
      </c>
      <c r="L33" s="986">
        <v>0</v>
      </c>
    </row>
    <row r="34" spans="1:12" x14ac:dyDescent="0.25">
      <c r="A34" s="103">
        <f t="shared" si="0"/>
        <v>24</v>
      </c>
      <c r="B34" s="595" t="s">
        <v>1445</v>
      </c>
      <c r="C34" s="986">
        <v>0</v>
      </c>
      <c r="D34" s="977">
        <v>0</v>
      </c>
      <c r="E34" s="977">
        <v>0</v>
      </c>
      <c r="F34" s="979" t="s">
        <v>1562</v>
      </c>
      <c r="G34" s="986">
        <v>0</v>
      </c>
      <c r="H34" s="977">
        <v>0</v>
      </c>
      <c r="I34" s="977">
        <v>0</v>
      </c>
      <c r="J34" s="986">
        <v>0</v>
      </c>
      <c r="K34" s="986">
        <v>0</v>
      </c>
      <c r="L34" s="986">
        <v>0</v>
      </c>
    </row>
    <row r="35" spans="1:12" x14ac:dyDescent="0.25">
      <c r="A35" s="103">
        <f t="shared" si="0"/>
        <v>25</v>
      </c>
      <c r="B35" s="595" t="s">
        <v>1446</v>
      </c>
      <c r="C35" s="986">
        <v>0</v>
      </c>
      <c r="D35" s="977">
        <v>0</v>
      </c>
      <c r="E35" s="977">
        <v>0</v>
      </c>
      <c r="F35" s="979" t="s">
        <v>1562</v>
      </c>
      <c r="G35" s="986">
        <v>0</v>
      </c>
      <c r="H35" s="977">
        <v>0</v>
      </c>
      <c r="I35" s="977">
        <v>0</v>
      </c>
      <c r="J35" s="986">
        <v>0</v>
      </c>
      <c r="K35" s="986">
        <v>0</v>
      </c>
      <c r="L35" s="986">
        <v>0</v>
      </c>
    </row>
    <row r="36" spans="1:12" x14ac:dyDescent="0.25">
      <c r="A36" s="103">
        <f t="shared" si="0"/>
        <v>26</v>
      </c>
      <c r="B36" s="595" t="s">
        <v>1447</v>
      </c>
      <c r="C36" s="986">
        <v>0</v>
      </c>
      <c r="D36" s="977">
        <v>0</v>
      </c>
      <c r="E36" s="977">
        <v>0</v>
      </c>
      <c r="F36" s="979" t="s">
        <v>1562</v>
      </c>
      <c r="G36" s="986">
        <v>0</v>
      </c>
      <c r="H36" s="977">
        <v>0</v>
      </c>
      <c r="I36" s="977">
        <v>0</v>
      </c>
      <c r="J36" s="986">
        <v>0</v>
      </c>
      <c r="K36" s="986">
        <v>0</v>
      </c>
      <c r="L36" s="986">
        <v>0</v>
      </c>
    </row>
    <row r="37" spans="1:12" x14ac:dyDescent="0.25">
      <c r="A37" s="103">
        <f t="shared" si="0"/>
        <v>27</v>
      </c>
      <c r="B37" s="595" t="s">
        <v>1448</v>
      </c>
      <c r="C37" s="986">
        <v>0</v>
      </c>
      <c r="D37" s="977">
        <v>0</v>
      </c>
      <c r="E37" s="977">
        <v>0</v>
      </c>
      <c r="F37" s="979" t="s">
        <v>1562</v>
      </c>
      <c r="G37" s="986">
        <v>0</v>
      </c>
      <c r="H37" s="977">
        <v>0</v>
      </c>
      <c r="I37" s="977">
        <v>0</v>
      </c>
      <c r="J37" s="986">
        <v>0</v>
      </c>
      <c r="K37" s="986">
        <v>0</v>
      </c>
      <c r="L37" s="986">
        <v>0</v>
      </c>
    </row>
    <row r="38" spans="1:12" x14ac:dyDescent="0.25">
      <c r="A38" s="103">
        <f t="shared" si="0"/>
        <v>28</v>
      </c>
      <c r="B38" s="595" t="s">
        <v>1449</v>
      </c>
      <c r="C38" s="986">
        <v>0</v>
      </c>
      <c r="D38" s="977">
        <v>0</v>
      </c>
      <c r="E38" s="977">
        <v>0</v>
      </c>
      <c r="F38" s="979" t="s">
        <v>1562</v>
      </c>
      <c r="G38" s="986">
        <v>0</v>
      </c>
      <c r="H38" s="977">
        <v>0</v>
      </c>
      <c r="I38" s="977">
        <v>0</v>
      </c>
      <c r="J38" s="986">
        <v>0</v>
      </c>
      <c r="K38" s="986">
        <v>0</v>
      </c>
      <c r="L38" s="986">
        <v>0</v>
      </c>
    </row>
    <row r="39" spans="1:12" x14ac:dyDescent="0.25">
      <c r="A39" s="103">
        <f t="shared" si="0"/>
        <v>29</v>
      </c>
      <c r="B39" s="595" t="s">
        <v>1450</v>
      </c>
      <c r="C39" s="986">
        <v>0</v>
      </c>
      <c r="D39" s="977">
        <v>0</v>
      </c>
      <c r="E39" s="977">
        <v>0</v>
      </c>
      <c r="F39" s="979" t="s">
        <v>1562</v>
      </c>
      <c r="G39" s="986">
        <v>0</v>
      </c>
      <c r="H39" s="977">
        <v>0</v>
      </c>
      <c r="I39" s="977">
        <v>0</v>
      </c>
      <c r="J39" s="986">
        <v>0</v>
      </c>
      <c r="K39" s="986">
        <v>0</v>
      </c>
      <c r="L39" s="986">
        <v>0</v>
      </c>
    </row>
    <row r="40" spans="1:12" x14ac:dyDescent="0.25">
      <c r="A40" s="103">
        <f t="shared" si="0"/>
        <v>30</v>
      </c>
      <c r="B40" s="595" t="s">
        <v>1451</v>
      </c>
      <c r="C40" s="986">
        <v>0</v>
      </c>
      <c r="D40" s="977">
        <v>0</v>
      </c>
      <c r="E40" s="977">
        <v>0</v>
      </c>
      <c r="F40" s="979" t="s">
        <v>1562</v>
      </c>
      <c r="G40" s="986">
        <v>0</v>
      </c>
      <c r="H40" s="977">
        <v>0</v>
      </c>
      <c r="I40" s="977">
        <v>0</v>
      </c>
      <c r="J40" s="986">
        <v>0</v>
      </c>
      <c r="K40" s="986">
        <v>0</v>
      </c>
      <c r="L40" s="986">
        <v>0</v>
      </c>
    </row>
    <row r="41" spans="1:12" x14ac:dyDescent="0.25">
      <c r="A41" s="103">
        <f t="shared" si="0"/>
        <v>31</v>
      </c>
      <c r="B41" s="595" t="s">
        <v>1452</v>
      </c>
      <c r="C41" s="986">
        <v>0</v>
      </c>
      <c r="D41" s="977">
        <v>0</v>
      </c>
      <c r="E41" s="977">
        <v>0</v>
      </c>
      <c r="F41" s="979" t="s">
        <v>1562</v>
      </c>
      <c r="G41" s="986">
        <v>0</v>
      </c>
      <c r="H41" s="977">
        <v>0</v>
      </c>
      <c r="I41" s="977">
        <v>0</v>
      </c>
      <c r="J41" s="986">
        <v>0</v>
      </c>
      <c r="K41" s="986">
        <v>0</v>
      </c>
      <c r="L41" s="986">
        <v>0</v>
      </c>
    </row>
    <row r="42" spans="1:12" x14ac:dyDescent="0.25">
      <c r="A42" s="103">
        <f t="shared" si="0"/>
        <v>32</v>
      </c>
      <c r="B42" s="595" t="s">
        <v>2712</v>
      </c>
      <c r="C42" s="986">
        <v>0</v>
      </c>
      <c r="D42" s="977">
        <v>0</v>
      </c>
      <c r="E42" s="977">
        <v>0</v>
      </c>
      <c r="F42" s="979" t="s">
        <v>1562</v>
      </c>
      <c r="G42" s="986">
        <v>0</v>
      </c>
      <c r="H42" s="977">
        <v>0</v>
      </c>
      <c r="I42" s="977">
        <v>0</v>
      </c>
      <c r="J42" s="986">
        <v>0</v>
      </c>
      <c r="K42" s="986">
        <v>0</v>
      </c>
      <c r="L42" s="986">
        <v>0</v>
      </c>
    </row>
    <row r="43" spans="1:12" x14ac:dyDescent="0.25">
      <c r="A43" s="103">
        <f t="shared" si="0"/>
        <v>33</v>
      </c>
      <c r="B43" s="595" t="s">
        <v>2713</v>
      </c>
      <c r="C43" s="986">
        <v>0</v>
      </c>
      <c r="D43" s="977">
        <v>0</v>
      </c>
      <c r="E43" s="977">
        <v>0</v>
      </c>
      <c r="F43" s="979" t="s">
        <v>1562</v>
      </c>
      <c r="G43" s="986">
        <v>0</v>
      </c>
      <c r="H43" s="977">
        <v>0</v>
      </c>
      <c r="I43" s="977">
        <v>0</v>
      </c>
      <c r="J43" s="986">
        <v>0</v>
      </c>
      <c r="K43" s="986">
        <v>0</v>
      </c>
      <c r="L43" s="986">
        <v>0</v>
      </c>
    </row>
    <row r="44" spans="1:12" x14ac:dyDescent="0.25">
      <c r="A44" s="103">
        <f t="shared" si="0"/>
        <v>34</v>
      </c>
      <c r="B44" s="595" t="s">
        <v>2714</v>
      </c>
      <c r="C44" s="986">
        <v>0</v>
      </c>
      <c r="D44" s="977">
        <v>0</v>
      </c>
      <c r="E44" s="977">
        <v>0</v>
      </c>
      <c r="F44" s="979" t="s">
        <v>1562</v>
      </c>
      <c r="G44" s="986">
        <v>0</v>
      </c>
      <c r="H44" s="977">
        <v>0</v>
      </c>
      <c r="I44" s="977">
        <v>0</v>
      </c>
      <c r="J44" s="986">
        <v>0</v>
      </c>
      <c r="K44" s="986">
        <v>0</v>
      </c>
      <c r="L44" s="986">
        <v>0</v>
      </c>
    </row>
    <row r="45" spans="1:12" x14ac:dyDescent="0.25">
      <c r="A45" s="103">
        <f t="shared" si="0"/>
        <v>35</v>
      </c>
      <c r="B45" s="595" t="s">
        <v>1453</v>
      </c>
      <c r="C45" s="986">
        <v>0</v>
      </c>
      <c r="D45" s="977">
        <v>0</v>
      </c>
      <c r="E45" s="977">
        <v>0</v>
      </c>
      <c r="F45" s="979" t="s">
        <v>1562</v>
      </c>
      <c r="G45" s="986">
        <v>0</v>
      </c>
      <c r="H45" s="977">
        <v>0</v>
      </c>
      <c r="I45" s="977">
        <v>0</v>
      </c>
      <c r="J45" s="986">
        <v>0</v>
      </c>
      <c r="K45" s="986">
        <v>0</v>
      </c>
      <c r="L45" s="986">
        <v>0</v>
      </c>
    </row>
    <row r="46" spans="1:12" x14ac:dyDescent="0.25">
      <c r="A46" s="103">
        <f t="shared" si="0"/>
        <v>36</v>
      </c>
      <c r="B46" s="595" t="s">
        <v>1454</v>
      </c>
      <c r="C46" s="986">
        <v>0</v>
      </c>
      <c r="D46" s="977">
        <v>0</v>
      </c>
      <c r="E46" s="977">
        <v>0</v>
      </c>
      <c r="F46" s="979" t="s">
        <v>1562</v>
      </c>
      <c r="G46" s="986">
        <v>0</v>
      </c>
      <c r="H46" s="977">
        <v>0</v>
      </c>
      <c r="I46" s="977">
        <v>0</v>
      </c>
      <c r="J46" s="986">
        <v>0</v>
      </c>
      <c r="K46" s="986">
        <v>0</v>
      </c>
      <c r="L46" s="986">
        <v>0</v>
      </c>
    </row>
    <row r="47" spans="1:12" x14ac:dyDescent="0.25">
      <c r="A47" s="103">
        <f t="shared" si="0"/>
        <v>37</v>
      </c>
      <c r="B47" s="595" t="s">
        <v>1455</v>
      </c>
      <c r="C47" s="986">
        <v>0</v>
      </c>
      <c r="D47" s="977">
        <v>0</v>
      </c>
      <c r="E47" s="977">
        <v>0</v>
      </c>
      <c r="F47" s="979" t="s">
        <v>1562</v>
      </c>
      <c r="G47" s="986">
        <v>0</v>
      </c>
      <c r="H47" s="977">
        <v>0</v>
      </c>
      <c r="I47" s="977">
        <v>0</v>
      </c>
      <c r="J47" s="986">
        <v>0</v>
      </c>
      <c r="K47" s="986">
        <v>0</v>
      </c>
      <c r="L47" s="986">
        <v>0</v>
      </c>
    </row>
    <row r="48" spans="1:12" x14ac:dyDescent="0.25">
      <c r="A48" s="103">
        <f t="shared" si="0"/>
        <v>38</v>
      </c>
      <c r="B48" s="595" t="s">
        <v>1456</v>
      </c>
      <c r="C48" s="986">
        <v>0</v>
      </c>
      <c r="D48" s="977">
        <v>0</v>
      </c>
      <c r="E48" s="977">
        <v>0</v>
      </c>
      <c r="F48" s="979" t="s">
        <v>1562</v>
      </c>
      <c r="G48" s="986">
        <v>0</v>
      </c>
      <c r="H48" s="977">
        <v>0</v>
      </c>
      <c r="I48" s="977">
        <v>0</v>
      </c>
      <c r="J48" s="986">
        <v>0</v>
      </c>
      <c r="K48" s="986">
        <v>0</v>
      </c>
      <c r="L48" s="986">
        <v>0</v>
      </c>
    </row>
    <row r="49" spans="1:12" x14ac:dyDescent="0.25">
      <c r="A49" s="103">
        <f t="shared" si="0"/>
        <v>39</v>
      </c>
      <c r="B49" s="595" t="s">
        <v>1457</v>
      </c>
      <c r="C49" s="986">
        <v>0</v>
      </c>
      <c r="D49" s="977">
        <v>0</v>
      </c>
      <c r="E49" s="977">
        <v>0</v>
      </c>
      <c r="F49" s="979" t="s">
        <v>1562</v>
      </c>
      <c r="G49" s="986">
        <v>0</v>
      </c>
      <c r="H49" s="977">
        <v>0</v>
      </c>
      <c r="I49" s="977">
        <v>0</v>
      </c>
      <c r="J49" s="986">
        <v>0</v>
      </c>
      <c r="K49" s="986">
        <v>0</v>
      </c>
      <c r="L49" s="986">
        <v>0</v>
      </c>
    </row>
    <row r="50" spans="1:12" x14ac:dyDescent="0.25">
      <c r="A50" s="103">
        <f t="shared" si="0"/>
        <v>40</v>
      </c>
      <c r="B50" s="468" t="s">
        <v>1850</v>
      </c>
      <c r="C50" s="986">
        <v>0</v>
      </c>
      <c r="D50" s="977">
        <v>0</v>
      </c>
      <c r="E50" s="977">
        <v>0</v>
      </c>
      <c r="F50" s="979" t="s">
        <v>1562</v>
      </c>
      <c r="G50" s="986">
        <v>0</v>
      </c>
      <c r="H50" s="977">
        <v>0</v>
      </c>
      <c r="I50" s="977">
        <v>0</v>
      </c>
      <c r="J50" s="986">
        <v>0</v>
      </c>
      <c r="K50" s="986">
        <v>0</v>
      </c>
      <c r="L50" s="986">
        <v>0</v>
      </c>
    </row>
    <row r="51" spans="1:12" x14ac:dyDescent="0.25">
      <c r="A51" s="103">
        <f t="shared" si="0"/>
        <v>41</v>
      </c>
      <c r="B51" s="595" t="s">
        <v>1458</v>
      </c>
      <c r="C51" s="986">
        <v>0</v>
      </c>
      <c r="D51" s="977">
        <v>0</v>
      </c>
      <c r="E51" s="977">
        <v>0</v>
      </c>
      <c r="F51" s="979" t="s">
        <v>1562</v>
      </c>
      <c r="G51" s="986">
        <v>0</v>
      </c>
      <c r="H51" s="977">
        <v>0</v>
      </c>
      <c r="I51" s="977">
        <v>0</v>
      </c>
      <c r="J51" s="986">
        <v>0</v>
      </c>
      <c r="K51" s="986">
        <v>0</v>
      </c>
      <c r="L51" s="986">
        <v>0</v>
      </c>
    </row>
    <row r="52" spans="1:12" x14ac:dyDescent="0.25">
      <c r="A52" s="103">
        <f t="shared" si="0"/>
        <v>42</v>
      </c>
      <c r="B52" s="595" t="s">
        <v>1459</v>
      </c>
      <c r="C52" s="986">
        <v>0</v>
      </c>
      <c r="D52" s="977">
        <v>0</v>
      </c>
      <c r="E52" s="977">
        <v>0</v>
      </c>
      <c r="F52" s="979" t="s">
        <v>1562</v>
      </c>
      <c r="G52" s="986">
        <v>0</v>
      </c>
      <c r="H52" s="977">
        <v>0</v>
      </c>
      <c r="I52" s="977">
        <v>0</v>
      </c>
      <c r="J52" s="986">
        <v>0</v>
      </c>
      <c r="K52" s="986">
        <v>0</v>
      </c>
      <c r="L52" s="986">
        <v>0</v>
      </c>
    </row>
    <row r="53" spans="1:12" x14ac:dyDescent="0.25">
      <c r="A53" s="103">
        <f t="shared" si="0"/>
        <v>43</v>
      </c>
      <c r="B53" s="595" t="s">
        <v>1460</v>
      </c>
      <c r="C53" s="986">
        <v>0</v>
      </c>
      <c r="D53" s="977">
        <v>0</v>
      </c>
      <c r="E53" s="977">
        <v>0</v>
      </c>
      <c r="F53" s="979" t="s">
        <v>1562</v>
      </c>
      <c r="G53" s="986">
        <v>0</v>
      </c>
      <c r="H53" s="977">
        <v>0</v>
      </c>
      <c r="I53" s="977">
        <v>0</v>
      </c>
      <c r="J53" s="986">
        <v>0</v>
      </c>
      <c r="K53" s="986">
        <v>0</v>
      </c>
      <c r="L53" s="986">
        <v>0</v>
      </c>
    </row>
    <row r="54" spans="1:12" x14ac:dyDescent="0.25">
      <c r="A54" s="103">
        <f t="shared" si="0"/>
        <v>44</v>
      </c>
      <c r="B54" s="595" t="s">
        <v>1461</v>
      </c>
      <c r="C54" s="986">
        <v>0</v>
      </c>
      <c r="D54" s="977">
        <v>0</v>
      </c>
      <c r="E54" s="977">
        <v>0</v>
      </c>
      <c r="F54" s="979" t="s">
        <v>1562</v>
      </c>
      <c r="G54" s="986">
        <v>0</v>
      </c>
      <c r="H54" s="977">
        <v>0</v>
      </c>
      <c r="I54" s="977">
        <v>0</v>
      </c>
      <c r="J54" s="986">
        <v>0</v>
      </c>
      <c r="K54" s="986">
        <v>0</v>
      </c>
      <c r="L54" s="986">
        <v>0</v>
      </c>
    </row>
    <row r="55" spans="1:12" x14ac:dyDescent="0.25">
      <c r="A55" s="103">
        <f t="shared" si="0"/>
        <v>45</v>
      </c>
      <c r="B55" s="595" t="s">
        <v>1655</v>
      </c>
      <c r="C55" s="986">
        <v>0</v>
      </c>
      <c r="D55" s="977">
        <v>0</v>
      </c>
      <c r="E55" s="977">
        <v>0</v>
      </c>
      <c r="F55" s="979" t="s">
        <v>1562</v>
      </c>
      <c r="G55" s="986">
        <v>0</v>
      </c>
      <c r="H55" s="977">
        <v>0</v>
      </c>
      <c r="I55" s="977">
        <v>0</v>
      </c>
      <c r="J55" s="986">
        <v>0</v>
      </c>
      <c r="K55" s="986">
        <v>0</v>
      </c>
      <c r="L55" s="986">
        <v>0</v>
      </c>
    </row>
    <row r="56" spans="1:12" x14ac:dyDescent="0.25">
      <c r="A56" s="103">
        <f t="shared" si="0"/>
        <v>46</v>
      </c>
      <c r="B56" s="595" t="s">
        <v>1462</v>
      </c>
      <c r="C56" s="986">
        <v>0</v>
      </c>
      <c r="D56" s="977">
        <v>0</v>
      </c>
      <c r="E56" s="977">
        <v>0</v>
      </c>
      <c r="F56" s="979" t="s">
        <v>1562</v>
      </c>
      <c r="G56" s="986">
        <v>0</v>
      </c>
      <c r="H56" s="977">
        <v>0</v>
      </c>
      <c r="I56" s="977">
        <v>0</v>
      </c>
      <c r="J56" s="986">
        <v>0</v>
      </c>
      <c r="K56" s="986">
        <v>0</v>
      </c>
      <c r="L56" s="986">
        <v>0</v>
      </c>
    </row>
    <row r="57" spans="1:12" x14ac:dyDescent="0.25">
      <c r="A57" s="103">
        <f t="shared" si="0"/>
        <v>47</v>
      </c>
      <c r="B57" s="595" t="s">
        <v>1463</v>
      </c>
      <c r="C57" s="986">
        <v>0</v>
      </c>
      <c r="D57" s="977">
        <v>0</v>
      </c>
      <c r="E57" s="977">
        <v>0</v>
      </c>
      <c r="F57" s="979" t="s">
        <v>1562</v>
      </c>
      <c r="G57" s="986">
        <v>0</v>
      </c>
      <c r="H57" s="977">
        <v>0</v>
      </c>
      <c r="I57" s="977">
        <v>0</v>
      </c>
      <c r="J57" s="986">
        <v>0</v>
      </c>
      <c r="K57" s="986">
        <v>0</v>
      </c>
      <c r="L57" s="986">
        <v>0</v>
      </c>
    </row>
    <row r="58" spans="1:12" x14ac:dyDescent="0.25">
      <c r="A58" s="103">
        <f t="shared" si="0"/>
        <v>48</v>
      </c>
      <c r="B58" s="595" t="s">
        <v>1464</v>
      </c>
      <c r="C58" s="986">
        <v>0</v>
      </c>
      <c r="D58" s="977">
        <v>0</v>
      </c>
      <c r="E58" s="977">
        <v>0</v>
      </c>
      <c r="F58" s="979" t="s">
        <v>1562</v>
      </c>
      <c r="G58" s="986">
        <v>0</v>
      </c>
      <c r="H58" s="977">
        <v>0</v>
      </c>
      <c r="I58" s="977">
        <v>0</v>
      </c>
      <c r="J58" s="986">
        <v>0</v>
      </c>
      <c r="K58" s="986">
        <v>0</v>
      </c>
      <c r="L58" s="986">
        <v>0</v>
      </c>
    </row>
    <row r="59" spans="1:12" x14ac:dyDescent="0.25">
      <c r="A59" s="103">
        <f t="shared" si="0"/>
        <v>49</v>
      </c>
      <c r="B59" s="595" t="s">
        <v>1465</v>
      </c>
      <c r="C59" s="986">
        <v>0</v>
      </c>
      <c r="D59" s="977">
        <v>0</v>
      </c>
      <c r="E59" s="977">
        <v>0</v>
      </c>
      <c r="F59" s="979" t="s">
        <v>1562</v>
      </c>
      <c r="G59" s="986">
        <v>0</v>
      </c>
      <c r="H59" s="977">
        <v>0</v>
      </c>
      <c r="I59" s="977">
        <v>0</v>
      </c>
      <c r="J59" s="986">
        <v>0</v>
      </c>
      <c r="K59" s="986">
        <v>0</v>
      </c>
      <c r="L59" s="986">
        <v>0</v>
      </c>
    </row>
    <row r="60" spans="1:12" ht="15" x14ac:dyDescent="0.4">
      <c r="A60" s="103">
        <f t="shared" si="0"/>
        <v>50</v>
      </c>
      <c r="B60" s="527" t="s">
        <v>563</v>
      </c>
      <c r="C60" s="848" t="s">
        <v>86</v>
      </c>
      <c r="D60" s="848" t="s">
        <v>86</v>
      </c>
      <c r="E60" s="848" t="s">
        <v>86</v>
      </c>
      <c r="F60" s="848" t="s">
        <v>86</v>
      </c>
      <c r="G60" s="848" t="s">
        <v>86</v>
      </c>
      <c r="H60" s="848" t="s">
        <v>86</v>
      </c>
      <c r="I60" s="848" t="s">
        <v>86</v>
      </c>
      <c r="J60" s="423"/>
      <c r="K60" s="423"/>
      <c r="L60" s="423"/>
    </row>
    <row r="61" spans="1:12" x14ac:dyDescent="0.25">
      <c r="A61" s="103">
        <f t="shared" si="0"/>
        <v>51</v>
      </c>
      <c r="B61" s="595" t="s">
        <v>2481</v>
      </c>
      <c r="C61" s="849">
        <v>0</v>
      </c>
      <c r="D61" s="849">
        <v>0</v>
      </c>
      <c r="E61" s="849">
        <v>0</v>
      </c>
      <c r="F61" s="857"/>
      <c r="G61" s="990">
        <v>0</v>
      </c>
      <c r="H61" s="990">
        <v>0</v>
      </c>
      <c r="I61" s="990">
        <v>0</v>
      </c>
      <c r="J61" s="990">
        <v>0</v>
      </c>
      <c r="K61" s="990">
        <v>0</v>
      </c>
      <c r="L61" s="990">
        <v>0</v>
      </c>
    </row>
    <row r="62" spans="1:12" x14ac:dyDescent="0.25">
      <c r="A62" s="103">
        <f t="shared" si="0"/>
        <v>52</v>
      </c>
      <c r="B62" s="424" t="s">
        <v>1466</v>
      </c>
      <c r="C62" s="986">
        <v>0</v>
      </c>
      <c r="D62" s="986">
        <v>0</v>
      </c>
      <c r="E62" s="986">
        <v>0</v>
      </c>
      <c r="F62" s="986">
        <v>0</v>
      </c>
      <c r="G62" s="986">
        <v>0</v>
      </c>
      <c r="H62" s="986">
        <v>0</v>
      </c>
      <c r="I62" s="986">
        <v>0</v>
      </c>
      <c r="J62" s="986">
        <v>0</v>
      </c>
      <c r="K62" s="986">
        <v>0</v>
      </c>
      <c r="L62" s="986">
        <v>0</v>
      </c>
    </row>
    <row r="63" spans="1:12" x14ac:dyDescent="0.25">
      <c r="A63" s="103">
        <f t="shared" si="0"/>
        <v>53</v>
      </c>
      <c r="B63" s="508"/>
      <c r="C63" s="850"/>
      <c r="D63" s="851"/>
      <c r="E63" s="851"/>
      <c r="F63" s="852"/>
      <c r="G63" s="853"/>
      <c r="H63" s="854"/>
      <c r="I63" s="854"/>
      <c r="J63" s="597"/>
      <c r="K63" s="597"/>
      <c r="L63" s="597"/>
    </row>
    <row r="64" spans="1:12" x14ac:dyDescent="0.25">
      <c r="A64" s="577"/>
      <c r="B64" s="425"/>
      <c r="C64" s="851"/>
      <c r="D64" s="851"/>
      <c r="E64" s="851"/>
      <c r="F64" s="852"/>
      <c r="G64" s="855"/>
      <c r="H64" s="851"/>
      <c r="I64" s="851"/>
      <c r="J64" s="851"/>
      <c r="K64" s="851"/>
      <c r="L64" s="851"/>
    </row>
    <row r="65" spans="1:12" x14ac:dyDescent="0.25">
      <c r="A65" s="577"/>
      <c r="B65" s="413" t="s">
        <v>394</v>
      </c>
      <c r="C65" s="413" t="s">
        <v>378</v>
      </c>
      <c r="D65" s="413" t="s">
        <v>379</v>
      </c>
      <c r="E65" s="413" t="s">
        <v>380</v>
      </c>
      <c r="F65" s="414" t="s">
        <v>381</v>
      </c>
      <c r="G65" s="413" t="s">
        <v>382</v>
      </c>
      <c r="H65" s="413" t="s">
        <v>383</v>
      </c>
      <c r="I65" s="413" t="s">
        <v>595</v>
      </c>
      <c r="J65" s="413" t="s">
        <v>1043</v>
      </c>
      <c r="K65" s="413" t="s">
        <v>1059</v>
      </c>
      <c r="L65" s="413" t="s">
        <v>1062</v>
      </c>
    </row>
    <row r="66" spans="1:12" x14ac:dyDescent="0.25">
      <c r="A66" s="577"/>
      <c r="B66" s="425"/>
      <c r="C66" s="562" t="s">
        <v>1412</v>
      </c>
      <c r="D66" s="411"/>
      <c r="E66" s="411"/>
      <c r="F66" s="839" t="s">
        <v>396</v>
      </c>
      <c r="G66" s="562" t="s">
        <v>1413</v>
      </c>
      <c r="H66" s="415"/>
      <c r="I66" s="415"/>
      <c r="J66" s="562" t="s">
        <v>1414</v>
      </c>
      <c r="K66" s="562" t="s">
        <v>1415</v>
      </c>
      <c r="L66" s="563" t="s">
        <v>1416</v>
      </c>
    </row>
    <row r="67" spans="1:12" x14ac:dyDescent="0.25">
      <c r="A67" s="577"/>
      <c r="C67" s="850"/>
      <c r="D67" s="851"/>
      <c r="E67" s="851"/>
      <c r="F67" s="852"/>
      <c r="G67" s="853"/>
      <c r="H67" s="851"/>
      <c r="I67" s="851"/>
      <c r="J67" s="597"/>
      <c r="K67" s="597"/>
      <c r="L67" s="597"/>
    </row>
    <row r="68" spans="1:12" x14ac:dyDescent="0.25">
      <c r="A68" s="577"/>
      <c r="B68" s="1117" t="s">
        <v>1417</v>
      </c>
      <c r="C68" s="1119" t="s">
        <v>1418</v>
      </c>
      <c r="D68" s="1119"/>
      <c r="E68" s="1119"/>
      <c r="F68" s="417"/>
      <c r="G68" s="1115" t="s">
        <v>1419</v>
      </c>
      <c r="H68" s="1115"/>
      <c r="I68" s="1116"/>
      <c r="J68" s="1114" t="s">
        <v>1420</v>
      </c>
      <c r="K68" s="1115"/>
      <c r="L68" s="1116"/>
    </row>
    <row r="69" spans="1:12" x14ac:dyDescent="0.25">
      <c r="A69" s="577"/>
      <c r="B69" s="1118"/>
      <c r="C69" s="838" t="s">
        <v>215</v>
      </c>
      <c r="D69" s="838" t="s">
        <v>1421</v>
      </c>
      <c r="E69" s="418" t="s">
        <v>1422</v>
      </c>
      <c r="F69" s="419" t="s">
        <v>1354</v>
      </c>
      <c r="G69" s="418" t="s">
        <v>215</v>
      </c>
      <c r="H69" s="418" t="s">
        <v>1421</v>
      </c>
      <c r="I69" s="418" t="s">
        <v>1422</v>
      </c>
      <c r="J69" s="838" t="s">
        <v>215</v>
      </c>
      <c r="K69" s="418" t="s">
        <v>1421</v>
      </c>
      <c r="L69" s="418" t="s">
        <v>1422</v>
      </c>
    </row>
    <row r="70" spans="1:12" x14ac:dyDescent="0.25">
      <c r="A70" s="577"/>
      <c r="B70" s="426" t="s">
        <v>1467</v>
      </c>
      <c r="C70" s="239"/>
      <c r="D70" s="239"/>
      <c r="E70" s="421"/>
      <c r="F70" s="422"/>
      <c r="G70" s="421"/>
      <c r="H70" s="421"/>
      <c r="I70" s="421"/>
      <c r="J70" s="239"/>
      <c r="K70" s="421"/>
      <c r="L70" s="421"/>
    </row>
    <row r="71" spans="1:12" x14ac:dyDescent="0.25">
      <c r="A71" s="103">
        <f>A63+1</f>
        <v>54</v>
      </c>
      <c r="B71" s="595" t="s">
        <v>1468</v>
      </c>
      <c r="C71" s="986">
        <v>0</v>
      </c>
      <c r="D71" s="977">
        <v>0</v>
      </c>
      <c r="E71" s="977">
        <v>0</v>
      </c>
      <c r="F71" s="979" t="s">
        <v>1562</v>
      </c>
      <c r="G71" s="986">
        <v>0</v>
      </c>
      <c r="H71" s="977">
        <v>0</v>
      </c>
      <c r="I71" s="977">
        <v>0</v>
      </c>
      <c r="J71" s="986">
        <v>0</v>
      </c>
      <c r="K71" s="986">
        <v>0</v>
      </c>
      <c r="L71" s="986">
        <v>0</v>
      </c>
    </row>
    <row r="72" spans="1:12" x14ac:dyDescent="0.25">
      <c r="A72" s="103">
        <f t="shared" ref="A72:A85" si="1">A71+1</f>
        <v>55</v>
      </c>
      <c r="B72" s="595" t="s">
        <v>1469</v>
      </c>
      <c r="C72" s="986">
        <v>0</v>
      </c>
      <c r="D72" s="977">
        <v>0</v>
      </c>
      <c r="E72" s="977">
        <v>0</v>
      </c>
      <c r="F72" s="979" t="s">
        <v>1562</v>
      </c>
      <c r="G72" s="986">
        <v>0</v>
      </c>
      <c r="H72" s="977">
        <v>0</v>
      </c>
      <c r="I72" s="977">
        <v>0</v>
      </c>
      <c r="J72" s="986">
        <v>0</v>
      </c>
      <c r="K72" s="986">
        <v>0</v>
      </c>
      <c r="L72" s="986">
        <v>0</v>
      </c>
    </row>
    <row r="73" spans="1:12" x14ac:dyDescent="0.25">
      <c r="A73" s="103">
        <f t="shared" si="1"/>
        <v>56</v>
      </c>
      <c r="B73" s="595" t="s">
        <v>1470</v>
      </c>
      <c r="C73" s="986">
        <v>0</v>
      </c>
      <c r="D73" s="977">
        <v>0</v>
      </c>
      <c r="E73" s="977">
        <v>0</v>
      </c>
      <c r="F73" s="979" t="s">
        <v>1562</v>
      </c>
      <c r="G73" s="986">
        <v>0</v>
      </c>
      <c r="H73" s="977">
        <v>0</v>
      </c>
      <c r="I73" s="977">
        <v>0</v>
      </c>
      <c r="J73" s="986">
        <v>0</v>
      </c>
      <c r="K73" s="986">
        <v>0</v>
      </c>
      <c r="L73" s="986">
        <v>0</v>
      </c>
    </row>
    <row r="74" spans="1:12" x14ac:dyDescent="0.25">
      <c r="A74" s="103">
        <f t="shared" si="1"/>
        <v>57</v>
      </c>
      <c r="B74" s="595" t="s">
        <v>1471</v>
      </c>
      <c r="C74" s="986">
        <v>0</v>
      </c>
      <c r="D74" s="977">
        <v>0</v>
      </c>
      <c r="E74" s="977">
        <v>0</v>
      </c>
      <c r="F74" s="979" t="s">
        <v>1562</v>
      </c>
      <c r="G74" s="986">
        <v>0</v>
      </c>
      <c r="H74" s="977">
        <v>0</v>
      </c>
      <c r="I74" s="977">
        <v>0</v>
      </c>
      <c r="J74" s="986">
        <v>0</v>
      </c>
      <c r="K74" s="986">
        <v>0</v>
      </c>
      <c r="L74" s="986">
        <v>0</v>
      </c>
    </row>
    <row r="75" spans="1:12" x14ac:dyDescent="0.25">
      <c r="A75" s="103">
        <f t="shared" si="1"/>
        <v>58</v>
      </c>
      <c r="B75" s="595" t="s">
        <v>1472</v>
      </c>
      <c r="C75" s="986">
        <v>0</v>
      </c>
      <c r="D75" s="977">
        <v>0</v>
      </c>
      <c r="E75" s="977">
        <v>0</v>
      </c>
      <c r="F75" s="979" t="s">
        <v>1562</v>
      </c>
      <c r="G75" s="986">
        <v>0</v>
      </c>
      <c r="H75" s="977">
        <v>0</v>
      </c>
      <c r="I75" s="977">
        <v>0</v>
      </c>
      <c r="J75" s="986">
        <v>0</v>
      </c>
      <c r="K75" s="986">
        <v>0</v>
      </c>
      <c r="L75" s="986">
        <v>0</v>
      </c>
    </row>
    <row r="76" spans="1:12" x14ac:dyDescent="0.25">
      <c r="A76" s="103">
        <f t="shared" si="1"/>
        <v>59</v>
      </c>
      <c r="B76" s="595" t="s">
        <v>1473</v>
      </c>
      <c r="C76" s="986">
        <v>0</v>
      </c>
      <c r="D76" s="977">
        <v>0</v>
      </c>
      <c r="E76" s="977">
        <v>0</v>
      </c>
      <c r="F76" s="979" t="s">
        <v>1562</v>
      </c>
      <c r="G76" s="986">
        <v>0</v>
      </c>
      <c r="H76" s="977">
        <v>0</v>
      </c>
      <c r="I76" s="977">
        <v>0</v>
      </c>
      <c r="J76" s="986">
        <v>0</v>
      </c>
      <c r="K76" s="986">
        <v>0</v>
      </c>
      <c r="L76" s="986">
        <v>0</v>
      </c>
    </row>
    <row r="77" spans="1:12" x14ac:dyDescent="0.25">
      <c r="A77" s="103">
        <f t="shared" si="1"/>
        <v>60</v>
      </c>
      <c r="B77" s="595" t="s">
        <v>1474</v>
      </c>
      <c r="C77" s="986">
        <v>0</v>
      </c>
      <c r="D77" s="977">
        <v>0</v>
      </c>
      <c r="E77" s="977">
        <v>0</v>
      </c>
      <c r="F77" s="979" t="s">
        <v>1562</v>
      </c>
      <c r="G77" s="986">
        <v>0</v>
      </c>
      <c r="H77" s="977">
        <v>0</v>
      </c>
      <c r="I77" s="977">
        <v>0</v>
      </c>
      <c r="J77" s="986">
        <v>0</v>
      </c>
      <c r="K77" s="986">
        <v>0</v>
      </c>
      <c r="L77" s="986">
        <v>0</v>
      </c>
    </row>
    <row r="78" spans="1:12" x14ac:dyDescent="0.25">
      <c r="A78" s="103">
        <f t="shared" si="1"/>
        <v>61</v>
      </c>
      <c r="B78" s="595" t="s">
        <v>1475</v>
      </c>
      <c r="C78" s="986">
        <v>0</v>
      </c>
      <c r="D78" s="977">
        <v>0</v>
      </c>
      <c r="E78" s="977">
        <v>0</v>
      </c>
      <c r="F78" s="979" t="s">
        <v>1562</v>
      </c>
      <c r="G78" s="986">
        <v>0</v>
      </c>
      <c r="H78" s="977">
        <v>0</v>
      </c>
      <c r="I78" s="977">
        <v>0</v>
      </c>
      <c r="J78" s="986">
        <v>0</v>
      </c>
      <c r="K78" s="986">
        <v>0</v>
      </c>
      <c r="L78" s="986">
        <v>0</v>
      </c>
    </row>
    <row r="79" spans="1:12" x14ac:dyDescent="0.25">
      <c r="A79" s="103">
        <f t="shared" si="1"/>
        <v>62</v>
      </c>
      <c r="B79" s="595" t="s">
        <v>1476</v>
      </c>
      <c r="C79" s="986">
        <v>0</v>
      </c>
      <c r="D79" s="977">
        <v>0</v>
      </c>
      <c r="E79" s="977">
        <v>0</v>
      </c>
      <c r="F79" s="979" t="s">
        <v>1562</v>
      </c>
      <c r="G79" s="986">
        <v>0</v>
      </c>
      <c r="H79" s="977">
        <v>0</v>
      </c>
      <c r="I79" s="977">
        <v>0</v>
      </c>
      <c r="J79" s="986">
        <v>0</v>
      </c>
      <c r="K79" s="986">
        <v>0</v>
      </c>
      <c r="L79" s="986">
        <v>0</v>
      </c>
    </row>
    <row r="80" spans="1:12" x14ac:dyDescent="0.25">
      <c r="A80" s="103">
        <f>A79+1</f>
        <v>63</v>
      </c>
      <c r="B80" s="595" t="s">
        <v>2482</v>
      </c>
      <c r="C80" s="849">
        <v>0</v>
      </c>
      <c r="D80" s="849">
        <v>0</v>
      </c>
      <c r="E80" s="849">
        <v>0</v>
      </c>
      <c r="F80" s="857"/>
      <c r="G80" s="990">
        <v>0</v>
      </c>
      <c r="H80" s="990">
        <v>0</v>
      </c>
      <c r="I80" s="990">
        <v>0</v>
      </c>
      <c r="J80" s="990">
        <v>0</v>
      </c>
      <c r="K80" s="990">
        <v>0</v>
      </c>
      <c r="L80" s="990">
        <v>0</v>
      </c>
    </row>
    <row r="81" spans="1:12" x14ac:dyDescent="0.25">
      <c r="A81" s="103">
        <f t="shared" si="1"/>
        <v>64</v>
      </c>
      <c r="B81" s="425" t="s">
        <v>1477</v>
      </c>
      <c r="C81" s="986">
        <v>0</v>
      </c>
      <c r="D81" s="986">
        <v>0</v>
      </c>
      <c r="E81" s="986">
        <v>0</v>
      </c>
      <c r="F81" s="852"/>
      <c r="G81" s="986">
        <v>0</v>
      </c>
      <c r="H81" s="986">
        <v>0</v>
      </c>
      <c r="I81" s="986">
        <v>0</v>
      </c>
      <c r="J81" s="986">
        <v>0</v>
      </c>
      <c r="K81" s="986">
        <v>0</v>
      </c>
      <c r="L81" s="986">
        <v>0</v>
      </c>
    </row>
    <row r="82" spans="1:12" x14ac:dyDescent="0.25">
      <c r="A82" s="103">
        <f t="shared" si="1"/>
        <v>65</v>
      </c>
      <c r="B82" s="850"/>
      <c r="C82" s="856"/>
      <c r="D82" s="851"/>
      <c r="E82" s="851"/>
      <c r="F82" s="858"/>
      <c r="G82" s="853"/>
      <c r="H82" s="854"/>
      <c r="I82" s="854"/>
      <c r="J82" s="597"/>
      <c r="K82" s="597"/>
      <c r="L82" s="597"/>
    </row>
    <row r="83" spans="1:12" x14ac:dyDescent="0.25">
      <c r="A83" s="103">
        <f t="shared" si="1"/>
        <v>66</v>
      </c>
      <c r="B83" s="425" t="s">
        <v>1478</v>
      </c>
      <c r="C83" s="986">
        <v>0</v>
      </c>
      <c r="D83" s="986">
        <v>0</v>
      </c>
      <c r="E83" s="986">
        <v>0</v>
      </c>
      <c r="F83" s="859"/>
      <c r="G83" s="986">
        <v>0</v>
      </c>
      <c r="H83" s="986">
        <v>0</v>
      </c>
      <c r="I83" s="986">
        <v>0</v>
      </c>
      <c r="J83" s="986">
        <v>0</v>
      </c>
      <c r="K83" s="986">
        <v>0</v>
      </c>
      <c r="L83" s="986">
        <v>0</v>
      </c>
    </row>
    <row r="84" spans="1:12" x14ac:dyDescent="0.25">
      <c r="A84" s="103">
        <f t="shared" si="1"/>
        <v>67</v>
      </c>
      <c r="B84" s="850"/>
      <c r="C84" s="850"/>
      <c r="D84" s="850"/>
      <c r="E84" s="850"/>
      <c r="F84" s="859"/>
      <c r="G84" s="860"/>
      <c r="H84" s="854"/>
      <c r="I84" s="854"/>
      <c r="J84" s="508"/>
      <c r="K84" s="508"/>
      <c r="L84" s="508"/>
    </row>
    <row r="85" spans="1:12" x14ac:dyDescent="0.25">
      <c r="A85" s="103">
        <f t="shared" si="1"/>
        <v>68</v>
      </c>
      <c r="B85" s="595" t="s">
        <v>1479</v>
      </c>
      <c r="C85" s="977">
        <v>0</v>
      </c>
      <c r="D85" s="861" t="s">
        <v>1480</v>
      </c>
      <c r="E85" s="856" t="str">
        <f>"Must equal Line "&amp;A62&amp;", Column 2."</f>
        <v>Must equal Line 52, Column 2.</v>
      </c>
      <c r="F85" s="859"/>
      <c r="G85" s="427"/>
      <c r="H85" s="428"/>
      <c r="I85" s="428"/>
      <c r="J85" s="428"/>
      <c r="K85" s="428"/>
      <c r="L85" s="428"/>
    </row>
    <row r="86" spans="1:12" ht="15" x14ac:dyDescent="0.4">
      <c r="A86" s="103">
        <f>A85+1</f>
        <v>69</v>
      </c>
      <c r="B86" s="595" t="s">
        <v>1481</v>
      </c>
      <c r="C86" s="978">
        <v>0</v>
      </c>
      <c r="D86" s="861" t="s">
        <v>1482</v>
      </c>
      <c r="E86" s="856" t="str">
        <f>"Must equal Line "&amp;A81&amp;", Column 2."</f>
        <v>Must equal Line 64, Column 2.</v>
      </c>
      <c r="F86" s="859"/>
      <c r="G86" s="853"/>
      <c r="H86" s="597"/>
      <c r="I86" s="597"/>
      <c r="J86" s="597"/>
      <c r="K86" s="597"/>
      <c r="L86" s="597"/>
    </row>
    <row r="87" spans="1:12" x14ac:dyDescent="0.25">
      <c r="A87" s="103">
        <f>A86+1</f>
        <v>70</v>
      </c>
      <c r="B87" s="595" t="s">
        <v>2483</v>
      </c>
      <c r="C87" s="986">
        <v>0</v>
      </c>
      <c r="D87" s="861" t="str">
        <f>"20-AandG, Note 2, "&amp;'20-AandG'!B63&amp;""</f>
        <v>20-AandG, Note 2, f</v>
      </c>
      <c r="E87" s="856"/>
      <c r="F87" s="577"/>
      <c r="G87" s="853"/>
      <c r="H87" s="597"/>
      <c r="I87" s="597"/>
      <c r="J87" s="597"/>
      <c r="K87" s="597"/>
      <c r="L87" s="597"/>
    </row>
    <row r="88" spans="1:12" x14ac:dyDescent="0.25">
      <c r="A88" s="429"/>
      <c r="C88" s="430"/>
      <c r="D88" s="856"/>
      <c r="E88" s="856"/>
      <c r="F88" s="859"/>
      <c r="G88" s="853"/>
      <c r="H88" s="597"/>
      <c r="I88" s="597"/>
      <c r="J88" s="597"/>
      <c r="K88" s="597"/>
      <c r="L88" s="597"/>
    </row>
    <row r="89" spans="1:12" x14ac:dyDescent="0.25">
      <c r="A89" s="508"/>
      <c r="B89" s="402" t="s">
        <v>1558</v>
      </c>
      <c r="C89" s="850"/>
      <c r="D89" s="850"/>
      <c r="E89" s="850"/>
      <c r="F89" s="859"/>
      <c r="G89" s="860"/>
      <c r="H89" s="508"/>
      <c r="I89" s="508"/>
      <c r="J89" s="508"/>
      <c r="K89" s="508"/>
      <c r="L89" s="508"/>
    </row>
    <row r="90" spans="1:12" x14ac:dyDescent="0.25">
      <c r="A90" s="508"/>
      <c r="C90" s="850"/>
      <c r="D90" s="850"/>
      <c r="E90" s="850"/>
      <c r="F90" s="859"/>
      <c r="G90" s="860"/>
      <c r="H90" s="508"/>
      <c r="I90" s="508"/>
      <c r="J90" s="508"/>
      <c r="K90" s="508"/>
      <c r="L90" s="508"/>
    </row>
    <row r="91" spans="1:12" x14ac:dyDescent="0.25">
      <c r="A91" s="508"/>
      <c r="B91" s="84" t="s">
        <v>394</v>
      </c>
      <c r="C91" s="413" t="s">
        <v>378</v>
      </c>
      <c r="D91" s="413" t="s">
        <v>379</v>
      </c>
      <c r="E91" s="413" t="s">
        <v>380</v>
      </c>
      <c r="F91" s="414" t="s">
        <v>381</v>
      </c>
      <c r="G91" s="413" t="s">
        <v>382</v>
      </c>
      <c r="H91" s="413" t="s">
        <v>383</v>
      </c>
      <c r="I91" s="413" t="s">
        <v>595</v>
      </c>
      <c r="J91" s="945" t="s">
        <v>1043</v>
      </c>
      <c r="K91" s="335"/>
      <c r="L91" s="84"/>
    </row>
    <row r="92" spans="1:12" x14ac:dyDescent="0.25">
      <c r="A92" s="508"/>
      <c r="C92" s="850" t="s">
        <v>1483</v>
      </c>
      <c r="D92" s="850" t="s">
        <v>1484</v>
      </c>
      <c r="E92" s="850" t="s">
        <v>1485</v>
      </c>
      <c r="F92" s="860" t="s">
        <v>1309</v>
      </c>
      <c r="G92" s="563" t="s">
        <v>1413</v>
      </c>
      <c r="H92" s="564" t="s">
        <v>1896</v>
      </c>
      <c r="I92" s="564" t="s">
        <v>1897</v>
      </c>
      <c r="J92" s="477"/>
      <c r="K92" s="850"/>
      <c r="L92" s="508"/>
    </row>
    <row r="93" spans="1:12" x14ac:dyDescent="0.25">
      <c r="C93" s="850"/>
      <c r="D93" s="850"/>
      <c r="E93" s="850"/>
      <c r="F93" s="859"/>
      <c r="G93" s="860"/>
      <c r="H93" s="508"/>
      <c r="I93" s="508"/>
      <c r="J93" s="850"/>
      <c r="K93" s="850"/>
      <c r="L93" s="508"/>
    </row>
    <row r="94" spans="1:12" x14ac:dyDescent="0.25">
      <c r="A94" s="416"/>
      <c r="B94" s="1123" t="s">
        <v>1417</v>
      </c>
      <c r="C94" s="1114" t="s">
        <v>1420</v>
      </c>
      <c r="D94" s="1115"/>
      <c r="E94" s="1116"/>
      <c r="F94" s="431" t="s">
        <v>1621</v>
      </c>
      <c r="G94" s="1120" t="s">
        <v>1486</v>
      </c>
      <c r="H94" s="1121"/>
      <c r="I94" s="1122"/>
      <c r="J94" s="946" t="s">
        <v>1984</v>
      </c>
      <c r="K94" s="850"/>
    </row>
    <row r="95" spans="1:12" x14ac:dyDescent="0.25">
      <c r="B95" s="1123"/>
      <c r="C95" s="838" t="s">
        <v>215</v>
      </c>
      <c r="D95" s="418" t="s">
        <v>1421</v>
      </c>
      <c r="E95" s="418" t="s">
        <v>1422</v>
      </c>
      <c r="F95" s="431" t="s">
        <v>478</v>
      </c>
      <c r="G95" s="838" t="s">
        <v>215</v>
      </c>
      <c r="H95" s="418" t="s">
        <v>1421</v>
      </c>
      <c r="I95" s="418" t="s">
        <v>1422</v>
      </c>
      <c r="J95" s="881" t="s">
        <v>224</v>
      </c>
      <c r="K95" s="850"/>
      <c r="L95" s="508"/>
    </row>
    <row r="96" spans="1:12" x14ac:dyDescent="0.25">
      <c r="A96" s="49" t="s">
        <v>360</v>
      </c>
      <c r="B96" s="420" t="s">
        <v>1423</v>
      </c>
      <c r="C96" s="239"/>
      <c r="D96" s="421"/>
      <c r="E96" s="421"/>
      <c r="F96" s="432"/>
      <c r="G96" s="239"/>
      <c r="H96" s="421"/>
      <c r="I96" s="421"/>
      <c r="J96" s="477"/>
      <c r="K96" s="850"/>
      <c r="L96" s="508"/>
    </row>
    <row r="97" spans="1:12" x14ac:dyDescent="0.25">
      <c r="A97" s="103">
        <f>A87+1</f>
        <v>71</v>
      </c>
      <c r="B97" s="595" t="s">
        <v>1424</v>
      </c>
      <c r="C97" s="986">
        <v>0</v>
      </c>
      <c r="D97" s="986">
        <v>0</v>
      </c>
      <c r="E97" s="986">
        <v>0</v>
      </c>
      <c r="F97" s="970" t="s">
        <v>2690</v>
      </c>
      <c r="G97" s="986">
        <v>0</v>
      </c>
      <c r="H97" s="986">
        <v>0</v>
      </c>
      <c r="I97" s="986">
        <v>0</v>
      </c>
      <c r="J97" s="477" t="s">
        <v>2149</v>
      </c>
      <c r="K97" s="850"/>
      <c r="L97" s="508"/>
    </row>
    <row r="98" spans="1:12" x14ac:dyDescent="0.25">
      <c r="A98" s="103">
        <f t="shared" ref="A98:A149" si="2">A97+1</f>
        <v>72</v>
      </c>
      <c r="B98" s="595" t="s">
        <v>1425</v>
      </c>
      <c r="C98" s="986">
        <v>0</v>
      </c>
      <c r="D98" s="986">
        <v>0</v>
      </c>
      <c r="E98" s="986">
        <v>0</v>
      </c>
      <c r="F98" s="994">
        <v>1</v>
      </c>
      <c r="G98" s="986">
        <v>0</v>
      </c>
      <c r="H98" s="986">
        <v>0</v>
      </c>
      <c r="I98" s="986">
        <v>0</v>
      </c>
      <c r="J98" s="915" t="s">
        <v>2151</v>
      </c>
      <c r="K98" s="850"/>
      <c r="L98" s="508"/>
    </row>
    <row r="99" spans="1:12" x14ac:dyDescent="0.25">
      <c r="A99" s="103">
        <f t="shared" si="2"/>
        <v>73</v>
      </c>
      <c r="B99" s="595" t="s">
        <v>1426</v>
      </c>
      <c r="C99" s="986">
        <v>0</v>
      </c>
      <c r="D99" s="986">
        <v>0</v>
      </c>
      <c r="E99" s="986">
        <v>0</v>
      </c>
      <c r="F99" s="970" t="s">
        <v>2690</v>
      </c>
      <c r="G99" s="986">
        <v>0</v>
      </c>
      <c r="H99" s="986">
        <v>0</v>
      </c>
      <c r="I99" s="986">
        <v>0</v>
      </c>
      <c r="J99" s="477" t="str">
        <f>"27-Allocators Line "&amp;'27-Allocators'!A36&amp;""</f>
        <v>27-Allocators Line 30</v>
      </c>
      <c r="K99" s="850"/>
      <c r="L99" s="508"/>
    </row>
    <row r="100" spans="1:12" x14ac:dyDescent="0.25">
      <c r="A100" s="103">
        <f t="shared" si="2"/>
        <v>74</v>
      </c>
      <c r="B100" s="595" t="s">
        <v>1427</v>
      </c>
      <c r="C100" s="986">
        <v>0</v>
      </c>
      <c r="D100" s="986">
        <v>0</v>
      </c>
      <c r="E100" s="986">
        <v>0</v>
      </c>
      <c r="F100" s="970" t="s">
        <v>2690</v>
      </c>
      <c r="G100" s="986">
        <v>0</v>
      </c>
      <c r="H100" s="986">
        <v>0</v>
      </c>
      <c r="I100" s="986">
        <v>0</v>
      </c>
      <c r="J100" s="477" t="str">
        <f>"27-Allocators Line "&amp;'27-Allocators'!A36&amp;""</f>
        <v>27-Allocators Line 30</v>
      </c>
      <c r="K100" s="850"/>
      <c r="L100" s="508"/>
    </row>
    <row r="101" spans="1:12" x14ac:dyDescent="0.25">
      <c r="A101" s="103">
        <f t="shared" si="2"/>
        <v>75</v>
      </c>
      <c r="B101" s="595" t="s">
        <v>1428</v>
      </c>
      <c r="C101" s="986">
        <v>0</v>
      </c>
      <c r="D101" s="986">
        <v>0</v>
      </c>
      <c r="E101" s="986">
        <v>0</v>
      </c>
      <c r="F101" s="970" t="s">
        <v>2690</v>
      </c>
      <c r="G101" s="986">
        <v>0</v>
      </c>
      <c r="H101" s="986">
        <v>0</v>
      </c>
      <c r="I101" s="986">
        <v>0</v>
      </c>
      <c r="J101" s="477" t="str">
        <f>"27-Allocators Line "&amp;'27-Allocators'!A36&amp;""</f>
        <v>27-Allocators Line 30</v>
      </c>
      <c r="K101" s="850"/>
      <c r="L101" s="508"/>
    </row>
    <row r="102" spans="1:12" x14ac:dyDescent="0.25">
      <c r="A102" s="103">
        <f t="shared" si="2"/>
        <v>76</v>
      </c>
      <c r="B102" s="595" t="s">
        <v>1429</v>
      </c>
      <c r="C102" s="986">
        <v>0</v>
      </c>
      <c r="D102" s="986">
        <v>0</v>
      </c>
      <c r="E102" s="986">
        <v>0</v>
      </c>
      <c r="F102" s="994">
        <v>0</v>
      </c>
      <c r="G102" s="986">
        <v>0</v>
      </c>
      <c r="H102" s="986">
        <v>0</v>
      </c>
      <c r="I102" s="986">
        <v>0</v>
      </c>
      <c r="J102" s="915" t="s">
        <v>2152</v>
      </c>
      <c r="K102" s="850"/>
      <c r="L102" s="508"/>
    </row>
    <row r="103" spans="1:12" x14ac:dyDescent="0.25">
      <c r="A103" s="103">
        <f t="shared" si="2"/>
        <v>77</v>
      </c>
      <c r="B103" s="595" t="s">
        <v>1430</v>
      </c>
      <c r="C103" s="986">
        <v>0</v>
      </c>
      <c r="D103" s="986">
        <v>0</v>
      </c>
      <c r="E103" s="986">
        <v>0</v>
      </c>
      <c r="F103" s="994">
        <v>1</v>
      </c>
      <c r="G103" s="986">
        <v>0</v>
      </c>
      <c r="H103" s="986">
        <v>0</v>
      </c>
      <c r="I103" s="986">
        <v>0</v>
      </c>
      <c r="J103" s="915" t="s">
        <v>2151</v>
      </c>
      <c r="K103" s="850"/>
      <c r="L103" s="508"/>
    </row>
    <row r="104" spans="1:12" x14ac:dyDescent="0.25">
      <c r="A104" s="103">
        <f t="shared" si="2"/>
        <v>78</v>
      </c>
      <c r="B104" s="595" t="s">
        <v>1431</v>
      </c>
      <c r="C104" s="986">
        <v>0</v>
      </c>
      <c r="D104" s="986">
        <v>0</v>
      </c>
      <c r="E104" s="986">
        <v>0</v>
      </c>
      <c r="F104" s="994">
        <v>0</v>
      </c>
      <c r="G104" s="986">
        <v>0</v>
      </c>
      <c r="H104" s="986">
        <v>0</v>
      </c>
      <c r="I104" s="986">
        <v>0</v>
      </c>
      <c r="J104" s="915" t="s">
        <v>2152</v>
      </c>
      <c r="K104" s="856"/>
      <c r="L104" s="597"/>
    </row>
    <row r="105" spans="1:12" x14ac:dyDescent="0.25">
      <c r="A105" s="103">
        <f t="shared" si="2"/>
        <v>79</v>
      </c>
      <c r="B105" s="595" t="s">
        <v>1432</v>
      </c>
      <c r="C105" s="986">
        <v>0</v>
      </c>
      <c r="D105" s="986">
        <v>0</v>
      </c>
      <c r="E105" s="986">
        <v>0</v>
      </c>
      <c r="F105" s="970" t="s">
        <v>2690</v>
      </c>
      <c r="G105" s="986">
        <v>0</v>
      </c>
      <c r="H105" s="986">
        <v>0</v>
      </c>
      <c r="I105" s="986">
        <v>0</v>
      </c>
      <c r="J105" s="477" t="str">
        <f>"27-Allocators Line "&amp;'27-Allocators'!A42&amp;""</f>
        <v>27-Allocators Line 36</v>
      </c>
      <c r="K105" s="850"/>
      <c r="L105" s="508"/>
    </row>
    <row r="106" spans="1:12" ht="12.75" customHeight="1" x14ac:dyDescent="0.25">
      <c r="A106" s="103">
        <f t="shared" si="2"/>
        <v>80</v>
      </c>
      <c r="B106" s="863" t="s">
        <v>1433</v>
      </c>
      <c r="C106" s="986">
        <v>0</v>
      </c>
      <c r="D106" s="986">
        <v>0</v>
      </c>
      <c r="E106" s="986">
        <v>0</v>
      </c>
      <c r="F106" s="970" t="s">
        <v>2690</v>
      </c>
      <c r="G106" s="986">
        <v>0</v>
      </c>
      <c r="H106" s="986">
        <v>0</v>
      </c>
      <c r="I106" s="986">
        <v>0</v>
      </c>
      <c r="J106" s="477" t="str">
        <f>"27-Allocators Line "&amp;'27-Allocators'!A48&amp;""</f>
        <v>27-Allocators Line 42</v>
      </c>
      <c r="K106" s="856"/>
      <c r="L106" s="508"/>
    </row>
    <row r="107" spans="1:12" x14ac:dyDescent="0.25">
      <c r="A107" s="103">
        <f t="shared" si="2"/>
        <v>81</v>
      </c>
      <c r="B107" s="595" t="s">
        <v>1434</v>
      </c>
      <c r="C107" s="986">
        <v>0</v>
      </c>
      <c r="D107" s="986">
        <v>0</v>
      </c>
      <c r="E107" s="986">
        <v>0</v>
      </c>
      <c r="F107" s="991">
        <v>1</v>
      </c>
      <c r="G107" s="986">
        <v>0</v>
      </c>
      <c r="H107" s="986">
        <v>0</v>
      </c>
      <c r="I107" s="986">
        <v>0</v>
      </c>
      <c r="J107" s="915" t="s">
        <v>2151</v>
      </c>
      <c r="K107" s="850"/>
      <c r="L107" s="508"/>
    </row>
    <row r="108" spans="1:12" x14ac:dyDescent="0.25">
      <c r="A108" s="103">
        <f t="shared" si="2"/>
        <v>82</v>
      </c>
      <c r="B108" s="595" t="s">
        <v>1435</v>
      </c>
      <c r="C108" s="986">
        <v>0</v>
      </c>
      <c r="D108" s="986">
        <v>0</v>
      </c>
      <c r="E108" s="986">
        <v>0</v>
      </c>
      <c r="F108" s="970" t="s">
        <v>2690</v>
      </c>
      <c r="G108" s="986">
        <v>0</v>
      </c>
      <c r="H108" s="986">
        <v>0</v>
      </c>
      <c r="I108" s="986">
        <v>0</v>
      </c>
      <c r="J108" s="477" t="str">
        <f>"27-Allocators Line "&amp;'27-Allocators'!A54&amp;""</f>
        <v>27-Allocators Line 48</v>
      </c>
      <c r="K108" s="850"/>
      <c r="L108" s="508"/>
    </row>
    <row r="109" spans="1:12" x14ac:dyDescent="0.25">
      <c r="A109" s="103">
        <f t="shared" si="2"/>
        <v>83</v>
      </c>
      <c r="B109" s="595" t="s">
        <v>1436</v>
      </c>
      <c r="C109" s="986">
        <v>0</v>
      </c>
      <c r="D109" s="986">
        <v>0</v>
      </c>
      <c r="E109" s="986">
        <v>0</v>
      </c>
      <c r="F109" s="970" t="s">
        <v>2690</v>
      </c>
      <c r="G109" s="986">
        <v>0</v>
      </c>
      <c r="H109" s="986">
        <v>0</v>
      </c>
      <c r="I109" s="986">
        <v>0</v>
      </c>
      <c r="J109" s="477" t="str">
        <f>"27-Allocators Line "&amp;'27-Allocators'!A60&amp;""</f>
        <v>27-Allocators Line 54</v>
      </c>
      <c r="K109" s="850"/>
      <c r="L109" s="508"/>
    </row>
    <row r="110" spans="1:12" x14ac:dyDescent="0.25">
      <c r="A110" s="103">
        <f t="shared" si="2"/>
        <v>84</v>
      </c>
      <c r="B110" s="595" t="s">
        <v>1437</v>
      </c>
      <c r="C110" s="986">
        <v>0</v>
      </c>
      <c r="D110" s="986">
        <v>0</v>
      </c>
      <c r="E110" s="986">
        <v>0</v>
      </c>
      <c r="F110" s="994">
        <v>0</v>
      </c>
      <c r="G110" s="986">
        <v>0</v>
      </c>
      <c r="H110" s="986">
        <v>0</v>
      </c>
      <c r="I110" s="986">
        <v>0</v>
      </c>
      <c r="J110" s="915" t="s">
        <v>2152</v>
      </c>
      <c r="K110" s="856"/>
      <c r="L110" s="597"/>
    </row>
    <row r="111" spans="1:12" x14ac:dyDescent="0.25">
      <c r="A111" s="103">
        <f t="shared" si="2"/>
        <v>85</v>
      </c>
      <c r="B111" s="595" t="s">
        <v>1438</v>
      </c>
      <c r="C111" s="986">
        <v>0</v>
      </c>
      <c r="D111" s="986">
        <v>0</v>
      </c>
      <c r="E111" s="986">
        <v>0</v>
      </c>
      <c r="F111" s="994">
        <v>0</v>
      </c>
      <c r="G111" s="986">
        <v>0</v>
      </c>
      <c r="H111" s="986">
        <v>0</v>
      </c>
      <c r="I111" s="986">
        <v>0</v>
      </c>
      <c r="J111" s="915" t="s">
        <v>2152</v>
      </c>
      <c r="K111" s="850"/>
      <c r="L111" s="508"/>
    </row>
    <row r="112" spans="1:12" x14ac:dyDescent="0.25">
      <c r="A112" s="103">
        <f t="shared" si="2"/>
        <v>86</v>
      </c>
      <c r="B112" s="595" t="s">
        <v>1439</v>
      </c>
      <c r="C112" s="986">
        <v>0</v>
      </c>
      <c r="D112" s="986">
        <v>0</v>
      </c>
      <c r="E112" s="986">
        <v>0</v>
      </c>
      <c r="F112" s="994">
        <v>1</v>
      </c>
      <c r="G112" s="986">
        <v>0</v>
      </c>
      <c r="H112" s="986">
        <v>0</v>
      </c>
      <c r="I112" s="986">
        <v>0</v>
      </c>
      <c r="J112" s="915" t="s">
        <v>2151</v>
      </c>
      <c r="K112" s="850"/>
      <c r="L112" s="508"/>
    </row>
    <row r="113" spans="1:12" x14ac:dyDescent="0.25">
      <c r="A113" s="103">
        <f t="shared" si="2"/>
        <v>87</v>
      </c>
      <c r="B113" s="595" t="s">
        <v>1440</v>
      </c>
      <c r="C113" s="986">
        <v>0</v>
      </c>
      <c r="D113" s="986">
        <v>0</v>
      </c>
      <c r="E113" s="986">
        <v>0</v>
      </c>
      <c r="F113" s="994">
        <v>0</v>
      </c>
      <c r="G113" s="986">
        <v>0</v>
      </c>
      <c r="H113" s="986">
        <v>0</v>
      </c>
      <c r="I113" s="986">
        <v>0</v>
      </c>
      <c r="J113" s="915" t="s">
        <v>2152</v>
      </c>
      <c r="K113" s="856"/>
      <c r="L113" s="597"/>
    </row>
    <row r="114" spans="1:12" x14ac:dyDescent="0.25">
      <c r="A114" s="103">
        <f t="shared" si="2"/>
        <v>88</v>
      </c>
      <c r="B114" s="595" t="s">
        <v>2064</v>
      </c>
      <c r="C114" s="986">
        <v>0</v>
      </c>
      <c r="D114" s="986">
        <v>0</v>
      </c>
      <c r="E114" s="986">
        <v>0</v>
      </c>
      <c r="F114" s="970" t="s">
        <v>2690</v>
      </c>
      <c r="G114" s="986">
        <v>0</v>
      </c>
      <c r="H114" s="986">
        <v>0</v>
      </c>
      <c r="I114" s="986">
        <v>0</v>
      </c>
      <c r="J114" s="477" t="s">
        <v>2149</v>
      </c>
      <c r="K114" s="477"/>
      <c r="L114" s="424"/>
    </row>
    <row r="115" spans="1:12" x14ac:dyDescent="0.25">
      <c r="A115" s="103">
        <f t="shared" si="2"/>
        <v>89</v>
      </c>
      <c r="B115" s="595" t="s">
        <v>2065</v>
      </c>
      <c r="C115" s="986">
        <v>0</v>
      </c>
      <c r="D115" s="986">
        <v>0</v>
      </c>
      <c r="E115" s="986">
        <v>0</v>
      </c>
      <c r="F115" s="970" t="s">
        <v>2690</v>
      </c>
      <c r="G115" s="986">
        <v>0</v>
      </c>
      <c r="H115" s="986">
        <v>0</v>
      </c>
      <c r="I115" s="986">
        <v>0</v>
      </c>
      <c r="J115" s="477" t="s">
        <v>2149</v>
      </c>
      <c r="K115" s="477"/>
      <c r="L115" s="424"/>
    </row>
    <row r="116" spans="1:12" x14ac:dyDescent="0.25">
      <c r="A116" s="103">
        <f t="shared" si="2"/>
        <v>90</v>
      </c>
      <c r="B116" s="595" t="s">
        <v>1441</v>
      </c>
      <c r="C116" s="986">
        <v>0</v>
      </c>
      <c r="D116" s="986">
        <v>0</v>
      </c>
      <c r="E116" s="986">
        <v>0</v>
      </c>
      <c r="F116" s="970" t="s">
        <v>2690</v>
      </c>
      <c r="G116" s="986">
        <v>0</v>
      </c>
      <c r="H116" s="986">
        <v>0</v>
      </c>
      <c r="I116" s="986">
        <v>0</v>
      </c>
      <c r="J116" s="477" t="str">
        <f>"7-PlantStudy, Line "&amp;'7-PlantStudy'!A28&amp;", C3"</f>
        <v>7-PlantStudy, Line 21, C3</v>
      </c>
      <c r="K116" s="850"/>
      <c r="L116" s="508"/>
    </row>
    <row r="117" spans="1:12" x14ac:dyDescent="0.25">
      <c r="A117" s="103">
        <f t="shared" si="2"/>
        <v>91</v>
      </c>
      <c r="B117" s="595" t="s">
        <v>1442</v>
      </c>
      <c r="C117" s="986">
        <v>0</v>
      </c>
      <c r="D117" s="986">
        <v>0</v>
      </c>
      <c r="E117" s="986">
        <v>0</v>
      </c>
      <c r="F117" s="970" t="s">
        <v>2690</v>
      </c>
      <c r="G117" s="986">
        <v>0</v>
      </c>
      <c r="H117" s="986">
        <v>0</v>
      </c>
      <c r="I117" s="986">
        <v>0</v>
      </c>
      <c r="J117" s="477" t="str">
        <f>"7-PlantStudy, Line "&amp;'7-PlantStudy'!A28&amp;", C3"</f>
        <v>7-PlantStudy, Line 21, C3</v>
      </c>
      <c r="K117" s="856"/>
      <c r="L117" s="597"/>
    </row>
    <row r="118" spans="1:12" x14ac:dyDescent="0.25">
      <c r="A118" s="103">
        <f t="shared" si="2"/>
        <v>92</v>
      </c>
      <c r="B118" s="595" t="s">
        <v>1443</v>
      </c>
      <c r="C118" s="986">
        <v>0</v>
      </c>
      <c r="D118" s="986">
        <v>0</v>
      </c>
      <c r="E118" s="986">
        <v>0</v>
      </c>
      <c r="F118" s="970" t="s">
        <v>2690</v>
      </c>
      <c r="G118" s="986">
        <v>0</v>
      </c>
      <c r="H118" s="986">
        <v>0</v>
      </c>
      <c r="I118" s="986">
        <v>0</v>
      </c>
      <c r="J118" s="477" t="str">
        <f>"7-PlantStudy, Line "&amp;'7-PlantStudy'!A28&amp;", C3"</f>
        <v>7-PlantStudy, Line 21, C3</v>
      </c>
      <c r="K118" s="477"/>
    </row>
    <row r="119" spans="1:12" x14ac:dyDescent="0.25">
      <c r="A119" s="103">
        <f t="shared" si="2"/>
        <v>93</v>
      </c>
      <c r="B119" s="595" t="s">
        <v>1444</v>
      </c>
      <c r="C119" s="986">
        <v>0</v>
      </c>
      <c r="D119" s="986">
        <v>0</v>
      </c>
      <c r="E119" s="986">
        <v>0</v>
      </c>
      <c r="F119" s="970" t="s">
        <v>2690</v>
      </c>
      <c r="G119" s="986">
        <v>0</v>
      </c>
      <c r="H119" s="986">
        <v>0</v>
      </c>
      <c r="I119" s="986">
        <v>0</v>
      </c>
      <c r="J119" s="477" t="str">
        <f>"7-PlantStudy, Line "&amp;'7-PlantStudy'!A28&amp;", C3"</f>
        <v>7-PlantStudy, Line 21, C3</v>
      </c>
      <c r="K119" s="477"/>
    </row>
    <row r="120" spans="1:12" x14ac:dyDescent="0.25">
      <c r="A120" s="103">
        <f t="shared" si="2"/>
        <v>94</v>
      </c>
      <c r="B120" s="595" t="s">
        <v>1445</v>
      </c>
      <c r="C120" s="986">
        <v>0</v>
      </c>
      <c r="D120" s="986">
        <v>0</v>
      </c>
      <c r="E120" s="986">
        <v>0</v>
      </c>
      <c r="F120" s="994">
        <v>1</v>
      </c>
      <c r="G120" s="986">
        <v>0</v>
      </c>
      <c r="H120" s="986">
        <v>0</v>
      </c>
      <c r="I120" s="986">
        <v>0</v>
      </c>
      <c r="J120" s="915" t="s">
        <v>2151</v>
      </c>
      <c r="K120" s="477"/>
    </row>
    <row r="121" spans="1:12" x14ac:dyDescent="0.25">
      <c r="A121" s="103">
        <f t="shared" si="2"/>
        <v>95</v>
      </c>
      <c r="B121" s="595" t="s">
        <v>1446</v>
      </c>
      <c r="C121" s="986">
        <v>0</v>
      </c>
      <c r="D121" s="986">
        <v>0</v>
      </c>
      <c r="E121" s="986">
        <v>0</v>
      </c>
      <c r="F121" s="970" t="s">
        <v>2690</v>
      </c>
      <c r="G121" s="986">
        <v>0</v>
      </c>
      <c r="H121" s="986">
        <v>0</v>
      </c>
      <c r="I121" s="986">
        <v>0</v>
      </c>
      <c r="J121" s="477" t="str">
        <f>"27-Allocators Line "&amp;'27-Allocators'!A66&amp;""</f>
        <v>27-Allocators Line 60</v>
      </c>
      <c r="K121" s="477"/>
    </row>
    <row r="122" spans="1:12" x14ac:dyDescent="0.25">
      <c r="A122" s="103">
        <f t="shared" si="2"/>
        <v>96</v>
      </c>
      <c r="B122" s="595" t="s">
        <v>1447</v>
      </c>
      <c r="C122" s="986">
        <v>0</v>
      </c>
      <c r="D122" s="986">
        <v>0</v>
      </c>
      <c r="E122" s="986">
        <v>0</v>
      </c>
      <c r="F122" s="970" t="s">
        <v>2690</v>
      </c>
      <c r="G122" s="986">
        <v>0</v>
      </c>
      <c r="H122" s="986">
        <v>0</v>
      </c>
      <c r="I122" s="986">
        <v>0</v>
      </c>
      <c r="J122" s="477" t="str">
        <f>"27-Allocators Line "&amp;'27-Allocators'!A72&amp;""</f>
        <v>27-Allocators Line 66</v>
      </c>
      <c r="K122" s="477"/>
    </row>
    <row r="123" spans="1:12" x14ac:dyDescent="0.25">
      <c r="A123" s="103">
        <f t="shared" si="2"/>
        <v>97</v>
      </c>
      <c r="B123" s="595" t="s">
        <v>1448</v>
      </c>
      <c r="C123" s="986">
        <v>0</v>
      </c>
      <c r="D123" s="986">
        <v>0</v>
      </c>
      <c r="E123" s="986">
        <v>0</v>
      </c>
      <c r="F123" s="994">
        <v>1</v>
      </c>
      <c r="G123" s="986">
        <v>0</v>
      </c>
      <c r="H123" s="986">
        <v>0</v>
      </c>
      <c r="I123" s="986">
        <v>0</v>
      </c>
      <c r="J123" s="915" t="s">
        <v>2151</v>
      </c>
      <c r="K123" s="477"/>
      <c r="L123" s="477"/>
    </row>
    <row r="124" spans="1:12" x14ac:dyDescent="0.25">
      <c r="A124" s="103">
        <f t="shared" si="2"/>
        <v>98</v>
      </c>
      <c r="B124" s="595" t="s">
        <v>1449</v>
      </c>
      <c r="C124" s="986">
        <v>0</v>
      </c>
      <c r="D124" s="986">
        <v>0</v>
      </c>
      <c r="E124" s="986">
        <v>0</v>
      </c>
      <c r="F124" s="994">
        <v>1</v>
      </c>
      <c r="G124" s="986">
        <v>0</v>
      </c>
      <c r="H124" s="986">
        <v>0</v>
      </c>
      <c r="I124" s="986">
        <v>0</v>
      </c>
      <c r="J124" s="915" t="s">
        <v>2151</v>
      </c>
      <c r="K124" s="477"/>
    </row>
    <row r="125" spans="1:12" x14ac:dyDescent="0.25">
      <c r="A125" s="103">
        <f t="shared" si="2"/>
        <v>99</v>
      </c>
      <c r="B125" s="595" t="s">
        <v>1450</v>
      </c>
      <c r="C125" s="986">
        <v>0</v>
      </c>
      <c r="D125" s="986">
        <v>0</v>
      </c>
      <c r="E125" s="986">
        <v>0</v>
      </c>
      <c r="F125" s="970" t="s">
        <v>2690</v>
      </c>
      <c r="G125" s="986">
        <v>0</v>
      </c>
      <c r="H125" s="986">
        <v>0</v>
      </c>
      <c r="I125" s="986">
        <v>0</v>
      </c>
      <c r="J125" s="477" t="s">
        <v>2154</v>
      </c>
      <c r="K125" s="477"/>
      <c r="L125" s="466"/>
    </row>
    <row r="126" spans="1:12" x14ac:dyDescent="0.25">
      <c r="A126" s="103">
        <f t="shared" si="2"/>
        <v>100</v>
      </c>
      <c r="B126" s="595" t="s">
        <v>1451</v>
      </c>
      <c r="C126" s="986">
        <v>0</v>
      </c>
      <c r="D126" s="986">
        <v>0</v>
      </c>
      <c r="E126" s="986">
        <v>0</v>
      </c>
      <c r="F126" s="994">
        <v>1</v>
      </c>
      <c r="G126" s="986">
        <v>0</v>
      </c>
      <c r="H126" s="986">
        <v>0</v>
      </c>
      <c r="I126" s="986">
        <v>0</v>
      </c>
      <c r="J126" s="915" t="s">
        <v>2151</v>
      </c>
      <c r="K126" s="477"/>
    </row>
    <row r="127" spans="1:12" x14ac:dyDescent="0.25">
      <c r="A127" s="103">
        <f t="shared" si="2"/>
        <v>101</v>
      </c>
      <c r="B127" s="595" t="s">
        <v>1452</v>
      </c>
      <c r="C127" s="986">
        <v>0</v>
      </c>
      <c r="D127" s="986">
        <v>0</v>
      </c>
      <c r="E127" s="986">
        <v>0</v>
      </c>
      <c r="F127" s="970" t="s">
        <v>2690</v>
      </c>
      <c r="G127" s="986">
        <v>0</v>
      </c>
      <c r="H127" s="986">
        <v>0</v>
      </c>
      <c r="I127" s="986">
        <v>0</v>
      </c>
      <c r="J127" s="477" t="s">
        <v>2153</v>
      </c>
      <c r="K127" s="477"/>
    </row>
    <row r="128" spans="1:12" x14ac:dyDescent="0.25">
      <c r="A128" s="103">
        <f t="shared" si="2"/>
        <v>102</v>
      </c>
      <c r="B128" s="595" t="s">
        <v>2712</v>
      </c>
      <c r="C128" s="986">
        <v>0</v>
      </c>
      <c r="D128" s="986">
        <v>0</v>
      </c>
      <c r="E128" s="986">
        <v>0</v>
      </c>
      <c r="F128" s="970" t="s">
        <v>2690</v>
      </c>
      <c r="G128" s="986">
        <v>0</v>
      </c>
      <c r="H128" s="986">
        <v>0</v>
      </c>
      <c r="I128" s="986">
        <v>0</v>
      </c>
      <c r="J128" s="477" t="s">
        <v>2149</v>
      </c>
      <c r="K128" s="477"/>
    </row>
    <row r="129" spans="1:12" x14ac:dyDescent="0.25">
      <c r="A129" s="103">
        <f t="shared" si="2"/>
        <v>103</v>
      </c>
      <c r="B129" s="595" t="s">
        <v>2713</v>
      </c>
      <c r="C129" s="986">
        <v>0</v>
      </c>
      <c r="D129" s="986">
        <v>0</v>
      </c>
      <c r="E129" s="986">
        <v>0</v>
      </c>
      <c r="F129" s="970" t="s">
        <v>2690</v>
      </c>
      <c r="G129" s="986">
        <v>0</v>
      </c>
      <c r="H129" s="986">
        <v>0</v>
      </c>
      <c r="I129" s="986">
        <v>0</v>
      </c>
      <c r="J129" s="477" t="s">
        <v>2149</v>
      </c>
      <c r="K129" s="477"/>
    </row>
    <row r="130" spans="1:12" x14ac:dyDescent="0.25">
      <c r="A130" s="103">
        <f t="shared" si="2"/>
        <v>104</v>
      </c>
      <c r="B130" s="595" t="s">
        <v>2714</v>
      </c>
      <c r="C130" s="986">
        <v>0</v>
      </c>
      <c r="D130" s="986">
        <v>0</v>
      </c>
      <c r="E130" s="986">
        <v>0</v>
      </c>
      <c r="F130" s="970" t="s">
        <v>2690</v>
      </c>
      <c r="G130" s="986">
        <v>0</v>
      </c>
      <c r="H130" s="986">
        <v>0</v>
      </c>
      <c r="I130" s="986">
        <v>0</v>
      </c>
      <c r="J130" s="477" t="s">
        <v>2149</v>
      </c>
      <c r="K130" s="477"/>
    </row>
    <row r="131" spans="1:12" x14ac:dyDescent="0.25">
      <c r="A131" s="103">
        <f t="shared" si="2"/>
        <v>105</v>
      </c>
      <c r="B131" s="595" t="s">
        <v>1453</v>
      </c>
      <c r="C131" s="986">
        <v>0</v>
      </c>
      <c r="D131" s="986">
        <v>0</v>
      </c>
      <c r="E131" s="986">
        <v>0</v>
      </c>
      <c r="F131" s="994">
        <v>1</v>
      </c>
      <c r="G131" s="986">
        <v>0</v>
      </c>
      <c r="H131" s="986">
        <v>0</v>
      </c>
      <c r="I131" s="986">
        <v>0</v>
      </c>
      <c r="J131" s="915" t="s">
        <v>2151</v>
      </c>
      <c r="K131" s="477"/>
    </row>
    <row r="132" spans="1:12" x14ac:dyDescent="0.25">
      <c r="A132" s="103">
        <f t="shared" si="2"/>
        <v>106</v>
      </c>
      <c r="B132" s="595" t="s">
        <v>1454</v>
      </c>
      <c r="C132" s="986">
        <v>0</v>
      </c>
      <c r="D132" s="986">
        <v>0</v>
      </c>
      <c r="E132" s="986">
        <v>0</v>
      </c>
      <c r="F132" s="970" t="s">
        <v>2690</v>
      </c>
      <c r="G132" s="986">
        <v>0</v>
      </c>
      <c r="H132" s="986">
        <v>0</v>
      </c>
      <c r="I132" s="986">
        <v>0</v>
      </c>
      <c r="J132" s="477" t="str">
        <f>"27-Allocators Line "&amp;'27-Allocators'!A78&amp;""</f>
        <v>27-Allocators Line 72</v>
      </c>
      <c r="K132" s="477"/>
      <c r="L132" s="234"/>
    </row>
    <row r="133" spans="1:12" x14ac:dyDescent="0.25">
      <c r="A133" s="103">
        <f t="shared" si="2"/>
        <v>107</v>
      </c>
      <c r="B133" s="595" t="s">
        <v>1455</v>
      </c>
      <c r="C133" s="986">
        <v>0</v>
      </c>
      <c r="D133" s="986">
        <v>0</v>
      </c>
      <c r="E133" s="986">
        <v>0</v>
      </c>
      <c r="F133" s="970" t="s">
        <v>2690</v>
      </c>
      <c r="G133" s="986">
        <v>0</v>
      </c>
      <c r="H133" s="986">
        <v>0</v>
      </c>
      <c r="I133" s="986">
        <v>0</v>
      </c>
      <c r="J133" s="477" t="str">
        <f>"27-Allocators Line "&amp;'27-Allocators'!A84&amp;""</f>
        <v>27-Allocators Line 78</v>
      </c>
      <c r="K133" s="477"/>
      <c r="L133" s="234"/>
    </row>
    <row r="134" spans="1:12" x14ac:dyDescent="0.25">
      <c r="A134" s="103">
        <f t="shared" si="2"/>
        <v>108</v>
      </c>
      <c r="B134" s="595" t="s">
        <v>1456</v>
      </c>
      <c r="C134" s="986">
        <v>0</v>
      </c>
      <c r="D134" s="986">
        <v>0</v>
      </c>
      <c r="E134" s="986">
        <v>0</v>
      </c>
      <c r="F134" s="970" t="s">
        <v>2690</v>
      </c>
      <c r="G134" s="986">
        <v>0</v>
      </c>
      <c r="H134" s="986">
        <v>0</v>
      </c>
      <c r="I134" s="986">
        <v>0</v>
      </c>
      <c r="J134" s="477" t="str">
        <f>"27-Allocators Line "&amp;'27-Allocators'!A90&amp;""</f>
        <v>27-Allocators Line 84</v>
      </c>
      <c r="K134" s="477"/>
      <c r="L134" s="234"/>
    </row>
    <row r="135" spans="1:12" x14ac:dyDescent="0.25">
      <c r="A135" s="103">
        <f t="shared" si="2"/>
        <v>109</v>
      </c>
      <c r="B135" s="595" t="s">
        <v>1457</v>
      </c>
      <c r="C135" s="986">
        <v>0</v>
      </c>
      <c r="D135" s="986">
        <v>0</v>
      </c>
      <c r="E135" s="986">
        <v>0</v>
      </c>
      <c r="F135" s="970" t="s">
        <v>2690</v>
      </c>
      <c r="G135" s="986">
        <v>0</v>
      </c>
      <c r="H135" s="986">
        <v>0</v>
      </c>
      <c r="I135" s="986">
        <v>0</v>
      </c>
      <c r="J135" s="477" t="s">
        <v>2154</v>
      </c>
      <c r="K135" s="477"/>
    </row>
    <row r="136" spans="1:12" x14ac:dyDescent="0.25">
      <c r="A136" s="103">
        <f t="shared" si="2"/>
        <v>110</v>
      </c>
      <c r="B136" s="468" t="s">
        <v>1850</v>
      </c>
      <c r="C136" s="986">
        <v>0</v>
      </c>
      <c r="D136" s="986">
        <v>0</v>
      </c>
      <c r="E136" s="986">
        <v>0</v>
      </c>
      <c r="F136" s="970" t="s">
        <v>2690</v>
      </c>
      <c r="G136" s="986">
        <v>0</v>
      </c>
      <c r="H136" s="986">
        <v>0</v>
      </c>
      <c r="I136" s="986">
        <v>0</v>
      </c>
      <c r="J136" s="477" t="str">
        <f>"27-Allocators Line "&amp;'27-Allocators'!A96&amp;""</f>
        <v>27-Allocators Line 90</v>
      </c>
      <c r="K136" s="477"/>
    </row>
    <row r="137" spans="1:12" x14ac:dyDescent="0.25">
      <c r="A137" s="103">
        <f t="shared" si="2"/>
        <v>111</v>
      </c>
      <c r="B137" s="595" t="s">
        <v>1458</v>
      </c>
      <c r="C137" s="986">
        <v>0</v>
      </c>
      <c r="D137" s="986">
        <v>0</v>
      </c>
      <c r="E137" s="986">
        <v>0</v>
      </c>
      <c r="F137" s="994">
        <v>1</v>
      </c>
      <c r="G137" s="986">
        <v>0</v>
      </c>
      <c r="H137" s="986">
        <v>0</v>
      </c>
      <c r="I137" s="986">
        <v>0</v>
      </c>
      <c r="J137" s="915" t="s">
        <v>2151</v>
      </c>
      <c r="K137" s="477"/>
    </row>
    <row r="138" spans="1:12" x14ac:dyDescent="0.25">
      <c r="A138" s="103">
        <f t="shared" si="2"/>
        <v>112</v>
      </c>
      <c r="B138" s="595" t="s">
        <v>1459</v>
      </c>
      <c r="C138" s="986">
        <v>0</v>
      </c>
      <c r="D138" s="986">
        <v>0</v>
      </c>
      <c r="E138" s="986">
        <v>0</v>
      </c>
      <c r="F138" s="970" t="s">
        <v>2690</v>
      </c>
      <c r="G138" s="986">
        <v>0</v>
      </c>
      <c r="H138" s="986">
        <v>0</v>
      </c>
      <c r="I138" s="986">
        <v>0</v>
      </c>
      <c r="J138" s="477" t="str">
        <f>"27-Allocators Line "&amp;'27-Allocators'!A54&amp;""</f>
        <v>27-Allocators Line 48</v>
      </c>
      <c r="K138" s="477"/>
      <c r="L138" s="477"/>
    </row>
    <row r="139" spans="1:12" x14ac:dyDescent="0.25">
      <c r="A139" s="103">
        <f t="shared" si="2"/>
        <v>113</v>
      </c>
      <c r="B139" s="595" t="s">
        <v>1460</v>
      </c>
      <c r="C139" s="986">
        <v>0</v>
      </c>
      <c r="D139" s="986">
        <v>0</v>
      </c>
      <c r="E139" s="986">
        <v>0</v>
      </c>
      <c r="F139" s="970" t="s">
        <v>2690</v>
      </c>
      <c r="G139" s="986">
        <v>0</v>
      </c>
      <c r="H139" s="986">
        <v>0</v>
      </c>
      <c r="I139" s="986">
        <v>0</v>
      </c>
      <c r="J139" s="477" t="str">
        <f>"27-Allocators Line "&amp;'27-Allocators'!A54&amp;""</f>
        <v>27-Allocators Line 48</v>
      </c>
      <c r="K139" s="477"/>
      <c r="L139" s="477"/>
    </row>
    <row r="140" spans="1:12" x14ac:dyDescent="0.25">
      <c r="A140" s="103">
        <f t="shared" si="2"/>
        <v>114</v>
      </c>
      <c r="B140" s="595" t="s">
        <v>1461</v>
      </c>
      <c r="C140" s="986">
        <v>0</v>
      </c>
      <c r="D140" s="986">
        <v>0</v>
      </c>
      <c r="E140" s="986">
        <v>0</v>
      </c>
      <c r="F140" s="970" t="s">
        <v>2690</v>
      </c>
      <c r="G140" s="986">
        <v>0</v>
      </c>
      <c r="H140" s="986">
        <v>0</v>
      </c>
      <c r="I140" s="986">
        <v>0</v>
      </c>
      <c r="J140" s="477" t="str">
        <f>"27-Allocators Line "&amp;'27-Allocators'!A54&amp;""</f>
        <v>27-Allocators Line 48</v>
      </c>
      <c r="K140" s="477"/>
      <c r="L140" s="477"/>
    </row>
    <row r="141" spans="1:12" x14ac:dyDescent="0.25">
      <c r="A141" s="103">
        <f t="shared" si="2"/>
        <v>115</v>
      </c>
      <c r="B141" s="595" t="s">
        <v>1655</v>
      </c>
      <c r="C141" s="986">
        <v>0</v>
      </c>
      <c r="D141" s="986">
        <v>0</v>
      </c>
      <c r="E141" s="986">
        <v>0</v>
      </c>
      <c r="F141" s="970" t="s">
        <v>2690</v>
      </c>
      <c r="G141" s="986">
        <v>0</v>
      </c>
      <c r="H141" s="986">
        <v>0</v>
      </c>
      <c r="I141" s="986">
        <v>0</v>
      </c>
      <c r="J141" s="477" t="str">
        <f>"27-Allocators Line "&amp;'27-Allocators'!A102&amp;""</f>
        <v>27-Allocators Line 96</v>
      </c>
      <c r="K141" s="477"/>
      <c r="L141" s="477"/>
    </row>
    <row r="142" spans="1:12" x14ac:dyDescent="0.25">
      <c r="A142" s="103">
        <f t="shared" si="2"/>
        <v>116</v>
      </c>
      <c r="B142" s="595" t="s">
        <v>1462</v>
      </c>
      <c r="C142" s="986">
        <v>0</v>
      </c>
      <c r="D142" s="986">
        <v>0</v>
      </c>
      <c r="E142" s="986">
        <v>0</v>
      </c>
      <c r="F142" s="994">
        <v>1</v>
      </c>
      <c r="G142" s="986">
        <v>0</v>
      </c>
      <c r="H142" s="986">
        <v>0</v>
      </c>
      <c r="I142" s="986">
        <v>0</v>
      </c>
      <c r="J142" s="915" t="s">
        <v>2151</v>
      </c>
      <c r="K142" s="477"/>
      <c r="L142" s="477"/>
    </row>
    <row r="143" spans="1:12" x14ac:dyDescent="0.25">
      <c r="A143" s="103">
        <f t="shared" si="2"/>
        <v>117</v>
      </c>
      <c r="B143" s="595" t="s">
        <v>1463</v>
      </c>
      <c r="C143" s="986">
        <v>0</v>
      </c>
      <c r="D143" s="986">
        <v>0</v>
      </c>
      <c r="E143" s="986">
        <v>0</v>
      </c>
      <c r="F143" s="970" t="s">
        <v>2690</v>
      </c>
      <c r="G143" s="986">
        <v>0</v>
      </c>
      <c r="H143" s="986">
        <v>0</v>
      </c>
      <c r="I143" s="986">
        <v>0</v>
      </c>
      <c r="J143" s="477" t="str">
        <f>"27-Allocators Line "&amp;'27-Allocators'!A60&amp;""</f>
        <v>27-Allocators Line 54</v>
      </c>
      <c r="K143" s="477"/>
    </row>
    <row r="144" spans="1:12" x14ac:dyDescent="0.25">
      <c r="A144" s="103">
        <f t="shared" si="2"/>
        <v>118</v>
      </c>
      <c r="B144" s="595" t="s">
        <v>1464</v>
      </c>
      <c r="C144" s="986">
        <v>0</v>
      </c>
      <c r="D144" s="986">
        <v>0</v>
      </c>
      <c r="E144" s="986">
        <v>0</v>
      </c>
      <c r="F144" s="994">
        <v>1</v>
      </c>
      <c r="G144" s="986">
        <v>0</v>
      </c>
      <c r="H144" s="986">
        <v>0</v>
      </c>
      <c r="I144" s="986">
        <v>0</v>
      </c>
      <c r="J144" s="915" t="s">
        <v>2151</v>
      </c>
      <c r="K144" s="477"/>
    </row>
    <row r="145" spans="1:12" x14ac:dyDescent="0.25">
      <c r="A145" s="103">
        <f t="shared" si="2"/>
        <v>119</v>
      </c>
      <c r="B145" s="595" t="s">
        <v>1465</v>
      </c>
      <c r="C145" s="986">
        <v>0</v>
      </c>
      <c r="D145" s="986">
        <v>0</v>
      </c>
      <c r="E145" s="986">
        <v>0</v>
      </c>
      <c r="F145" s="970" t="s">
        <v>2690</v>
      </c>
      <c r="G145" s="986">
        <v>0</v>
      </c>
      <c r="H145" s="986">
        <v>0</v>
      </c>
      <c r="I145" s="986">
        <v>0</v>
      </c>
      <c r="J145" s="477" t="str">
        <f>"27-Allocators Line "&amp;'27-Allocators'!A108&amp;""</f>
        <v>27-Allocators Line 102</v>
      </c>
      <c r="K145" s="477"/>
      <c r="L145" s="234"/>
    </row>
    <row r="146" spans="1:12" x14ac:dyDescent="0.25">
      <c r="A146" s="103">
        <f t="shared" si="2"/>
        <v>120</v>
      </c>
      <c r="B146" s="527" t="s">
        <v>563</v>
      </c>
      <c r="C146" s="848" t="s">
        <v>86</v>
      </c>
      <c r="D146" s="848" t="s">
        <v>86</v>
      </c>
      <c r="E146" s="848" t="s">
        <v>86</v>
      </c>
      <c r="F146" s="848" t="s">
        <v>86</v>
      </c>
      <c r="G146" s="848" t="s">
        <v>86</v>
      </c>
      <c r="H146" s="848" t="s">
        <v>86</v>
      </c>
      <c r="I146" s="848" t="s">
        <v>86</v>
      </c>
    </row>
    <row r="147" spans="1:12" x14ac:dyDescent="0.25">
      <c r="A147" s="103">
        <f t="shared" si="2"/>
        <v>121</v>
      </c>
      <c r="B147" s="595" t="s">
        <v>2484</v>
      </c>
      <c r="C147" s="864">
        <f>J61</f>
        <v>0</v>
      </c>
      <c r="D147" s="864">
        <f>K61</f>
        <v>0</v>
      </c>
      <c r="E147" s="864">
        <f>L61</f>
        <v>0</v>
      </c>
      <c r="F147" s="865"/>
      <c r="G147" s="990">
        <v>0</v>
      </c>
      <c r="H147" s="990">
        <v>0</v>
      </c>
      <c r="I147" s="866">
        <v>0</v>
      </c>
    </row>
    <row r="148" spans="1:12" x14ac:dyDescent="0.25">
      <c r="A148" s="103">
        <f t="shared" si="2"/>
        <v>122</v>
      </c>
      <c r="B148" s="424" t="s">
        <v>1487</v>
      </c>
      <c r="C148" s="986">
        <v>0</v>
      </c>
      <c r="D148" s="986">
        <v>0</v>
      </c>
      <c r="E148" s="986">
        <v>0</v>
      </c>
      <c r="F148" s="867"/>
      <c r="G148" s="986">
        <v>0</v>
      </c>
      <c r="H148" s="986">
        <v>0</v>
      </c>
      <c r="I148" s="986">
        <v>0</v>
      </c>
      <c r="K148" s="845"/>
      <c r="L148" s="477"/>
    </row>
    <row r="149" spans="1:12" x14ac:dyDescent="0.25">
      <c r="A149" s="103">
        <f t="shared" si="2"/>
        <v>123</v>
      </c>
      <c r="B149" s="508"/>
      <c r="C149" s="597"/>
      <c r="D149" s="597"/>
      <c r="E149" s="597"/>
      <c r="F149" s="867"/>
      <c r="G149" s="868"/>
      <c r="H149" s="862"/>
      <c r="I149" s="862"/>
      <c r="J149" s="862"/>
      <c r="K149" s="845"/>
    </row>
    <row r="150" spans="1:12" x14ac:dyDescent="0.25">
      <c r="A150" s="577"/>
      <c r="B150" s="425"/>
      <c r="C150" s="433"/>
      <c r="D150" s="433"/>
      <c r="E150" s="433"/>
      <c r="F150" s="434"/>
      <c r="G150" s="435"/>
      <c r="H150" s="433"/>
      <c r="I150" s="433"/>
      <c r="J150" s="433"/>
    </row>
    <row r="151" spans="1:12" x14ac:dyDescent="0.25">
      <c r="A151" s="577"/>
      <c r="B151" s="84" t="s">
        <v>394</v>
      </c>
      <c r="C151" s="413" t="s">
        <v>378</v>
      </c>
      <c r="D151" s="413" t="s">
        <v>379</v>
      </c>
      <c r="E151" s="413" t="s">
        <v>380</v>
      </c>
      <c r="F151" s="414" t="s">
        <v>381</v>
      </c>
      <c r="G151" s="413" t="s">
        <v>382</v>
      </c>
      <c r="H151" s="413" t="s">
        <v>383</v>
      </c>
      <c r="I151" s="413" t="s">
        <v>595</v>
      </c>
      <c r="J151" s="945" t="s">
        <v>1043</v>
      </c>
      <c r="K151" s="477"/>
    </row>
    <row r="152" spans="1:12" x14ac:dyDescent="0.25">
      <c r="A152" s="577"/>
      <c r="C152" s="850" t="s">
        <v>1483</v>
      </c>
      <c r="D152" s="850" t="s">
        <v>1484</v>
      </c>
      <c r="E152" s="850" t="s">
        <v>1485</v>
      </c>
      <c r="F152" s="860" t="s">
        <v>1309</v>
      </c>
      <c r="G152" s="563" t="s">
        <v>1413</v>
      </c>
      <c r="H152" s="564" t="s">
        <v>1896</v>
      </c>
      <c r="I152" s="564" t="s">
        <v>1897</v>
      </c>
      <c r="J152" s="477"/>
      <c r="K152" s="477"/>
    </row>
    <row r="153" spans="1:12" x14ac:dyDescent="0.25">
      <c r="A153" s="577"/>
      <c r="C153" s="850"/>
      <c r="D153" s="850"/>
      <c r="E153" s="850"/>
      <c r="F153" s="859"/>
      <c r="G153" s="860"/>
      <c r="H153" s="508"/>
      <c r="I153" s="508"/>
      <c r="J153" s="850"/>
      <c r="K153" s="477"/>
    </row>
    <row r="154" spans="1:12" x14ac:dyDescent="0.25">
      <c r="A154" s="577"/>
      <c r="B154" s="1123" t="s">
        <v>1417</v>
      </c>
      <c r="C154" s="1114" t="s">
        <v>1420</v>
      </c>
      <c r="D154" s="1115"/>
      <c r="E154" s="1116"/>
      <c r="F154" s="431" t="s">
        <v>1621</v>
      </c>
      <c r="G154" s="1120" t="s">
        <v>1486</v>
      </c>
      <c r="H154" s="1121"/>
      <c r="I154" s="1122"/>
      <c r="J154" s="946" t="s">
        <v>1984</v>
      </c>
      <c r="K154" s="477"/>
    </row>
    <row r="155" spans="1:12" x14ac:dyDescent="0.25">
      <c r="A155" s="577"/>
      <c r="B155" s="1123"/>
      <c r="C155" s="838" t="s">
        <v>215</v>
      </c>
      <c r="D155" s="418" t="s">
        <v>1421</v>
      </c>
      <c r="E155" s="418" t="s">
        <v>1422</v>
      </c>
      <c r="F155" s="431" t="s">
        <v>478</v>
      </c>
      <c r="G155" s="838" t="s">
        <v>215</v>
      </c>
      <c r="H155" s="418" t="s">
        <v>1421</v>
      </c>
      <c r="I155" s="418" t="s">
        <v>1422</v>
      </c>
      <c r="J155" s="881" t="s">
        <v>224</v>
      </c>
      <c r="K155" s="477"/>
    </row>
    <row r="156" spans="1:12" ht="12.75" customHeight="1" x14ac:dyDescent="0.25">
      <c r="A156" s="577"/>
      <c r="B156" s="426" t="s">
        <v>1467</v>
      </c>
      <c r="C156" s="597"/>
      <c r="D156" s="597"/>
      <c r="E156" s="597"/>
      <c r="F156" s="867"/>
      <c r="G156" s="868"/>
      <c r="H156" s="862"/>
      <c r="I156" s="862"/>
      <c r="J156" s="862"/>
      <c r="K156" s="477"/>
    </row>
    <row r="157" spans="1:12" ht="12.75" customHeight="1" x14ac:dyDescent="0.25">
      <c r="A157" s="103">
        <f>A149+1</f>
        <v>124</v>
      </c>
      <c r="B157" s="595" t="s">
        <v>1468</v>
      </c>
      <c r="C157" s="986">
        <v>0</v>
      </c>
      <c r="D157" s="986">
        <v>0</v>
      </c>
      <c r="E157" s="986">
        <v>0</v>
      </c>
      <c r="F157" s="970" t="s">
        <v>2690</v>
      </c>
      <c r="G157" s="986">
        <v>0</v>
      </c>
      <c r="H157" s="986">
        <v>0</v>
      </c>
      <c r="I157" s="986">
        <v>0</v>
      </c>
      <c r="J157" s="477" t="s">
        <v>2155</v>
      </c>
      <c r="K157" s="477"/>
    </row>
    <row r="158" spans="1:12" ht="12.75" customHeight="1" x14ac:dyDescent="0.25">
      <c r="A158" s="103">
        <f t="shared" ref="A158:A167" si="3">A157+1</f>
        <v>125</v>
      </c>
      <c r="B158" s="595" t="s">
        <v>1469</v>
      </c>
      <c r="C158" s="986">
        <v>0</v>
      </c>
      <c r="D158" s="986">
        <v>0</v>
      </c>
      <c r="E158" s="986">
        <v>0</v>
      </c>
      <c r="F158" s="970" t="s">
        <v>2690</v>
      </c>
      <c r="G158" s="986">
        <v>0</v>
      </c>
      <c r="H158" s="986">
        <v>0</v>
      </c>
      <c r="I158" s="986">
        <v>0</v>
      </c>
      <c r="J158" s="477" t="s">
        <v>2155</v>
      </c>
      <c r="K158" s="477"/>
    </row>
    <row r="159" spans="1:12" ht="12.75" customHeight="1" x14ac:dyDescent="0.25">
      <c r="A159" s="103">
        <f t="shared" si="3"/>
        <v>126</v>
      </c>
      <c r="B159" s="595" t="s">
        <v>1470</v>
      </c>
      <c r="C159" s="986">
        <v>0</v>
      </c>
      <c r="D159" s="986">
        <v>0</v>
      </c>
      <c r="E159" s="986">
        <v>0</v>
      </c>
      <c r="F159" s="970" t="s">
        <v>2690</v>
      </c>
      <c r="G159" s="986">
        <v>0</v>
      </c>
      <c r="H159" s="986">
        <v>0</v>
      </c>
      <c r="I159" s="986">
        <v>0</v>
      </c>
      <c r="J159" s="477" t="s">
        <v>2155</v>
      </c>
      <c r="K159" s="477"/>
    </row>
    <row r="160" spans="1:12" ht="12.75" customHeight="1" x14ac:dyDescent="0.25">
      <c r="A160" s="103">
        <f t="shared" si="3"/>
        <v>127</v>
      </c>
      <c r="B160" s="595" t="s">
        <v>1471</v>
      </c>
      <c r="C160" s="986">
        <v>0</v>
      </c>
      <c r="D160" s="986">
        <v>0</v>
      </c>
      <c r="E160" s="986">
        <v>0</v>
      </c>
      <c r="F160" s="970" t="s">
        <v>2690</v>
      </c>
      <c r="G160" s="986">
        <v>0</v>
      </c>
      <c r="H160" s="986">
        <v>0</v>
      </c>
      <c r="I160" s="986">
        <v>0</v>
      </c>
      <c r="J160" s="477" t="s">
        <v>2155</v>
      </c>
      <c r="K160" s="477"/>
    </row>
    <row r="161" spans="1:12" ht="12.75" customHeight="1" x14ac:dyDescent="0.25">
      <c r="A161" s="103">
        <f t="shared" si="3"/>
        <v>128</v>
      </c>
      <c r="B161" s="595" t="s">
        <v>1472</v>
      </c>
      <c r="C161" s="986">
        <v>0</v>
      </c>
      <c r="D161" s="986">
        <v>0</v>
      </c>
      <c r="E161" s="986">
        <v>0</v>
      </c>
      <c r="F161" s="970" t="s">
        <v>2690</v>
      </c>
      <c r="G161" s="986">
        <v>0</v>
      </c>
      <c r="H161" s="986">
        <v>0</v>
      </c>
      <c r="I161" s="986">
        <v>0</v>
      </c>
      <c r="J161" s="477" t="str">
        <f>"27-Allocators Line "&amp;'27-Allocators'!A114&amp;""</f>
        <v>27-Allocators Line 108</v>
      </c>
      <c r="K161" s="477"/>
    </row>
    <row r="162" spans="1:12" ht="12.75" customHeight="1" x14ac:dyDescent="0.25">
      <c r="A162" s="103">
        <f t="shared" si="3"/>
        <v>129</v>
      </c>
      <c r="B162" s="595" t="s">
        <v>1473</v>
      </c>
      <c r="C162" s="986">
        <v>0</v>
      </c>
      <c r="D162" s="986">
        <v>0</v>
      </c>
      <c r="E162" s="986">
        <v>0</v>
      </c>
      <c r="F162" s="970" t="s">
        <v>2690</v>
      </c>
      <c r="G162" s="986">
        <v>0</v>
      </c>
      <c r="H162" s="986">
        <v>0</v>
      </c>
      <c r="I162" s="986">
        <v>0</v>
      </c>
      <c r="J162" s="477" t="str">
        <f>"27-Allocators Line "&amp;'27-Allocators'!A120&amp;""</f>
        <v>27-Allocators Line 114</v>
      </c>
      <c r="K162" s="477"/>
    </row>
    <row r="163" spans="1:12" ht="12.75" customHeight="1" x14ac:dyDescent="0.25">
      <c r="A163" s="103">
        <f t="shared" si="3"/>
        <v>130</v>
      </c>
      <c r="B163" s="595" t="s">
        <v>1474</v>
      </c>
      <c r="C163" s="986">
        <v>0</v>
      </c>
      <c r="D163" s="986">
        <v>0</v>
      </c>
      <c r="E163" s="986">
        <v>0</v>
      </c>
      <c r="F163" s="970" t="s">
        <v>2690</v>
      </c>
      <c r="G163" s="986">
        <v>0</v>
      </c>
      <c r="H163" s="986">
        <v>0</v>
      </c>
      <c r="I163" s="986">
        <v>0</v>
      </c>
      <c r="J163" s="477" t="str">
        <f>"27-Allocators Line "&amp;'27-Allocators'!A126&amp;""</f>
        <v>27-Allocators Line 120</v>
      </c>
      <c r="K163" s="477"/>
    </row>
    <row r="164" spans="1:12" ht="12.75" customHeight="1" x14ac:dyDescent="0.25">
      <c r="A164" s="103">
        <f t="shared" si="3"/>
        <v>131</v>
      </c>
      <c r="B164" s="595" t="s">
        <v>1475</v>
      </c>
      <c r="C164" s="986">
        <v>0</v>
      </c>
      <c r="D164" s="986">
        <v>0</v>
      </c>
      <c r="E164" s="986">
        <v>0</v>
      </c>
      <c r="F164" s="970" t="s">
        <v>2690</v>
      </c>
      <c r="G164" s="986">
        <v>0</v>
      </c>
      <c r="H164" s="986">
        <v>0</v>
      </c>
      <c r="I164" s="986">
        <v>0</v>
      </c>
      <c r="J164" s="477" t="s">
        <v>2155</v>
      </c>
      <c r="K164" s="477"/>
      <c r="L164" s="234"/>
    </row>
    <row r="165" spans="1:12" ht="12.75" customHeight="1" x14ac:dyDescent="0.25">
      <c r="A165" s="947">
        <f t="shared" si="3"/>
        <v>132</v>
      </c>
      <c r="B165" s="948" t="s">
        <v>1476</v>
      </c>
      <c r="C165" s="986">
        <v>0</v>
      </c>
      <c r="D165" s="986">
        <v>0</v>
      </c>
      <c r="E165" s="986">
        <v>0</v>
      </c>
      <c r="F165" s="992">
        <v>0</v>
      </c>
      <c r="G165" s="986">
        <v>0</v>
      </c>
      <c r="H165" s="986">
        <v>0</v>
      </c>
      <c r="I165" s="986">
        <v>0</v>
      </c>
      <c r="J165" s="915" t="s">
        <v>2152</v>
      </c>
      <c r="K165" s="477"/>
    </row>
    <row r="166" spans="1:12" ht="12.75" customHeight="1" x14ac:dyDescent="0.25">
      <c r="A166" s="103">
        <f t="shared" si="3"/>
        <v>133</v>
      </c>
      <c r="B166" s="595" t="s">
        <v>2485</v>
      </c>
      <c r="C166" s="990">
        <v>0</v>
      </c>
      <c r="D166" s="990">
        <v>0</v>
      </c>
      <c r="E166" s="990">
        <v>0</v>
      </c>
      <c r="F166" s="993">
        <v>0</v>
      </c>
      <c r="G166" s="990">
        <v>0</v>
      </c>
      <c r="H166" s="990">
        <v>0</v>
      </c>
      <c r="I166" s="990">
        <v>0</v>
      </c>
      <c r="J166" s="915" t="s">
        <v>2152</v>
      </c>
      <c r="K166" s="477"/>
    </row>
    <row r="167" spans="1:12" x14ac:dyDescent="0.25">
      <c r="A167" s="103">
        <f t="shared" si="3"/>
        <v>134</v>
      </c>
      <c r="B167" s="425" t="s">
        <v>1488</v>
      </c>
      <c r="C167" s="986">
        <v>0</v>
      </c>
      <c r="D167" s="986">
        <v>0</v>
      </c>
      <c r="E167" s="986">
        <v>0</v>
      </c>
      <c r="F167" s="434"/>
      <c r="G167" s="986">
        <v>0</v>
      </c>
      <c r="H167" s="986">
        <v>0</v>
      </c>
      <c r="I167" s="986">
        <v>0</v>
      </c>
      <c r="J167" s="477"/>
      <c r="K167" s="477"/>
    </row>
    <row r="168" spans="1:12" x14ac:dyDescent="0.25">
      <c r="A168" s="103">
        <f>A167+1</f>
        <v>135</v>
      </c>
      <c r="B168" s="425"/>
      <c r="C168" s="597"/>
      <c r="D168" s="597"/>
      <c r="E168" s="597"/>
      <c r="F168" s="434"/>
      <c r="G168" s="854"/>
      <c r="H168" s="851"/>
      <c r="I168" s="436"/>
    </row>
    <row r="169" spans="1:12" x14ac:dyDescent="0.25">
      <c r="A169" s="103">
        <f>A168+1</f>
        <v>136</v>
      </c>
      <c r="B169" s="850"/>
      <c r="C169" s="856"/>
      <c r="D169" s="856"/>
      <c r="E169" s="856"/>
      <c r="F169" s="867"/>
      <c r="G169" s="862"/>
      <c r="H169" s="862"/>
      <c r="I169" s="862"/>
    </row>
    <row r="170" spans="1:12" x14ac:dyDescent="0.25">
      <c r="A170" s="103">
        <f>A169+1</f>
        <v>137</v>
      </c>
      <c r="B170" s="425" t="s">
        <v>1899</v>
      </c>
      <c r="C170" s="986">
        <v>0</v>
      </c>
      <c r="D170" s="986">
        <v>0</v>
      </c>
      <c r="E170" s="986">
        <v>0</v>
      </c>
      <c r="F170" s="422"/>
      <c r="G170" s="986">
        <v>0</v>
      </c>
      <c r="H170" s="986">
        <v>0</v>
      </c>
      <c r="I170" s="986">
        <v>0</v>
      </c>
    </row>
    <row r="171" spans="1:12" x14ac:dyDescent="0.25">
      <c r="A171" s="103">
        <f>A170+1</f>
        <v>138</v>
      </c>
      <c r="B171" s="477" t="str">
        <f>"Line "&amp;A148&amp;" +  Line "&amp;A167&amp;""</f>
        <v>Line 122 +  Line 134</v>
      </c>
    </row>
    <row r="173" spans="1:12" x14ac:dyDescent="0.25">
      <c r="B173" s="437" t="s">
        <v>256</v>
      </c>
    </row>
    <row r="174" spans="1:12" x14ac:dyDescent="0.25">
      <c r="B174" s="870" t="s">
        <v>1489</v>
      </c>
      <c r="G174" s="871"/>
      <c r="H174" s="872"/>
      <c r="I174" s="872"/>
      <c r="J174" s="477"/>
      <c r="K174" s="477"/>
    </row>
    <row r="175" spans="1:12" x14ac:dyDescent="0.25">
      <c r="B175" s="873" t="s">
        <v>1490</v>
      </c>
      <c r="G175" s="871"/>
      <c r="H175" s="872"/>
      <c r="I175" s="872"/>
      <c r="J175" s="477"/>
      <c r="K175" s="477"/>
    </row>
    <row r="176" spans="1:12" x14ac:dyDescent="0.25">
      <c r="B176" s="874" t="s">
        <v>1491</v>
      </c>
      <c r="G176" s="871"/>
      <c r="H176" s="872"/>
      <c r="I176" s="872"/>
      <c r="J176" s="477"/>
      <c r="K176" s="477"/>
    </row>
    <row r="177" spans="2:11" x14ac:dyDescent="0.25">
      <c r="B177" s="600" t="s">
        <v>1492</v>
      </c>
      <c r="G177" s="871"/>
      <c r="H177" s="872"/>
      <c r="I177" s="872"/>
      <c r="J177" s="477"/>
      <c r="K177" s="477"/>
    </row>
    <row r="178" spans="2:11" x14ac:dyDescent="0.25">
      <c r="B178" s="600" t="s">
        <v>1493</v>
      </c>
      <c r="G178" s="871"/>
      <c r="H178" s="872"/>
      <c r="I178" s="872"/>
      <c r="J178" s="477"/>
      <c r="K178" s="477"/>
    </row>
    <row r="179" spans="2:11" x14ac:dyDescent="0.25">
      <c r="B179" s="600" t="s">
        <v>1494</v>
      </c>
      <c r="G179" s="871"/>
      <c r="H179" s="872"/>
      <c r="I179" s="872"/>
      <c r="J179" s="477"/>
      <c r="K179" s="477"/>
    </row>
    <row r="180" spans="2:11" x14ac:dyDescent="0.25">
      <c r="B180" s="949" t="s">
        <v>1963</v>
      </c>
      <c r="G180" s="871"/>
      <c r="H180" s="872"/>
      <c r="I180" s="872"/>
      <c r="J180" s="477"/>
      <c r="K180" s="477"/>
    </row>
    <row r="181" spans="2:11" x14ac:dyDescent="0.25">
      <c r="B181" s="600" t="s">
        <v>2486</v>
      </c>
      <c r="G181" s="871"/>
      <c r="H181" s="872"/>
      <c r="I181" s="872"/>
      <c r="J181" s="477"/>
      <c r="K181" s="477"/>
    </row>
    <row r="182" spans="2:11" x14ac:dyDescent="0.25">
      <c r="B182" s="600" t="s">
        <v>2012</v>
      </c>
      <c r="G182" s="871"/>
      <c r="H182" s="872"/>
      <c r="I182" s="872"/>
      <c r="J182" s="477"/>
      <c r="K182" s="477"/>
    </row>
    <row r="183" spans="2:11" x14ac:dyDescent="0.25">
      <c r="B183" s="600" t="s">
        <v>2706</v>
      </c>
      <c r="G183" s="871"/>
      <c r="H183" s="872"/>
      <c r="I183" s="872"/>
      <c r="J183" s="477"/>
      <c r="K183" s="477"/>
    </row>
    <row r="184" spans="2:11" x14ac:dyDescent="0.25">
      <c r="B184" s="600" t="s">
        <v>2711</v>
      </c>
      <c r="G184" s="871"/>
      <c r="H184" s="872"/>
      <c r="I184" s="872"/>
      <c r="J184" s="477"/>
      <c r="K184" s="477"/>
    </row>
    <row r="185" spans="2:11" x14ac:dyDescent="0.25">
      <c r="B185" s="875" t="s">
        <v>563</v>
      </c>
      <c r="C185" s="846"/>
      <c r="D185" s="846"/>
      <c r="E185" s="846"/>
      <c r="F185" s="847"/>
      <c r="G185" s="876"/>
      <c r="H185" s="877"/>
      <c r="I185" s="877"/>
      <c r="J185" s="846"/>
      <c r="K185" s="846"/>
    </row>
    <row r="186" spans="2:11" x14ac:dyDescent="0.25">
      <c r="B186" s="477" t="s">
        <v>2496</v>
      </c>
      <c r="G186" s="871"/>
      <c r="H186" s="872"/>
      <c r="I186" s="872"/>
      <c r="J186" s="477"/>
      <c r="K186" s="477"/>
    </row>
    <row r="187" spans="2:11" x14ac:dyDescent="0.25">
      <c r="B187" s="477" t="s">
        <v>2487</v>
      </c>
      <c r="G187" s="871"/>
      <c r="H187" s="872"/>
      <c r="I187" s="872"/>
      <c r="J187" s="477"/>
      <c r="K187" s="477"/>
    </row>
    <row r="188" spans="2:11" x14ac:dyDescent="0.25">
      <c r="G188" s="871"/>
      <c r="H188" s="872"/>
      <c r="I188" s="872"/>
      <c r="J188" s="477"/>
      <c r="K188" s="477"/>
    </row>
    <row r="189" spans="2:11" x14ac:dyDescent="0.25">
      <c r="B189" s="950" t="s">
        <v>2488</v>
      </c>
      <c r="C189" s="995" t="s">
        <v>86</v>
      </c>
      <c r="G189" s="871"/>
      <c r="H189" s="872"/>
      <c r="I189" s="872"/>
      <c r="J189" s="477"/>
      <c r="K189" s="477"/>
    </row>
    <row r="190" spans="2:11" x14ac:dyDescent="0.25">
      <c r="G190" s="871"/>
      <c r="H190" s="872"/>
      <c r="I190" s="872"/>
      <c r="J190" s="477"/>
      <c r="K190" s="477"/>
    </row>
    <row r="191" spans="2:11" x14ac:dyDescent="0.25">
      <c r="B191" s="878"/>
      <c r="C191" s="455" t="s">
        <v>1622</v>
      </c>
      <c r="D191" s="455" t="s">
        <v>171</v>
      </c>
      <c r="G191" s="871"/>
      <c r="H191" s="872"/>
      <c r="I191" s="872"/>
      <c r="J191" s="477"/>
      <c r="K191" s="477"/>
    </row>
    <row r="192" spans="2:11" x14ac:dyDescent="0.25">
      <c r="B192" s="878" t="s">
        <v>2489</v>
      </c>
      <c r="C192" s="970" t="s">
        <v>2690</v>
      </c>
      <c r="D192" s="878" t="str">
        <f>"Line "&amp;A62&amp;", Col 3 / Line "&amp;A83&amp;", Col 3"</f>
        <v>Line 52, Col 3 / Line 66, Col 3</v>
      </c>
      <c r="G192" s="871"/>
      <c r="H192" s="872"/>
      <c r="I192" s="872"/>
      <c r="J192" s="477"/>
      <c r="K192" s="477"/>
    </row>
    <row r="193" spans="2:11" x14ac:dyDescent="0.25">
      <c r="B193" s="878" t="s">
        <v>2490</v>
      </c>
      <c r="C193" s="970" t="s">
        <v>2690</v>
      </c>
      <c r="D193" s="878" t="str">
        <f>"Line "&amp;A81&amp;", Col 3 / Line "&amp;A83&amp;", Col 3"</f>
        <v>Line 64, Col 3 / Line 66, Col 3</v>
      </c>
      <c r="G193" s="871"/>
      <c r="H193" s="872"/>
      <c r="I193" s="872"/>
      <c r="J193" s="477"/>
      <c r="K193" s="477"/>
    </row>
    <row r="194" spans="2:11" x14ac:dyDescent="0.25">
      <c r="B194" s="477"/>
      <c r="G194" s="871"/>
      <c r="H194" s="872"/>
      <c r="I194" s="872"/>
      <c r="J194" s="477"/>
      <c r="K194" s="477"/>
    </row>
    <row r="195" spans="2:11" x14ac:dyDescent="0.25">
      <c r="B195" s="477" t="s">
        <v>2491</v>
      </c>
      <c r="G195" s="871"/>
      <c r="H195" s="872"/>
      <c r="I195" s="872"/>
      <c r="J195" s="477"/>
      <c r="K195" s="477"/>
    </row>
    <row r="196" spans="2:11" x14ac:dyDescent="0.25">
      <c r="B196" s="477" t="s">
        <v>2492</v>
      </c>
      <c r="G196" s="871"/>
      <c r="H196" s="872"/>
      <c r="I196" s="872"/>
      <c r="J196" s="477"/>
      <c r="K196" s="477"/>
    </row>
    <row r="197" spans="2:11" x14ac:dyDescent="0.25">
      <c r="B197" s="477" t="s">
        <v>1983</v>
      </c>
      <c r="C197" s="970" t="s">
        <v>2690</v>
      </c>
      <c r="G197" s="871"/>
      <c r="H197" s="872"/>
      <c r="I197" s="872"/>
      <c r="J197" s="477"/>
      <c r="K197" s="477"/>
    </row>
    <row r="198" spans="2:11" x14ac:dyDescent="0.25">
      <c r="B198" s="477" t="s">
        <v>1898</v>
      </c>
      <c r="G198" s="871"/>
      <c r="H198" s="872"/>
      <c r="I198" s="872"/>
      <c r="J198" s="477"/>
      <c r="K198" s="477"/>
    </row>
    <row r="199" spans="2:11" x14ac:dyDescent="0.25">
      <c r="B199" s="477" t="s">
        <v>2150</v>
      </c>
      <c r="G199" s="871"/>
      <c r="H199" s="872"/>
      <c r="I199" s="872"/>
      <c r="J199" s="477"/>
      <c r="K199" s="477"/>
    </row>
    <row r="200" spans="2:11" x14ac:dyDescent="0.25">
      <c r="B200" s="477"/>
      <c r="G200" s="871"/>
      <c r="H200" s="872"/>
      <c r="I200" s="872"/>
      <c r="J200" s="477"/>
      <c r="K200" s="477"/>
    </row>
    <row r="201" spans="2:11" x14ac:dyDescent="0.25">
      <c r="B201" s="477" t="s">
        <v>2148</v>
      </c>
      <c r="G201" s="871"/>
      <c r="H201" s="872"/>
      <c r="I201" s="872"/>
      <c r="J201" s="477"/>
      <c r="K201" s="477"/>
    </row>
    <row r="202" spans="2:11" x14ac:dyDescent="0.25">
      <c r="B202" s="878" t="s">
        <v>2156</v>
      </c>
      <c r="G202" s="871"/>
      <c r="H202" s="872"/>
      <c r="I202" s="872"/>
      <c r="J202" s="951" t="s">
        <v>1984</v>
      </c>
      <c r="K202" s="477"/>
    </row>
    <row r="203" spans="2:11" x14ac:dyDescent="0.25">
      <c r="B203" s="952" t="s">
        <v>2162</v>
      </c>
      <c r="G203" s="871"/>
      <c r="H203" s="872"/>
      <c r="I203" s="872"/>
      <c r="J203" s="970" t="s">
        <v>2690</v>
      </c>
      <c r="K203" s="477"/>
    </row>
    <row r="204" spans="2:11" x14ac:dyDescent="0.25">
      <c r="B204" s="952" t="s">
        <v>2709</v>
      </c>
      <c r="G204" s="871"/>
      <c r="H204" s="872"/>
      <c r="I204" s="872"/>
      <c r="J204" s="953"/>
      <c r="K204" s="477"/>
    </row>
    <row r="205" spans="2:11" x14ac:dyDescent="0.25">
      <c r="B205" s="878" t="s">
        <v>2167</v>
      </c>
      <c r="G205" s="871"/>
      <c r="H205" s="872"/>
      <c r="I205" s="872"/>
      <c r="J205" s="477"/>
      <c r="K205" s="477"/>
    </row>
    <row r="206" spans="2:11" x14ac:dyDescent="0.25">
      <c r="B206" s="952" t="s">
        <v>1985</v>
      </c>
      <c r="G206" s="871"/>
      <c r="H206" s="872"/>
      <c r="I206" s="872"/>
      <c r="J206" s="970" t="s">
        <v>2690</v>
      </c>
      <c r="K206" s="477"/>
    </row>
    <row r="207" spans="2:11" x14ac:dyDescent="0.25">
      <c r="B207" s="878" t="s">
        <v>2169</v>
      </c>
      <c r="G207" s="871"/>
      <c r="H207" s="872"/>
      <c r="I207" s="872"/>
      <c r="J207" s="477"/>
      <c r="K207" s="477"/>
    </row>
    <row r="208" spans="2:11" x14ac:dyDescent="0.25">
      <c r="B208" s="952" t="s">
        <v>1986</v>
      </c>
      <c r="G208" s="871"/>
      <c r="H208" s="872"/>
      <c r="I208" s="872"/>
      <c r="J208" s="970" t="s">
        <v>2690</v>
      </c>
      <c r="K208" s="477"/>
    </row>
    <row r="209" spans="2:11" x14ac:dyDescent="0.25">
      <c r="B209" s="954" t="s">
        <v>1454</v>
      </c>
      <c r="G209" s="871"/>
      <c r="H209" s="872"/>
      <c r="I209" s="872"/>
      <c r="J209" s="477"/>
      <c r="K209" s="477"/>
    </row>
    <row r="210" spans="2:11" x14ac:dyDescent="0.25">
      <c r="B210" s="954" t="s">
        <v>1850</v>
      </c>
      <c r="G210" s="871"/>
      <c r="H210" s="872"/>
      <c r="I210" s="872"/>
      <c r="J210" s="477"/>
      <c r="K210" s="477"/>
    </row>
    <row r="211" spans="2:11" x14ac:dyDescent="0.25">
      <c r="B211" s="954" t="s">
        <v>1456</v>
      </c>
      <c r="G211" s="871"/>
      <c r="H211" s="872"/>
      <c r="I211" s="872"/>
      <c r="J211" s="477"/>
      <c r="K211" s="477"/>
    </row>
    <row r="212" spans="2:11" x14ac:dyDescent="0.25">
      <c r="B212" s="954" t="s">
        <v>1455</v>
      </c>
      <c r="G212" s="871"/>
      <c r="H212" s="872"/>
      <c r="I212" s="872"/>
      <c r="J212" s="477"/>
      <c r="K212" s="477"/>
    </row>
    <row r="213" spans="2:11" x14ac:dyDescent="0.25">
      <c r="B213" s="878" t="s">
        <v>2168</v>
      </c>
      <c r="G213" s="871"/>
      <c r="H213" s="872"/>
      <c r="I213" s="872"/>
      <c r="J213" s="477"/>
      <c r="K213" s="477"/>
    </row>
    <row r="214" spans="2:11" x14ac:dyDescent="0.25">
      <c r="B214" s="952" t="s">
        <v>2164</v>
      </c>
      <c r="G214" s="871"/>
      <c r="H214" s="872"/>
      <c r="I214" s="872"/>
      <c r="J214" s="970" t="s">
        <v>2690</v>
      </c>
      <c r="K214" s="477"/>
    </row>
    <row r="215" spans="2:11" x14ac:dyDescent="0.25">
      <c r="B215" s="952" t="s">
        <v>2163</v>
      </c>
      <c r="G215" s="871"/>
      <c r="H215" s="872"/>
      <c r="I215" s="872"/>
      <c r="J215" s="477"/>
      <c r="K215" s="477"/>
    </row>
    <row r="216" spans="2:11" x14ac:dyDescent="0.25">
      <c r="B216" s="477" t="s">
        <v>2172</v>
      </c>
      <c r="G216" s="871"/>
      <c r="H216" s="872"/>
      <c r="I216" s="872"/>
      <c r="J216" s="477"/>
      <c r="K216" s="477"/>
    </row>
  </sheetData>
  <mergeCells count="14">
    <mergeCell ref="G154:I154"/>
    <mergeCell ref="G94:I94"/>
    <mergeCell ref="B8:B9"/>
    <mergeCell ref="C8:E8"/>
    <mergeCell ref="G8:I8"/>
    <mergeCell ref="B94:B95"/>
    <mergeCell ref="C94:E94"/>
    <mergeCell ref="B154:B155"/>
    <mergeCell ref="C154:E154"/>
    <mergeCell ref="J8:L8"/>
    <mergeCell ref="B68:B69"/>
    <mergeCell ref="C68:E68"/>
    <mergeCell ref="G68:I68"/>
    <mergeCell ref="J68:L68"/>
  </mergeCells>
  <pageMargins left="0.7" right="0.7" top="0.75" bottom="0.75" header="0.3" footer="0.3"/>
  <pageSetup scale="58" orientation="landscape" cellComments="asDisplayed" r:id="rId1"/>
  <headerFooter>
    <oddHeader xml:space="preserve">&amp;C&amp;"Arial,Bold"Schedule 19
Operations and Maintenance&amp;"Arial,Regular"
</oddHeader>
    <oddFooter>&amp;R&amp;A</oddFooter>
  </headerFooter>
  <rowBreaks count="3" manualBreakCount="3">
    <brk id="64" max="11" man="1"/>
    <brk id="88" max="16383" man="1"/>
    <brk id="150"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3"/>
  <sheetViews>
    <sheetView topLeftCell="A52" zoomScale="90" zoomScaleNormal="90" workbookViewId="0">
      <selection activeCell="E69" sqref="E69"/>
    </sheetView>
  </sheetViews>
  <sheetFormatPr defaultRowHeight="13.2" x14ac:dyDescent="0.25"/>
  <cols>
    <col min="1" max="1" width="4.6640625" customWidth="1"/>
    <col min="2" max="2" width="2.6640625" customWidth="1"/>
    <col min="3" max="3" width="6.6640625" customWidth="1"/>
    <col min="4" max="4" width="32.5546875" customWidth="1"/>
    <col min="5" max="5" width="14.6640625" customWidth="1"/>
    <col min="6" max="6" width="15.6640625" customWidth="1"/>
    <col min="7" max="8" width="14.6640625" customWidth="1"/>
    <col min="9" max="9" width="18.6640625" customWidth="1"/>
    <col min="10" max="10" width="14.6640625" customWidth="1"/>
    <col min="11" max="11" width="11" bestFit="1" customWidth="1"/>
  </cols>
  <sheetData>
    <row r="1" spans="1:24" x14ac:dyDescent="0.25">
      <c r="A1" s="1" t="s">
        <v>308</v>
      </c>
      <c r="B1" s="466"/>
      <c r="C1" s="466"/>
      <c r="F1" s="42" t="s">
        <v>17</v>
      </c>
      <c r="G1" s="94"/>
      <c r="H1" s="59"/>
      <c r="I1" s="59"/>
    </row>
    <row r="2" spans="1:24" x14ac:dyDescent="0.25">
      <c r="E2" s="84" t="s">
        <v>394</v>
      </c>
      <c r="F2" s="84" t="s">
        <v>378</v>
      </c>
      <c r="G2" s="84" t="s">
        <v>379</v>
      </c>
      <c r="H2" s="84" t="s">
        <v>380</v>
      </c>
      <c r="I2" s="59"/>
    </row>
    <row r="3" spans="1:24" x14ac:dyDescent="0.25">
      <c r="G3" s="59" t="s">
        <v>236</v>
      </c>
    </row>
    <row r="4" spans="1:24" x14ac:dyDescent="0.25">
      <c r="E4" s="2" t="s">
        <v>528</v>
      </c>
      <c r="F4" s="25" t="s">
        <v>213</v>
      </c>
      <c r="G4" s="2" t="s">
        <v>1557</v>
      </c>
      <c r="I4" s="2"/>
    </row>
    <row r="5" spans="1:24" x14ac:dyDescent="0.25">
      <c r="A5" s="51" t="s">
        <v>350</v>
      </c>
      <c r="B5" s="3"/>
      <c r="C5" s="3" t="s">
        <v>126</v>
      </c>
      <c r="D5" s="3" t="s">
        <v>111</v>
      </c>
      <c r="E5" s="3" t="s">
        <v>194</v>
      </c>
      <c r="F5" s="24" t="s">
        <v>198</v>
      </c>
      <c r="G5" s="3" t="s">
        <v>127</v>
      </c>
      <c r="H5" s="3" t="s">
        <v>290</v>
      </c>
      <c r="I5" s="3" t="s">
        <v>187</v>
      </c>
      <c r="K5" s="3"/>
      <c r="L5" s="3"/>
      <c r="M5" s="3"/>
      <c r="N5" s="3"/>
      <c r="O5" s="3"/>
      <c r="P5" s="3"/>
      <c r="Q5" s="3"/>
      <c r="R5" s="3"/>
      <c r="S5" s="3"/>
      <c r="T5" s="3"/>
      <c r="U5" s="3"/>
      <c r="V5" s="3"/>
      <c r="W5" s="3"/>
      <c r="X5" s="3"/>
    </row>
    <row r="6" spans="1:24" x14ac:dyDescent="0.25">
      <c r="A6" s="2">
        <v>1</v>
      </c>
      <c r="C6" s="59">
        <v>920</v>
      </c>
      <c r="D6" t="s">
        <v>113</v>
      </c>
      <c r="E6" s="977">
        <v>0</v>
      </c>
      <c r="F6" s="59" t="s">
        <v>128</v>
      </c>
      <c r="G6" s="986">
        <v>0</v>
      </c>
      <c r="H6" s="986">
        <v>0</v>
      </c>
    </row>
    <row r="7" spans="1:24" x14ac:dyDescent="0.25">
      <c r="A7" s="2">
        <f>A6+1</f>
        <v>2</v>
      </c>
      <c r="C7" s="59">
        <v>921</v>
      </c>
      <c r="D7" t="s">
        <v>114</v>
      </c>
      <c r="E7" s="977">
        <v>0</v>
      </c>
      <c r="F7" s="59" t="s">
        <v>129</v>
      </c>
      <c r="G7" s="986">
        <v>0</v>
      </c>
      <c r="H7" s="986">
        <v>0</v>
      </c>
    </row>
    <row r="8" spans="1:24" x14ac:dyDescent="0.25">
      <c r="A8" s="2">
        <f>A7+1</f>
        <v>3</v>
      </c>
      <c r="C8" s="59">
        <v>922</v>
      </c>
      <c r="D8" t="s">
        <v>115</v>
      </c>
      <c r="E8" s="977">
        <v>0</v>
      </c>
      <c r="F8" s="59" t="s">
        <v>130</v>
      </c>
      <c r="G8" s="986">
        <v>0</v>
      </c>
      <c r="H8" s="986">
        <v>0</v>
      </c>
      <c r="I8" s="105" t="s">
        <v>2019</v>
      </c>
    </row>
    <row r="9" spans="1:24" x14ac:dyDescent="0.25">
      <c r="A9" s="2">
        <f t="shared" ref="A9:A20" si="0">A8+1</f>
        <v>4</v>
      </c>
      <c r="B9" s="2"/>
      <c r="C9" s="59">
        <v>923</v>
      </c>
      <c r="D9" t="s">
        <v>116</v>
      </c>
      <c r="E9" s="977">
        <v>0</v>
      </c>
      <c r="F9" s="59" t="s">
        <v>131</v>
      </c>
      <c r="G9" s="986">
        <v>0</v>
      </c>
      <c r="H9" s="986">
        <v>0</v>
      </c>
    </row>
    <row r="10" spans="1:24" x14ac:dyDescent="0.25">
      <c r="A10" s="2">
        <f t="shared" si="0"/>
        <v>5</v>
      </c>
      <c r="B10" s="2"/>
      <c r="C10" s="59">
        <v>924</v>
      </c>
      <c r="D10" t="s">
        <v>117</v>
      </c>
      <c r="E10" s="977">
        <v>0</v>
      </c>
      <c r="F10" s="59" t="s">
        <v>132</v>
      </c>
      <c r="G10" s="986">
        <v>0</v>
      </c>
      <c r="H10" s="986">
        <v>0</v>
      </c>
    </row>
    <row r="11" spans="1:24" x14ac:dyDescent="0.25">
      <c r="A11" s="2">
        <f t="shared" si="0"/>
        <v>6</v>
      </c>
      <c r="B11" s="2"/>
      <c r="C11" s="59">
        <v>925</v>
      </c>
      <c r="D11" t="s">
        <v>118</v>
      </c>
      <c r="E11" s="977">
        <v>0</v>
      </c>
      <c r="F11" s="59" t="s">
        <v>133</v>
      </c>
      <c r="G11" s="986">
        <v>0</v>
      </c>
      <c r="H11" s="986">
        <v>0</v>
      </c>
    </row>
    <row r="12" spans="1:24" x14ac:dyDescent="0.25">
      <c r="A12" s="2">
        <f t="shared" si="0"/>
        <v>7</v>
      </c>
      <c r="B12" s="2"/>
      <c r="C12" s="59">
        <v>926</v>
      </c>
      <c r="D12" t="s">
        <v>119</v>
      </c>
      <c r="E12" s="977">
        <v>0</v>
      </c>
      <c r="F12" s="59" t="s">
        <v>134</v>
      </c>
      <c r="G12" s="986">
        <v>0</v>
      </c>
      <c r="H12" s="986">
        <v>0</v>
      </c>
    </row>
    <row r="13" spans="1:24" x14ac:dyDescent="0.25">
      <c r="A13" s="2">
        <f t="shared" si="0"/>
        <v>8</v>
      </c>
      <c r="B13" s="2"/>
      <c r="C13" s="59">
        <v>927</v>
      </c>
      <c r="D13" t="s">
        <v>120</v>
      </c>
      <c r="E13" s="977">
        <v>0</v>
      </c>
      <c r="F13" s="59" t="s">
        <v>135</v>
      </c>
      <c r="G13" s="986">
        <v>0</v>
      </c>
      <c r="H13" s="986">
        <v>0</v>
      </c>
    </row>
    <row r="14" spans="1:24" x14ac:dyDescent="0.25">
      <c r="A14" s="2">
        <f t="shared" si="0"/>
        <v>9</v>
      </c>
      <c r="B14" s="2"/>
      <c r="C14" s="59">
        <v>928</v>
      </c>
      <c r="D14" s="11" t="s">
        <v>121</v>
      </c>
      <c r="E14" s="977">
        <v>0</v>
      </c>
      <c r="F14" s="59" t="s">
        <v>136</v>
      </c>
      <c r="G14" s="986">
        <v>0</v>
      </c>
      <c r="H14" s="986">
        <v>0</v>
      </c>
    </row>
    <row r="15" spans="1:24" x14ac:dyDescent="0.25">
      <c r="A15" s="2">
        <f t="shared" si="0"/>
        <v>10</v>
      </c>
      <c r="B15" s="2"/>
      <c r="C15" s="59">
        <v>929</v>
      </c>
      <c r="D15" t="s">
        <v>122</v>
      </c>
      <c r="E15" s="977">
        <v>0</v>
      </c>
      <c r="F15" s="59" t="s">
        <v>137</v>
      </c>
      <c r="G15" s="986">
        <v>0</v>
      </c>
      <c r="H15" s="986">
        <v>0</v>
      </c>
    </row>
    <row r="16" spans="1:24" x14ac:dyDescent="0.25">
      <c r="A16" s="2">
        <f t="shared" si="0"/>
        <v>11</v>
      </c>
      <c r="B16" s="2"/>
      <c r="C16" s="59">
        <v>930.1</v>
      </c>
      <c r="D16" t="s">
        <v>123</v>
      </c>
      <c r="E16" s="977">
        <v>0</v>
      </c>
      <c r="F16" s="59" t="s">
        <v>138</v>
      </c>
      <c r="G16" s="986">
        <v>0</v>
      </c>
      <c r="H16" s="986">
        <v>0</v>
      </c>
    </row>
    <row r="17" spans="1:8" x14ac:dyDescent="0.25">
      <c r="A17" s="2">
        <f t="shared" si="0"/>
        <v>12</v>
      </c>
      <c r="B17" s="2"/>
      <c r="C17" s="59">
        <v>930.2</v>
      </c>
      <c r="D17" t="s">
        <v>99</v>
      </c>
      <c r="E17" s="977">
        <v>0</v>
      </c>
      <c r="F17" s="59" t="s">
        <v>139</v>
      </c>
      <c r="G17" s="986">
        <v>0</v>
      </c>
      <c r="H17" s="986">
        <v>0</v>
      </c>
    </row>
    <row r="18" spans="1:8" x14ac:dyDescent="0.25">
      <c r="A18" s="2">
        <f t="shared" si="0"/>
        <v>13</v>
      </c>
      <c r="B18" s="2"/>
      <c r="C18" s="59">
        <v>931</v>
      </c>
      <c r="D18" t="s">
        <v>124</v>
      </c>
      <c r="E18" s="977">
        <v>0</v>
      </c>
      <c r="F18" s="59" t="s">
        <v>140</v>
      </c>
      <c r="G18" s="986">
        <v>0</v>
      </c>
      <c r="H18" s="986">
        <v>0</v>
      </c>
    </row>
    <row r="19" spans="1:8" ht="15" x14ac:dyDescent="0.4">
      <c r="A19" s="2">
        <f t="shared" si="0"/>
        <v>14</v>
      </c>
      <c r="B19" s="2"/>
      <c r="C19" s="59">
        <v>935</v>
      </c>
      <c r="D19" t="s">
        <v>125</v>
      </c>
      <c r="E19" s="978">
        <v>0</v>
      </c>
      <c r="F19" s="59" t="s">
        <v>141</v>
      </c>
      <c r="G19" s="986">
        <v>0</v>
      </c>
      <c r="H19" s="987">
        <v>0</v>
      </c>
    </row>
    <row r="20" spans="1:8" x14ac:dyDescent="0.25">
      <c r="A20" s="2">
        <f t="shared" si="0"/>
        <v>15</v>
      </c>
      <c r="E20" s="986">
        <v>0</v>
      </c>
      <c r="G20" s="35" t="s">
        <v>142</v>
      </c>
      <c r="H20" s="986">
        <v>0</v>
      </c>
    </row>
    <row r="22" spans="1:8" x14ac:dyDescent="0.25">
      <c r="F22" s="3" t="s">
        <v>194</v>
      </c>
      <c r="G22" s="3" t="s">
        <v>198</v>
      </c>
    </row>
    <row r="23" spans="1:8" x14ac:dyDescent="0.25">
      <c r="A23" s="2">
        <f>A20+1</f>
        <v>16</v>
      </c>
      <c r="E23" s="893" t="s">
        <v>2463</v>
      </c>
      <c r="F23" s="986">
        <v>0</v>
      </c>
      <c r="G23" s="45" t="str">
        <f>"Line "&amp;A20&amp;""</f>
        <v>Line 15</v>
      </c>
    </row>
    <row r="24" spans="1:8" ht="15" x14ac:dyDescent="0.4">
      <c r="A24" s="2">
        <f t="shared" ref="A24:A30" si="1">A23+1</f>
        <v>17</v>
      </c>
      <c r="E24" s="340" t="s">
        <v>323</v>
      </c>
      <c r="F24" s="987">
        <v>0</v>
      </c>
      <c r="G24" s="45" t="str">
        <f>"Line "&amp;A10&amp;""</f>
        <v>Line 5</v>
      </c>
    </row>
    <row r="25" spans="1:8" x14ac:dyDescent="0.25">
      <c r="A25" s="2">
        <f t="shared" si="1"/>
        <v>18</v>
      </c>
      <c r="E25" s="340" t="s">
        <v>1552</v>
      </c>
      <c r="F25" s="986">
        <v>0</v>
      </c>
      <c r="G25" s="45" t="str">
        <f>"Line "&amp;A23&amp;" - Line "&amp;A24&amp;""</f>
        <v>Line 16 - Line 17</v>
      </c>
    </row>
    <row r="26" spans="1:8" x14ac:dyDescent="0.25">
      <c r="A26" s="2">
        <f t="shared" si="1"/>
        <v>19</v>
      </c>
      <c r="E26" s="80" t="s">
        <v>143</v>
      </c>
      <c r="F26" s="971" t="s">
        <v>2690</v>
      </c>
      <c r="G26" s="45" t="str">
        <f>"27-Allocators, Line "&amp;'27-Allocators'!A15&amp;""</f>
        <v>27-Allocators, Line 9</v>
      </c>
    </row>
    <row r="27" spans="1:8" x14ac:dyDescent="0.25">
      <c r="A27" s="2">
        <f t="shared" si="1"/>
        <v>20</v>
      </c>
      <c r="E27" s="340" t="s">
        <v>1553</v>
      </c>
      <c r="F27" s="986">
        <v>0</v>
      </c>
      <c r="G27" s="45" t="str">
        <f>"Line "&amp;A25&amp;" * Line "&amp;A26&amp;""</f>
        <v>Line 18 * Line 19</v>
      </c>
    </row>
    <row r="28" spans="1:8" x14ac:dyDescent="0.25">
      <c r="A28" s="2">
        <f t="shared" si="1"/>
        <v>21</v>
      </c>
      <c r="E28" s="340" t="s">
        <v>105</v>
      </c>
      <c r="F28" s="971" t="s">
        <v>2690</v>
      </c>
      <c r="G28" s="105" t="str">
        <f>"27-Allocators, Line "&amp;'27-Allocators'!A28&amp;""</f>
        <v>27-Allocators, Line 22</v>
      </c>
    </row>
    <row r="29" spans="1:8" ht="15" x14ac:dyDescent="0.4">
      <c r="A29" s="2">
        <f t="shared" si="1"/>
        <v>22</v>
      </c>
      <c r="E29" s="340" t="s">
        <v>324</v>
      </c>
      <c r="F29" s="987">
        <v>0</v>
      </c>
      <c r="G29" s="45" t="str">
        <f>"Line "&amp;A10&amp;" Col 4 * Line "&amp;A28&amp;""</f>
        <v>Line 5 Col 4 * Line 21</v>
      </c>
    </row>
    <row r="30" spans="1:8" x14ac:dyDescent="0.25">
      <c r="A30" s="2">
        <f t="shared" si="1"/>
        <v>23</v>
      </c>
      <c r="E30" s="340" t="s">
        <v>325</v>
      </c>
      <c r="F30" s="986">
        <v>0</v>
      </c>
      <c r="G30" s="45" t="str">
        <f>"Line "&amp;A27&amp;" + Line "&amp;A29&amp;""</f>
        <v>Line 20 + Line 22</v>
      </c>
    </row>
    <row r="31" spans="1:8" x14ac:dyDescent="0.25">
      <c r="E31" s="13"/>
      <c r="F31" s="13"/>
      <c r="G31" s="13"/>
    </row>
    <row r="32" spans="1:8" x14ac:dyDescent="0.25">
      <c r="B32" s="1" t="s">
        <v>536</v>
      </c>
      <c r="E32" s="335" t="s">
        <v>394</v>
      </c>
      <c r="F32" s="335" t="s">
        <v>378</v>
      </c>
      <c r="G32" s="335" t="s">
        <v>379</v>
      </c>
      <c r="H32" s="84" t="s">
        <v>380</v>
      </c>
    </row>
    <row r="33" spans="1:11" x14ac:dyDescent="0.25">
      <c r="B33" s="1"/>
      <c r="E33" s="103" t="s">
        <v>530</v>
      </c>
      <c r="F33" s="335"/>
      <c r="G33" s="335"/>
      <c r="H33" s="84"/>
    </row>
    <row r="34" spans="1:11" x14ac:dyDescent="0.25">
      <c r="E34" s="103" t="s">
        <v>603</v>
      </c>
      <c r="F34" s="13"/>
      <c r="G34" s="13"/>
    </row>
    <row r="35" spans="1:11" x14ac:dyDescent="0.25">
      <c r="D35" s="2" t="s">
        <v>529</v>
      </c>
      <c r="E35" s="103" t="s">
        <v>602</v>
      </c>
      <c r="F35" s="103" t="s">
        <v>531</v>
      </c>
      <c r="G35" s="103"/>
      <c r="H35" s="2"/>
    </row>
    <row r="36" spans="1:11" x14ac:dyDescent="0.25">
      <c r="C36" s="3" t="s">
        <v>126</v>
      </c>
      <c r="D36" s="84" t="s">
        <v>1219</v>
      </c>
      <c r="E36" s="113" t="s">
        <v>1419</v>
      </c>
      <c r="F36" s="113" t="s">
        <v>532</v>
      </c>
      <c r="G36" s="113" t="s">
        <v>2464</v>
      </c>
      <c r="H36" s="3" t="s">
        <v>533</v>
      </c>
      <c r="I36" s="3" t="s">
        <v>187</v>
      </c>
    </row>
    <row r="37" spans="1:11" x14ac:dyDescent="0.25">
      <c r="A37" s="2">
        <f>A30+1</f>
        <v>24</v>
      </c>
      <c r="C37" s="59">
        <v>920</v>
      </c>
      <c r="D37" s="986">
        <v>0</v>
      </c>
      <c r="E37" s="977">
        <v>0</v>
      </c>
      <c r="F37" s="977">
        <v>0</v>
      </c>
      <c r="G37" s="986">
        <v>0</v>
      </c>
      <c r="H37" s="977">
        <v>0</v>
      </c>
      <c r="I37" s="465" t="s">
        <v>2032</v>
      </c>
      <c r="J37" s="13"/>
    </row>
    <row r="38" spans="1:11" x14ac:dyDescent="0.25">
      <c r="A38" s="2">
        <f>A37+1</f>
        <v>25</v>
      </c>
      <c r="C38" s="59">
        <v>921</v>
      </c>
      <c r="D38" s="986">
        <v>0</v>
      </c>
      <c r="E38" s="977">
        <v>0</v>
      </c>
      <c r="F38" s="977">
        <v>0</v>
      </c>
      <c r="G38" s="977">
        <v>0</v>
      </c>
      <c r="H38" s="977">
        <v>0</v>
      </c>
      <c r="I38" s="15"/>
    </row>
    <row r="39" spans="1:11" x14ac:dyDescent="0.25">
      <c r="A39" s="2">
        <f t="shared" ref="A39:A50" si="2">A38+1</f>
        <v>26</v>
      </c>
      <c r="C39" s="59">
        <v>922</v>
      </c>
      <c r="D39" s="986">
        <v>0</v>
      </c>
      <c r="E39" s="977">
        <v>0</v>
      </c>
      <c r="F39" s="977">
        <v>0</v>
      </c>
      <c r="G39" s="977">
        <v>0</v>
      </c>
      <c r="H39" s="977">
        <v>0</v>
      </c>
      <c r="I39" s="15"/>
    </row>
    <row r="40" spans="1:11" x14ac:dyDescent="0.25">
      <c r="A40" s="2">
        <f t="shared" si="2"/>
        <v>27</v>
      </c>
      <c r="C40" s="59">
        <v>923</v>
      </c>
      <c r="D40" s="986">
        <v>0</v>
      </c>
      <c r="E40" s="977">
        <v>0</v>
      </c>
      <c r="F40" s="977">
        <v>0</v>
      </c>
      <c r="G40" s="977">
        <v>0</v>
      </c>
      <c r="H40" s="977">
        <v>0</v>
      </c>
      <c r="I40" s="15"/>
      <c r="J40" s="3"/>
      <c r="K40" s="3"/>
    </row>
    <row r="41" spans="1:11" x14ac:dyDescent="0.25">
      <c r="A41" s="2">
        <f t="shared" si="2"/>
        <v>28</v>
      </c>
      <c r="C41" s="59">
        <v>924</v>
      </c>
      <c r="D41" s="986">
        <v>0</v>
      </c>
      <c r="E41" s="977">
        <v>0</v>
      </c>
      <c r="F41" s="977">
        <v>0</v>
      </c>
      <c r="G41" s="977">
        <v>0</v>
      </c>
      <c r="H41" s="977">
        <v>0</v>
      </c>
      <c r="I41" s="15"/>
      <c r="K41" s="6"/>
    </row>
    <row r="42" spans="1:11" x14ac:dyDescent="0.25">
      <c r="A42" s="2">
        <f t="shared" si="2"/>
        <v>29</v>
      </c>
      <c r="C42" s="59">
        <v>925</v>
      </c>
      <c r="D42" s="986">
        <v>0</v>
      </c>
      <c r="E42" s="977">
        <v>0</v>
      </c>
      <c r="F42" s="977">
        <v>0</v>
      </c>
      <c r="G42" s="977">
        <v>0</v>
      </c>
      <c r="H42" s="977">
        <v>0</v>
      </c>
      <c r="I42" s="12"/>
      <c r="K42" s="6"/>
    </row>
    <row r="43" spans="1:11" x14ac:dyDescent="0.25">
      <c r="A43" s="2">
        <f t="shared" si="2"/>
        <v>30</v>
      </c>
      <c r="C43" s="59">
        <v>926</v>
      </c>
      <c r="D43" s="986">
        <v>0</v>
      </c>
      <c r="E43" s="977">
        <v>0</v>
      </c>
      <c r="F43" s="977">
        <v>0</v>
      </c>
      <c r="G43" s="977">
        <v>0</v>
      </c>
      <c r="H43" s="986">
        <v>0</v>
      </c>
      <c r="I43" s="12" t="s">
        <v>311</v>
      </c>
      <c r="K43" s="6"/>
    </row>
    <row r="44" spans="1:11" x14ac:dyDescent="0.25">
      <c r="A44" s="2">
        <f t="shared" si="2"/>
        <v>31</v>
      </c>
      <c r="C44" s="59">
        <v>927</v>
      </c>
      <c r="D44" s="986">
        <v>0</v>
      </c>
      <c r="E44" s="986">
        <v>0</v>
      </c>
      <c r="F44" s="986">
        <v>0</v>
      </c>
      <c r="G44" s="986">
        <v>0</v>
      </c>
      <c r="H44" s="986">
        <v>0</v>
      </c>
      <c r="I44" s="15" t="s">
        <v>1045</v>
      </c>
      <c r="K44" s="6"/>
    </row>
    <row r="45" spans="1:11" x14ac:dyDescent="0.25">
      <c r="A45" s="2">
        <f t="shared" si="2"/>
        <v>32</v>
      </c>
      <c r="C45" s="59">
        <v>928</v>
      </c>
      <c r="D45" s="986">
        <v>0</v>
      </c>
      <c r="E45" s="977">
        <v>0</v>
      </c>
      <c r="F45" s="977">
        <v>0</v>
      </c>
      <c r="G45" s="977">
        <v>0</v>
      </c>
      <c r="H45" s="977">
        <v>0</v>
      </c>
      <c r="I45" s="15"/>
      <c r="K45" s="6"/>
    </row>
    <row r="46" spans="1:11" x14ac:dyDescent="0.25">
      <c r="A46" s="2">
        <f t="shared" si="2"/>
        <v>33</v>
      </c>
      <c r="C46" s="59">
        <v>929</v>
      </c>
      <c r="D46" s="986">
        <v>0</v>
      </c>
      <c r="E46" s="977">
        <v>0</v>
      </c>
      <c r="F46" s="977">
        <v>0</v>
      </c>
      <c r="G46" s="977">
        <v>0</v>
      </c>
      <c r="H46" s="977">
        <v>0</v>
      </c>
      <c r="I46" s="15"/>
      <c r="K46" s="6"/>
    </row>
    <row r="47" spans="1:11" x14ac:dyDescent="0.25">
      <c r="A47" s="2">
        <f t="shared" si="2"/>
        <v>34</v>
      </c>
      <c r="C47" s="59">
        <v>930.1</v>
      </c>
      <c r="D47" s="986">
        <v>0</v>
      </c>
      <c r="E47" s="977">
        <v>0</v>
      </c>
      <c r="F47" s="977">
        <v>0</v>
      </c>
      <c r="G47" s="977">
        <v>0</v>
      </c>
      <c r="H47" s="977">
        <v>0</v>
      </c>
      <c r="I47" s="15"/>
      <c r="K47" s="6"/>
    </row>
    <row r="48" spans="1:11" x14ac:dyDescent="0.25">
      <c r="A48" s="2">
        <f t="shared" si="2"/>
        <v>35</v>
      </c>
      <c r="C48" s="59">
        <v>930.2</v>
      </c>
      <c r="D48" s="986">
        <v>0</v>
      </c>
      <c r="E48" s="977">
        <v>0</v>
      </c>
      <c r="F48" s="977">
        <v>0</v>
      </c>
      <c r="G48" s="977">
        <v>0</v>
      </c>
      <c r="H48" s="977">
        <v>0</v>
      </c>
      <c r="I48" s="15"/>
      <c r="J48" s="473"/>
    </row>
    <row r="49" spans="1:10" x14ac:dyDescent="0.25">
      <c r="A49" s="2">
        <f t="shared" si="2"/>
        <v>36</v>
      </c>
      <c r="C49" s="59">
        <v>931</v>
      </c>
      <c r="D49" s="986">
        <v>0</v>
      </c>
      <c r="E49" s="977">
        <v>0</v>
      </c>
      <c r="F49" s="977">
        <v>0</v>
      </c>
      <c r="G49" s="977">
        <v>0</v>
      </c>
      <c r="H49" s="977">
        <v>0</v>
      </c>
      <c r="I49" s="15"/>
      <c r="J49" s="6"/>
    </row>
    <row r="50" spans="1:10" x14ac:dyDescent="0.25">
      <c r="A50" s="2">
        <f t="shared" si="2"/>
        <v>37</v>
      </c>
      <c r="C50" s="59">
        <v>935</v>
      </c>
      <c r="D50" s="986">
        <v>0</v>
      </c>
      <c r="E50" s="977">
        <v>0</v>
      </c>
      <c r="F50" s="977">
        <v>0</v>
      </c>
      <c r="G50" s="977">
        <v>0</v>
      </c>
      <c r="H50" s="977">
        <v>0</v>
      </c>
      <c r="I50" s="15"/>
    </row>
    <row r="51" spans="1:10" x14ac:dyDescent="0.25">
      <c r="B51" s="1" t="s">
        <v>2465</v>
      </c>
      <c r="C51" s="13"/>
      <c r="D51" s="13"/>
      <c r="E51" s="13"/>
      <c r="F51" s="13"/>
      <c r="G51" s="13"/>
      <c r="H51" s="13"/>
    </row>
    <row r="52" spans="1:10" x14ac:dyDescent="0.25">
      <c r="B52" s="1"/>
      <c r="C52" s="13" t="s">
        <v>2466</v>
      </c>
      <c r="D52" s="13"/>
      <c r="E52" s="13"/>
      <c r="F52" s="13"/>
      <c r="G52" s="13"/>
      <c r="H52" s="13"/>
    </row>
    <row r="53" spans="1:10" x14ac:dyDescent="0.25">
      <c r="B53" s="1"/>
      <c r="C53" s="468" t="s">
        <v>2467</v>
      </c>
      <c r="D53" s="13"/>
      <c r="E53" s="13"/>
      <c r="F53" s="13"/>
      <c r="G53" s="103"/>
      <c r="H53" s="103"/>
    </row>
    <row r="54" spans="1:10" x14ac:dyDescent="0.25">
      <c r="B54" s="1"/>
      <c r="C54" s="618" t="s">
        <v>2468</v>
      </c>
      <c r="D54" s="601"/>
      <c r="E54" s="601"/>
      <c r="F54" s="13"/>
      <c r="G54" s="103"/>
      <c r="H54" s="103"/>
    </row>
    <row r="55" spans="1:10" x14ac:dyDescent="0.25">
      <c r="B55" s="1"/>
      <c r="G55" s="3" t="s">
        <v>194</v>
      </c>
      <c r="H55" s="3" t="s">
        <v>198</v>
      </c>
    </row>
    <row r="56" spans="1:10" x14ac:dyDescent="0.25">
      <c r="A56" s="2"/>
      <c r="B56" s="577" t="s">
        <v>1916</v>
      </c>
      <c r="E56" s="13"/>
      <c r="F56" s="893" t="s">
        <v>2469</v>
      </c>
      <c r="G56" s="977">
        <v>0</v>
      </c>
      <c r="H56" s="465" t="s">
        <v>33</v>
      </c>
    </row>
    <row r="57" spans="1:10" ht="15" x14ac:dyDescent="0.4">
      <c r="A57" s="2"/>
      <c r="B57" s="577" t="s">
        <v>1917</v>
      </c>
      <c r="C57" s="11"/>
      <c r="E57" s="13"/>
      <c r="F57" s="893" t="s">
        <v>2470</v>
      </c>
      <c r="G57" s="987">
        <v>0</v>
      </c>
      <c r="H57" s="470" t="str">
        <f>"Note 2, "&amp;B61&amp;""</f>
        <v>Note 2, d</v>
      </c>
    </row>
    <row r="58" spans="1:10" x14ac:dyDescent="0.25">
      <c r="A58" s="2"/>
      <c r="B58" s="577" t="s">
        <v>1918</v>
      </c>
      <c r="E58" s="13"/>
      <c r="F58" s="893" t="s">
        <v>1922</v>
      </c>
      <c r="G58" s="986">
        <v>0</v>
      </c>
    </row>
    <row r="59" spans="1:10" x14ac:dyDescent="0.25">
      <c r="A59" s="2"/>
      <c r="C59" s="618" t="s">
        <v>2686</v>
      </c>
      <c r="D59" s="601"/>
      <c r="E59" s="601"/>
      <c r="F59" s="13"/>
      <c r="G59" s="6"/>
    </row>
    <row r="60" spans="1:10" x14ac:dyDescent="0.25">
      <c r="A60" s="2"/>
      <c r="C60" s="13"/>
      <c r="D60" s="879" t="s">
        <v>1554</v>
      </c>
      <c r="E60" s="3" t="s">
        <v>194</v>
      </c>
      <c r="F60" s="60" t="s">
        <v>198</v>
      </c>
      <c r="G60" s="6"/>
    </row>
    <row r="61" spans="1:10" x14ac:dyDescent="0.25">
      <c r="A61" s="2"/>
      <c r="B61" s="577" t="s">
        <v>1919</v>
      </c>
      <c r="C61" s="13"/>
      <c r="D61" s="13" t="s">
        <v>1555</v>
      </c>
      <c r="E61" s="977">
        <v>0</v>
      </c>
      <c r="F61" s="465" t="s">
        <v>2458</v>
      </c>
      <c r="G61" s="61"/>
      <c r="I61" s="13"/>
    </row>
    <row r="62" spans="1:10" x14ac:dyDescent="0.25">
      <c r="A62" s="2"/>
      <c r="B62" s="577" t="s">
        <v>1920</v>
      </c>
      <c r="C62" s="13"/>
      <c r="D62" s="468" t="s">
        <v>392</v>
      </c>
      <c r="E62" s="977">
        <v>0</v>
      </c>
      <c r="F62" s="465" t="s">
        <v>2458</v>
      </c>
      <c r="G62" s="61"/>
      <c r="I62" s="606"/>
    </row>
    <row r="63" spans="1:10" ht="15" x14ac:dyDescent="0.4">
      <c r="A63" s="2"/>
      <c r="B63" s="577" t="s">
        <v>1921</v>
      </c>
      <c r="C63" s="13"/>
      <c r="D63" s="468" t="s">
        <v>1556</v>
      </c>
      <c r="E63" s="978">
        <v>0</v>
      </c>
      <c r="F63" s="465" t="s">
        <v>2458</v>
      </c>
      <c r="G63" s="61"/>
      <c r="I63" s="61"/>
    </row>
    <row r="64" spans="1:10" x14ac:dyDescent="0.25">
      <c r="A64" s="2"/>
      <c r="B64" s="103" t="s">
        <v>1923</v>
      </c>
      <c r="C64" s="13"/>
      <c r="D64" s="340" t="s">
        <v>4</v>
      </c>
      <c r="E64" s="986">
        <v>0</v>
      </c>
      <c r="F64" s="45" t="str">
        <f>"Sum of "&amp;B61&amp;" to "&amp;B63&amp;""</f>
        <v>Sum of d to f</v>
      </c>
      <c r="G64" s="61"/>
      <c r="I64" s="13"/>
    </row>
    <row r="66" spans="1:11" x14ac:dyDescent="0.25">
      <c r="B66" s="1" t="s">
        <v>538</v>
      </c>
    </row>
    <row r="67" spans="1:11" x14ac:dyDescent="0.25">
      <c r="E67" s="3" t="s">
        <v>194</v>
      </c>
      <c r="F67" s="49" t="s">
        <v>262</v>
      </c>
    </row>
    <row r="68" spans="1:11" ht="15" customHeight="1" x14ac:dyDescent="0.25">
      <c r="A68" s="2"/>
      <c r="B68" s="577" t="s">
        <v>1916</v>
      </c>
      <c r="D68" s="464" t="s">
        <v>534</v>
      </c>
      <c r="E68" s="1111">
        <v>40171333</v>
      </c>
      <c r="F68" s="470" t="s">
        <v>540</v>
      </c>
    </row>
    <row r="69" spans="1:11" ht="15" customHeight="1" x14ac:dyDescent="0.4">
      <c r="A69" s="2"/>
      <c r="B69" s="577" t="s">
        <v>1917</v>
      </c>
      <c r="D69" s="91" t="s">
        <v>535</v>
      </c>
      <c r="E69" s="978">
        <v>0</v>
      </c>
      <c r="F69" s="465" t="s">
        <v>33</v>
      </c>
    </row>
    <row r="70" spans="1:11" x14ac:dyDescent="0.25">
      <c r="A70" s="2"/>
      <c r="B70" s="577" t="s">
        <v>1918</v>
      </c>
      <c r="D70" s="91" t="s">
        <v>537</v>
      </c>
      <c r="E70" s="986">
        <v>0</v>
      </c>
      <c r="F70" s="12" t="str">
        <f>""&amp;B69&amp;" - "&amp;B68&amp;""</f>
        <v>b - a</v>
      </c>
    </row>
    <row r="71" spans="1:11" x14ac:dyDescent="0.25">
      <c r="A71" s="459"/>
      <c r="B71" s="1" t="s">
        <v>1637</v>
      </c>
      <c r="D71" s="91"/>
      <c r="E71" s="131"/>
      <c r="F71" s="12"/>
    </row>
    <row r="72" spans="1:11" x14ac:dyDescent="0.25">
      <c r="A72" s="459"/>
      <c r="B72" s="1"/>
      <c r="C72" t="str">
        <f>"Amount in Line "&amp;A44&amp;", column 2 equals amount in Line "&amp;A13&amp;", column 1 because all Franchise Requirements Expenses are excluded"</f>
        <v>Amount in Line 31, column 2 equals amount in Line 8, column 1 because all Franchise Requirements Expenses are excluded</v>
      </c>
      <c r="D72" s="91"/>
      <c r="E72" s="131"/>
      <c r="F72" s="12"/>
    </row>
    <row r="73" spans="1:11" x14ac:dyDescent="0.25">
      <c r="A73" s="459"/>
      <c r="B73" s="1"/>
      <c r="C73" s="11" t="s">
        <v>1638</v>
      </c>
      <c r="D73" s="91"/>
      <c r="E73" s="131"/>
      <c r="F73" s="12"/>
    </row>
    <row r="75" spans="1:11" x14ac:dyDescent="0.25">
      <c r="B75" s="1" t="s">
        <v>420</v>
      </c>
    </row>
    <row r="76" spans="1:11" x14ac:dyDescent="0.25">
      <c r="C76" s="11" t="str">
        <f>"1) Enter amounts of A&amp;G expenses from FERC Form 1 in Lines "&amp;A6&amp;" to "&amp;A19&amp;"."</f>
        <v>1) Enter amounts of A&amp;G expenses from FERC Form 1 in Lines 1 to 14.</v>
      </c>
    </row>
    <row r="77" spans="1:11" x14ac:dyDescent="0.25">
      <c r="C77" s="466" t="s">
        <v>2471</v>
      </c>
      <c r="E77" s="13"/>
      <c r="G77" t="str">
        <f>"Column 3, Line "&amp;A37&amp;""</f>
        <v>Column 3, Line 24</v>
      </c>
    </row>
    <row r="78" spans="1:11" x14ac:dyDescent="0.25">
      <c r="C78" s="470" t="str">
        <f>"is calculated in Note 2.  The PBOPs exclusion in Column 4, Line "&amp;A43&amp;" is calculated in Note 3."</f>
        <v>is calculated in Note 2.  The PBOPs exclusion in Column 4, Line 30 is calculated in Note 3.</v>
      </c>
      <c r="G78" s="11"/>
    </row>
    <row r="79" spans="1:11" x14ac:dyDescent="0.25">
      <c r="C79" s="470" t="s">
        <v>1900</v>
      </c>
    </row>
    <row r="80" spans="1:11" x14ac:dyDescent="0.25">
      <c r="C80" s="465" t="s">
        <v>2017</v>
      </c>
      <c r="D80" s="340"/>
      <c r="E80" s="461"/>
      <c r="F80" s="45"/>
      <c r="G80" s="13"/>
      <c r="H80" s="13"/>
      <c r="I80" s="13"/>
      <c r="J80" s="13"/>
      <c r="K80" s="13"/>
    </row>
    <row r="81" spans="3:11" x14ac:dyDescent="0.25">
      <c r="C81" s="465" t="s">
        <v>2013</v>
      </c>
      <c r="D81" s="340"/>
      <c r="E81" s="461"/>
      <c r="F81" s="45"/>
      <c r="G81" s="13"/>
      <c r="H81" s="13"/>
      <c r="I81" s="13"/>
      <c r="J81" s="13"/>
      <c r="K81" s="13"/>
    </row>
    <row r="82" spans="3:11" x14ac:dyDescent="0.25">
      <c r="C82" s="465" t="s">
        <v>2014</v>
      </c>
      <c r="D82" s="13"/>
      <c r="E82" s="13"/>
      <c r="F82" s="13"/>
      <c r="G82" s="13"/>
      <c r="H82" s="13"/>
      <c r="I82" s="13"/>
      <c r="J82" s="13"/>
      <c r="K82" s="13"/>
    </row>
    <row r="83" spans="3:11" x14ac:dyDescent="0.25">
      <c r="C83" s="45" t="s">
        <v>539</v>
      </c>
      <c r="D83" s="13"/>
      <c r="E83" s="13"/>
      <c r="F83" s="13"/>
      <c r="G83" s="13"/>
      <c r="H83" s="13"/>
      <c r="I83" s="13"/>
      <c r="J83" s="13"/>
      <c r="K83" s="13"/>
    </row>
    <row r="84" spans="3:11" x14ac:dyDescent="0.25">
      <c r="C84" s="465" t="s">
        <v>2015</v>
      </c>
      <c r="D84" s="13"/>
      <c r="E84" s="13"/>
      <c r="F84" s="13"/>
      <c r="G84" s="13"/>
      <c r="H84" s="13"/>
      <c r="I84" s="13"/>
      <c r="J84" s="13"/>
      <c r="K84" s="13"/>
    </row>
    <row r="85" spans="3:11" x14ac:dyDescent="0.25">
      <c r="C85" s="465" t="s">
        <v>1649</v>
      </c>
      <c r="D85" s="13"/>
      <c r="E85" s="13"/>
      <c r="F85" s="13"/>
      <c r="G85" s="13"/>
      <c r="H85" s="13"/>
      <c r="I85" s="13"/>
      <c r="J85" s="13"/>
      <c r="K85" s="13"/>
    </row>
    <row r="86" spans="3:11" x14ac:dyDescent="0.25">
      <c r="C86" s="465" t="s">
        <v>2016</v>
      </c>
      <c r="D86" s="13"/>
      <c r="E86" s="13"/>
      <c r="F86" s="13"/>
      <c r="G86" s="13"/>
      <c r="H86" s="13"/>
      <c r="I86" s="13"/>
      <c r="J86" s="13"/>
      <c r="K86" s="13"/>
    </row>
    <row r="87" spans="3:11" x14ac:dyDescent="0.25">
      <c r="C87" s="465" t="s">
        <v>2051</v>
      </c>
      <c r="D87" s="468"/>
      <c r="E87" s="955"/>
      <c r="F87" s="955"/>
      <c r="G87" s="955"/>
      <c r="H87" s="13"/>
      <c r="I87" s="13"/>
      <c r="J87" s="13"/>
      <c r="K87" s="13"/>
    </row>
    <row r="88" spans="3:11" x14ac:dyDescent="0.25">
      <c r="C88" s="919" t="s">
        <v>2049</v>
      </c>
      <c r="D88" s="468"/>
      <c r="E88" s="955"/>
      <c r="F88" s="955"/>
      <c r="G88" s="955"/>
      <c r="H88" s="13"/>
      <c r="I88" s="13"/>
      <c r="J88" s="13"/>
      <c r="K88" s="13"/>
    </row>
    <row r="89" spans="3:11" x14ac:dyDescent="0.25">
      <c r="C89" s="919" t="s">
        <v>2050</v>
      </c>
      <c r="D89" s="468"/>
      <c r="E89" s="955"/>
      <c r="F89" s="955"/>
      <c r="G89" s="955"/>
      <c r="H89" s="13"/>
      <c r="I89" s="13"/>
      <c r="J89" s="13"/>
      <c r="K89" s="13"/>
    </row>
    <row r="90" spans="3:11" x14ac:dyDescent="0.25">
      <c r="C90" s="919" t="s">
        <v>2052</v>
      </c>
      <c r="D90" s="468"/>
      <c r="E90" s="955"/>
      <c r="F90" s="955"/>
      <c r="G90" s="955"/>
      <c r="H90" s="13"/>
      <c r="I90" s="13"/>
      <c r="J90" s="13"/>
      <c r="K90" s="13"/>
    </row>
    <row r="91" spans="3:11" x14ac:dyDescent="0.25">
      <c r="C91" s="465" t="s">
        <v>2221</v>
      </c>
      <c r="D91" s="468"/>
      <c r="E91" s="955"/>
      <c r="F91" s="955"/>
      <c r="G91" s="955"/>
      <c r="H91" s="13"/>
      <c r="I91" s="13"/>
      <c r="J91" s="13"/>
      <c r="K91" s="13"/>
    </row>
    <row r="92" spans="3:11" x14ac:dyDescent="0.25">
      <c r="C92" s="919" t="s">
        <v>2219</v>
      </c>
      <c r="D92" s="468"/>
      <c r="E92" s="955"/>
      <c r="F92" s="955"/>
      <c r="G92" s="955"/>
      <c r="H92" s="13"/>
      <c r="I92" s="13"/>
      <c r="J92" s="13"/>
      <c r="K92" s="13"/>
    </row>
    <row r="93" spans="3:11" x14ac:dyDescent="0.25">
      <c r="C93" s="919" t="s">
        <v>2220</v>
      </c>
      <c r="D93" s="468"/>
      <c r="E93" s="955"/>
      <c r="F93" s="955"/>
      <c r="G93" s="955"/>
      <c r="H93" s="13"/>
      <c r="I93" s="13"/>
      <c r="J93" s="13"/>
      <c r="K93" s="13"/>
    </row>
    <row r="94" spans="3:11" x14ac:dyDescent="0.25">
      <c r="C94" s="919" t="s">
        <v>2222</v>
      </c>
      <c r="D94" s="468"/>
      <c r="E94" s="955"/>
      <c r="F94" s="955"/>
      <c r="G94" s="955"/>
      <c r="H94" s="13"/>
      <c r="I94" s="13"/>
      <c r="J94" s="13"/>
      <c r="K94" s="13"/>
    </row>
    <row r="95" spans="3:11" x14ac:dyDescent="0.25">
      <c r="C95" s="919" t="s">
        <v>2223</v>
      </c>
      <c r="D95" s="468"/>
      <c r="E95" s="955"/>
      <c r="F95" s="955"/>
      <c r="G95" s="955"/>
      <c r="H95" s="13"/>
      <c r="I95" s="13"/>
      <c r="J95" s="13"/>
      <c r="K95" s="13"/>
    </row>
    <row r="96" spans="3:11" x14ac:dyDescent="0.25">
      <c r="C96" s="465" t="s">
        <v>2224</v>
      </c>
      <c r="D96" s="468"/>
      <c r="E96" s="955"/>
      <c r="F96" s="955"/>
      <c r="G96" s="955"/>
      <c r="H96" s="955"/>
      <c r="I96" s="13"/>
      <c r="J96" s="13"/>
      <c r="K96" s="13"/>
    </row>
    <row r="97" spans="3:11" x14ac:dyDescent="0.25">
      <c r="C97" s="919" t="s">
        <v>2225</v>
      </c>
      <c r="D97" s="468"/>
      <c r="E97" s="955"/>
      <c r="F97" s="955"/>
      <c r="G97" s="955"/>
      <c r="H97" s="13"/>
      <c r="I97" s="13"/>
      <c r="J97" s="13"/>
      <c r="K97" s="13"/>
    </row>
    <row r="98" spans="3:11" x14ac:dyDescent="0.25">
      <c r="C98" s="956" t="s">
        <v>2472</v>
      </c>
      <c r="D98" s="468"/>
      <c r="E98" s="955"/>
      <c r="F98" s="955"/>
      <c r="G98" s="955"/>
      <c r="H98" s="13"/>
      <c r="I98" s="13"/>
      <c r="J98" s="13"/>
      <c r="K98" s="13"/>
    </row>
    <row r="99" spans="3:11" x14ac:dyDescent="0.25">
      <c r="C99" s="956" t="s">
        <v>2473</v>
      </c>
      <c r="D99" s="468"/>
      <c r="E99" s="955"/>
      <c r="F99" s="955"/>
      <c r="G99" s="955"/>
      <c r="H99" s="13"/>
      <c r="I99" s="13"/>
      <c r="J99" s="13"/>
      <c r="K99" s="13"/>
    </row>
    <row r="100" spans="3:11" x14ac:dyDescent="0.25">
      <c r="C100" s="956" t="s">
        <v>2474</v>
      </c>
      <c r="D100" s="468"/>
      <c r="E100" s="955"/>
      <c r="F100" s="955"/>
      <c r="G100" s="955"/>
      <c r="H100" s="13"/>
      <c r="I100" s="13"/>
      <c r="J100" s="13"/>
      <c r="K100" s="13"/>
    </row>
    <row r="101" spans="3:11" x14ac:dyDescent="0.25">
      <c r="C101" s="956" t="s">
        <v>2473</v>
      </c>
      <c r="D101" s="468"/>
      <c r="E101" s="955"/>
      <c r="F101" s="955"/>
      <c r="G101" s="955"/>
      <c r="H101" s="13"/>
      <c r="I101" s="13"/>
      <c r="J101" s="13"/>
      <c r="K101" s="13"/>
    </row>
    <row r="102" spans="3:11" x14ac:dyDescent="0.25">
      <c r="C102" s="956" t="s">
        <v>2475</v>
      </c>
      <c r="D102" s="468"/>
      <c r="E102" s="955"/>
      <c r="F102" s="955"/>
      <c r="G102" s="955"/>
      <c r="H102" s="13"/>
      <c r="I102" s="13"/>
      <c r="J102" s="13"/>
      <c r="K102" s="13"/>
    </row>
    <row r="103" spans="3:11" x14ac:dyDescent="0.25">
      <c r="C103" s="919" t="s">
        <v>2476</v>
      </c>
      <c r="D103" s="468"/>
      <c r="E103" s="955"/>
      <c r="F103" s="955"/>
      <c r="G103" s="955"/>
      <c r="H103" s="13"/>
      <c r="I103" s="13"/>
      <c r="J103" s="13"/>
      <c r="K103" s="13"/>
    </row>
    <row r="104" spans="3:11" x14ac:dyDescent="0.25">
      <c r="C104" s="919" t="s">
        <v>2477</v>
      </c>
      <c r="D104" s="468"/>
      <c r="E104" s="955"/>
      <c r="F104" s="955"/>
      <c r="G104" s="955"/>
      <c r="H104" s="13"/>
      <c r="I104" s="13"/>
      <c r="J104" s="13"/>
      <c r="K104" s="13"/>
    </row>
    <row r="105" spans="3:11" x14ac:dyDescent="0.25">
      <c r="C105" s="957" t="s">
        <v>2478</v>
      </c>
      <c r="D105" s="601"/>
      <c r="E105" s="601"/>
      <c r="F105" s="601"/>
      <c r="G105" s="601"/>
      <c r="H105" s="601"/>
      <c r="I105" s="601"/>
      <c r="J105" s="601"/>
      <c r="K105" s="13"/>
    </row>
    <row r="106" spans="3:11" x14ac:dyDescent="0.25">
      <c r="C106" s="468" t="s">
        <v>2479</v>
      </c>
      <c r="D106" s="13"/>
      <c r="E106" s="13"/>
      <c r="F106" s="13"/>
      <c r="G106" s="13"/>
      <c r="H106" s="13"/>
      <c r="I106" s="13"/>
      <c r="J106" s="13"/>
      <c r="K106" s="13"/>
    </row>
    <row r="107" spans="3:11" x14ac:dyDescent="0.25">
      <c r="C107" s="957" t="s">
        <v>2480</v>
      </c>
      <c r="D107" s="618"/>
      <c r="E107" s="618"/>
      <c r="F107" s="618"/>
      <c r="G107" s="618"/>
      <c r="H107" s="618"/>
      <c r="I107" s="618"/>
      <c r="J107" s="13"/>
      <c r="K107" s="13"/>
    </row>
    <row r="108" spans="3:11" x14ac:dyDescent="0.25">
      <c r="C108" s="14" t="str">
        <f>"4) Determine the PBOPs exclusion.  The authorized amount of PBOPs expense (line "&amp;B68&amp;") may only be revised"</f>
        <v>4) Determine the PBOPs exclusion.  The authorized amount of PBOPs expense (line a) may only be revised</v>
      </c>
      <c r="D108" s="13"/>
      <c r="E108" s="13"/>
      <c r="F108" s="13"/>
      <c r="G108" s="13"/>
      <c r="H108" s="13"/>
      <c r="I108" s="13"/>
      <c r="J108" s="13"/>
      <c r="K108" s="13"/>
    </row>
    <row r="109" spans="3:11" x14ac:dyDescent="0.25">
      <c r="C109" s="14" t="s">
        <v>1218</v>
      </c>
      <c r="D109" s="13"/>
      <c r="E109" s="13"/>
      <c r="F109" s="13"/>
      <c r="G109" s="13"/>
      <c r="H109" s="13"/>
      <c r="I109" s="13"/>
      <c r="J109" s="13"/>
      <c r="K109" s="13"/>
    </row>
    <row r="110" spans="3:11" x14ac:dyDescent="0.25">
      <c r="C110" s="14" t="s">
        <v>1239</v>
      </c>
      <c r="D110" s="13"/>
      <c r="E110" s="13"/>
      <c r="F110" s="13"/>
      <c r="G110" s="13"/>
      <c r="H110" s="13"/>
      <c r="I110" s="13"/>
      <c r="J110" s="13"/>
      <c r="K110" s="13"/>
    </row>
    <row r="111" spans="3:11" x14ac:dyDescent="0.25">
      <c r="C111" s="466" t="s">
        <v>1987</v>
      </c>
      <c r="E111" s="13"/>
      <c r="F111" s="13"/>
      <c r="G111" s="13"/>
      <c r="H111" s="13"/>
      <c r="I111" s="537" t="s">
        <v>2697</v>
      </c>
      <c r="J111" s="94"/>
    </row>
    <row r="112" spans="3:11" x14ac:dyDescent="0.25">
      <c r="C112" s="468" t="s">
        <v>2173</v>
      </c>
      <c r="D112" s="13"/>
      <c r="E112" s="13"/>
      <c r="F112" s="13"/>
      <c r="G112" s="13"/>
      <c r="H112" s="13"/>
      <c r="I112" s="13"/>
    </row>
    <row r="113" spans="3:9" x14ac:dyDescent="0.25">
      <c r="C113" s="13"/>
      <c r="D113" s="13"/>
      <c r="E113" s="13"/>
      <c r="F113" s="13"/>
      <c r="G113" s="13"/>
      <c r="H113" s="13"/>
      <c r="I113" s="13"/>
    </row>
  </sheetData>
  <phoneticPr fontId="9" type="noConversion"/>
  <pageMargins left="0.75" right="0.75" top="1" bottom="1" header="0.5" footer="0.5"/>
  <pageSetup scale="70" orientation="landscape" cellComments="asDisplayed" r:id="rId1"/>
  <headerFooter alignWithMargins="0">
    <oddHeader xml:space="preserve">&amp;C&amp;"Arial,Bold"Schedule 20
Administrative and General Expenses
</oddHeader>
    <oddFooter>&amp;R&amp;A</oddFooter>
  </headerFooter>
  <rowBreaks count="2" manualBreakCount="2">
    <brk id="50" max="9" man="1"/>
    <brk id="74"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41"/>
  <sheetViews>
    <sheetView zoomScale="75" zoomScaleNormal="75" zoomScalePageLayoutView="80" workbookViewId="0">
      <selection activeCell="A3" sqref="A3"/>
    </sheetView>
  </sheetViews>
  <sheetFormatPr defaultRowHeight="13.2" x14ac:dyDescent="0.25"/>
  <cols>
    <col min="1" max="1" width="6.33203125" style="206" customWidth="1"/>
    <col min="2" max="2" width="8.5546875" style="39" customWidth="1"/>
    <col min="3" max="3" width="9.88671875" style="206" customWidth="1"/>
    <col min="4" max="4" width="51.5546875" style="39" customWidth="1"/>
    <col min="5" max="5" width="16.33203125" style="334" customWidth="1"/>
    <col min="6" max="6" width="16.109375" style="334" customWidth="1"/>
    <col min="7" max="7" width="18.44140625" style="334" bestFit="1" customWidth="1"/>
    <col min="8" max="8" width="15.88671875" style="204" bestFit="1" customWidth="1"/>
    <col min="9" max="9" width="16.88671875" style="204" bestFit="1" customWidth="1"/>
    <col min="10" max="10" width="15.6640625" style="334" customWidth="1"/>
    <col min="11" max="11" width="6.5546875" style="292" customWidth="1"/>
    <col min="12" max="12" width="16.44140625" style="279" customWidth="1"/>
    <col min="13" max="13" width="17.109375" style="196" bestFit="1" customWidth="1"/>
    <col min="14" max="14" width="18.44140625" style="334" bestFit="1" customWidth="1"/>
    <col min="15" max="15" width="8.5546875" style="196" customWidth="1"/>
  </cols>
  <sheetData>
    <row r="1" spans="1:15" x14ac:dyDescent="0.25">
      <c r="A1" s="313"/>
      <c r="B1" s="176" t="s">
        <v>612</v>
      </c>
      <c r="C1" s="177" t="s">
        <v>613</v>
      </c>
      <c r="D1" s="176" t="s">
        <v>614</v>
      </c>
      <c r="E1" s="177" t="s">
        <v>615</v>
      </c>
      <c r="F1" s="176" t="s">
        <v>616</v>
      </c>
      <c r="G1" s="177" t="s">
        <v>617</v>
      </c>
      <c r="H1" s="176" t="s">
        <v>618</v>
      </c>
      <c r="I1" s="177" t="s">
        <v>619</v>
      </c>
      <c r="J1" s="176" t="s">
        <v>620</v>
      </c>
      <c r="K1" s="177" t="s">
        <v>621</v>
      </c>
      <c r="L1" s="176" t="s">
        <v>622</v>
      </c>
      <c r="M1" s="177" t="s">
        <v>623</v>
      </c>
      <c r="N1" s="176" t="s">
        <v>624</v>
      </c>
      <c r="O1" s="177" t="s">
        <v>625</v>
      </c>
    </row>
    <row r="2" spans="1:15" x14ac:dyDescent="0.25">
      <c r="A2" s="310"/>
      <c r="B2" s="311"/>
      <c r="C2" s="311"/>
      <c r="D2" s="311"/>
      <c r="E2" s="312"/>
      <c r="F2" s="312"/>
      <c r="G2" s="1146" t="s">
        <v>626</v>
      </c>
      <c r="H2" s="1147"/>
      <c r="I2" s="1148"/>
      <c r="J2" s="1146" t="s">
        <v>627</v>
      </c>
      <c r="K2" s="1147"/>
      <c r="L2" s="1147"/>
      <c r="M2" s="1148"/>
      <c r="N2" s="295" t="s">
        <v>628</v>
      </c>
      <c r="O2" s="310"/>
    </row>
    <row r="3" spans="1:15" ht="26.4" x14ac:dyDescent="0.25">
      <c r="A3" s="178" t="s">
        <v>360</v>
      </c>
      <c r="B3" s="179" t="s">
        <v>629</v>
      </c>
      <c r="C3" s="180" t="s">
        <v>630</v>
      </c>
      <c r="D3" s="179" t="s">
        <v>631</v>
      </c>
      <c r="E3" s="270" t="s">
        <v>632</v>
      </c>
      <c r="F3" s="271" t="s">
        <v>633</v>
      </c>
      <c r="G3" s="271" t="s">
        <v>215</v>
      </c>
      <c r="H3" s="181" t="s">
        <v>478</v>
      </c>
      <c r="I3" s="181" t="s">
        <v>634</v>
      </c>
      <c r="J3" s="270" t="s">
        <v>215</v>
      </c>
      <c r="K3" s="291" t="s">
        <v>635</v>
      </c>
      <c r="L3" s="273" t="s">
        <v>636</v>
      </c>
      <c r="M3" s="182" t="s">
        <v>327</v>
      </c>
      <c r="N3" s="270" t="s">
        <v>215</v>
      </c>
      <c r="O3" s="182" t="s">
        <v>187</v>
      </c>
    </row>
    <row r="4" spans="1:15" x14ac:dyDescent="0.25">
      <c r="A4" s="183" t="s">
        <v>637</v>
      </c>
      <c r="B4" s="184">
        <v>450</v>
      </c>
      <c r="C4" s="184" t="s">
        <v>638</v>
      </c>
      <c r="D4" s="185" t="s">
        <v>1333</v>
      </c>
      <c r="E4" s="996">
        <v>0</v>
      </c>
      <c r="F4" s="277" t="str">
        <f>$G$2</f>
        <v>Traditional OOR</v>
      </c>
      <c r="G4" s="997">
        <v>0</v>
      </c>
      <c r="H4" s="997">
        <v>0</v>
      </c>
      <c r="I4" s="997">
        <v>0</v>
      </c>
      <c r="J4" s="997">
        <v>0</v>
      </c>
      <c r="K4" s="272"/>
      <c r="L4" s="996">
        <v>0</v>
      </c>
      <c r="M4" s="997">
        <v>0</v>
      </c>
      <c r="N4" s="997">
        <v>0</v>
      </c>
      <c r="O4" s="186">
        <v>1</v>
      </c>
    </row>
    <row r="5" spans="1:15" x14ac:dyDescent="0.25">
      <c r="A5" s="188" t="s">
        <v>639</v>
      </c>
      <c r="B5" s="184">
        <v>450</v>
      </c>
      <c r="C5" s="189" t="s">
        <v>640</v>
      </c>
      <c r="D5" s="185" t="s">
        <v>641</v>
      </c>
      <c r="E5" s="996">
        <v>0</v>
      </c>
      <c r="F5" s="277" t="str">
        <f>$G$2</f>
        <v>Traditional OOR</v>
      </c>
      <c r="G5" s="997">
        <v>0</v>
      </c>
      <c r="H5" s="997">
        <v>0</v>
      </c>
      <c r="I5" s="997">
        <v>0</v>
      </c>
      <c r="J5" s="997">
        <v>0</v>
      </c>
      <c r="K5" s="272"/>
      <c r="L5" s="996">
        <v>0</v>
      </c>
      <c r="M5" s="997">
        <v>0</v>
      </c>
      <c r="N5" s="997">
        <v>0</v>
      </c>
      <c r="O5" s="190">
        <v>1</v>
      </c>
    </row>
    <row r="6" spans="1:15" x14ac:dyDescent="0.25">
      <c r="A6" s="188" t="s">
        <v>642</v>
      </c>
      <c r="B6" s="184">
        <v>450</v>
      </c>
      <c r="C6" s="189" t="s">
        <v>643</v>
      </c>
      <c r="D6" s="185" t="s">
        <v>644</v>
      </c>
      <c r="E6" s="996">
        <v>0</v>
      </c>
      <c r="F6" s="277" t="str">
        <f>$G$2</f>
        <v>Traditional OOR</v>
      </c>
      <c r="G6" s="997">
        <v>0</v>
      </c>
      <c r="H6" s="997">
        <v>0</v>
      </c>
      <c r="I6" s="997">
        <v>0</v>
      </c>
      <c r="J6" s="997">
        <v>0</v>
      </c>
      <c r="K6" s="272"/>
      <c r="L6" s="996">
        <v>0</v>
      </c>
      <c r="M6" s="997">
        <v>0</v>
      </c>
      <c r="N6" s="997">
        <v>0</v>
      </c>
      <c r="O6" s="190">
        <v>1</v>
      </c>
    </row>
    <row r="7" spans="1:15" x14ac:dyDescent="0.25">
      <c r="A7" s="309"/>
      <c r="B7" s="305"/>
      <c r="C7" s="304"/>
      <c r="D7" s="306"/>
      <c r="E7" s="286"/>
      <c r="F7" s="286"/>
      <c r="G7" s="281"/>
      <c r="H7" s="282"/>
      <c r="I7" s="283"/>
      <c r="J7" s="281"/>
      <c r="K7" s="285"/>
      <c r="L7" s="281"/>
      <c r="M7" s="283"/>
      <c r="N7" s="281"/>
      <c r="O7" s="282"/>
    </row>
    <row r="8" spans="1:15" x14ac:dyDescent="0.25">
      <c r="A8" s="309"/>
      <c r="B8" s="305"/>
      <c r="C8" s="304"/>
      <c r="D8" s="306"/>
      <c r="E8" s="286"/>
      <c r="F8" s="286"/>
      <c r="G8" s="281"/>
      <c r="H8" s="282"/>
      <c r="I8" s="283"/>
      <c r="J8" s="281"/>
      <c r="K8" s="285"/>
      <c r="L8" s="281"/>
      <c r="M8" s="283"/>
      <c r="N8" s="281"/>
      <c r="O8" s="282"/>
    </row>
    <row r="9" spans="1:15" x14ac:dyDescent="0.25">
      <c r="A9" s="188">
        <v>2</v>
      </c>
      <c r="B9" s="1127" t="s">
        <v>645</v>
      </c>
      <c r="C9" s="1128"/>
      <c r="D9" s="1129"/>
      <c r="E9" s="997">
        <v>0</v>
      </c>
      <c r="F9" s="298"/>
      <c r="G9" s="997">
        <v>0</v>
      </c>
      <c r="H9" s="997">
        <v>0</v>
      </c>
      <c r="I9" s="997">
        <v>0</v>
      </c>
      <c r="J9" s="997">
        <v>0</v>
      </c>
      <c r="K9" s="298"/>
      <c r="L9" s="997">
        <v>0</v>
      </c>
      <c r="M9" s="997">
        <v>0</v>
      </c>
      <c r="N9" s="997">
        <v>0</v>
      </c>
      <c r="O9" s="190"/>
    </row>
    <row r="10" spans="1:15" ht="12.75" customHeight="1" x14ac:dyDescent="0.25">
      <c r="A10" s="188">
        <v>3</v>
      </c>
      <c r="B10" s="1149" t="s">
        <v>1371</v>
      </c>
      <c r="C10" s="1150"/>
      <c r="D10" s="1151"/>
      <c r="E10" s="996">
        <v>0</v>
      </c>
      <c r="F10" s="289"/>
      <c r="G10" s="276"/>
      <c r="H10" s="289"/>
      <c r="I10" s="289"/>
      <c r="J10" s="276"/>
      <c r="K10" s="289"/>
      <c r="L10" s="276"/>
      <c r="M10" s="276"/>
      <c r="N10" s="276"/>
      <c r="O10" s="175"/>
    </row>
    <row r="11" spans="1:15" x14ac:dyDescent="0.25">
      <c r="A11" s="191"/>
      <c r="B11" s="192"/>
      <c r="C11" s="193"/>
      <c r="D11" s="194"/>
      <c r="E11" s="276"/>
      <c r="F11" s="276"/>
      <c r="G11" s="276"/>
      <c r="H11" s="289"/>
      <c r="I11" s="289"/>
      <c r="J11" s="276"/>
      <c r="K11" s="289"/>
      <c r="L11" s="276"/>
      <c r="M11" s="276"/>
      <c r="N11" s="276"/>
      <c r="O11" s="175"/>
    </row>
    <row r="12" spans="1:15" x14ac:dyDescent="0.25">
      <c r="A12" s="188" t="s">
        <v>646</v>
      </c>
      <c r="B12" s="184">
        <v>451</v>
      </c>
      <c r="C12" s="189" t="s">
        <v>647</v>
      </c>
      <c r="D12" s="185" t="s">
        <v>648</v>
      </c>
      <c r="E12" s="996">
        <v>0</v>
      </c>
      <c r="F12" s="277" t="str">
        <f t="shared" ref="F12:F18" si="0">$G$2</f>
        <v>Traditional OOR</v>
      </c>
      <c r="G12" s="997">
        <v>0</v>
      </c>
      <c r="H12" s="997">
        <v>0</v>
      </c>
      <c r="I12" s="997">
        <v>0</v>
      </c>
      <c r="J12" s="997">
        <v>0</v>
      </c>
      <c r="K12" s="277"/>
      <c r="L12" s="996">
        <v>0</v>
      </c>
      <c r="M12" s="997">
        <v>0</v>
      </c>
      <c r="N12" s="997">
        <v>0</v>
      </c>
      <c r="O12" s="190">
        <v>1</v>
      </c>
    </row>
    <row r="13" spans="1:15" x14ac:dyDescent="0.25">
      <c r="A13" s="188" t="s">
        <v>649</v>
      </c>
      <c r="B13" s="184">
        <v>451</v>
      </c>
      <c r="C13" s="189" t="s">
        <v>650</v>
      </c>
      <c r="D13" s="185" t="s">
        <v>651</v>
      </c>
      <c r="E13" s="996">
        <v>0</v>
      </c>
      <c r="F13" s="277" t="str">
        <f t="shared" si="0"/>
        <v>Traditional OOR</v>
      </c>
      <c r="G13" s="997">
        <v>0</v>
      </c>
      <c r="H13" s="997">
        <v>0</v>
      </c>
      <c r="I13" s="997">
        <v>0</v>
      </c>
      <c r="J13" s="997">
        <v>0</v>
      </c>
      <c r="K13" s="277"/>
      <c r="L13" s="996">
        <v>0</v>
      </c>
      <c r="M13" s="997">
        <v>0</v>
      </c>
      <c r="N13" s="997">
        <v>0</v>
      </c>
      <c r="O13" s="190">
        <v>1</v>
      </c>
    </row>
    <row r="14" spans="1:15" x14ac:dyDescent="0.25">
      <c r="A14" s="188" t="s">
        <v>652</v>
      </c>
      <c r="B14" s="184">
        <v>451</v>
      </c>
      <c r="C14" s="189" t="s">
        <v>653</v>
      </c>
      <c r="D14" s="185" t="s">
        <v>654</v>
      </c>
      <c r="E14" s="996">
        <v>0</v>
      </c>
      <c r="F14" s="277" t="str">
        <f t="shared" si="0"/>
        <v>Traditional OOR</v>
      </c>
      <c r="G14" s="997">
        <v>0</v>
      </c>
      <c r="H14" s="997">
        <v>0</v>
      </c>
      <c r="I14" s="997">
        <v>0</v>
      </c>
      <c r="J14" s="997">
        <v>0</v>
      </c>
      <c r="K14" s="277"/>
      <c r="L14" s="996">
        <v>0</v>
      </c>
      <c r="M14" s="997">
        <v>0</v>
      </c>
      <c r="N14" s="997">
        <v>0</v>
      </c>
      <c r="O14" s="190">
        <v>1</v>
      </c>
    </row>
    <row r="15" spans="1:15" x14ac:dyDescent="0.25">
      <c r="A15" s="188" t="s">
        <v>655</v>
      </c>
      <c r="B15" s="184">
        <v>451</v>
      </c>
      <c r="C15" s="189" t="s">
        <v>656</v>
      </c>
      <c r="D15" s="185" t="s">
        <v>657</v>
      </c>
      <c r="E15" s="996">
        <v>0</v>
      </c>
      <c r="F15" s="277" t="str">
        <f t="shared" si="0"/>
        <v>Traditional OOR</v>
      </c>
      <c r="G15" s="997">
        <v>0</v>
      </c>
      <c r="H15" s="997">
        <v>0</v>
      </c>
      <c r="I15" s="997">
        <v>0</v>
      </c>
      <c r="J15" s="997">
        <v>0</v>
      </c>
      <c r="K15" s="277"/>
      <c r="L15" s="996">
        <v>0</v>
      </c>
      <c r="M15" s="997">
        <v>0</v>
      </c>
      <c r="N15" s="997">
        <v>0</v>
      </c>
      <c r="O15" s="190">
        <v>1</v>
      </c>
    </row>
    <row r="16" spans="1:15" x14ac:dyDescent="0.25">
      <c r="A16" s="188" t="s">
        <v>658</v>
      </c>
      <c r="B16" s="184">
        <v>451</v>
      </c>
      <c r="C16" s="189" t="s">
        <v>659</v>
      </c>
      <c r="D16" s="185" t="s">
        <v>660</v>
      </c>
      <c r="E16" s="996">
        <v>0</v>
      </c>
      <c r="F16" s="277" t="str">
        <f t="shared" si="0"/>
        <v>Traditional OOR</v>
      </c>
      <c r="G16" s="997">
        <v>0</v>
      </c>
      <c r="H16" s="997">
        <v>0</v>
      </c>
      <c r="I16" s="997">
        <v>0</v>
      </c>
      <c r="J16" s="997">
        <v>0</v>
      </c>
      <c r="K16" s="277"/>
      <c r="L16" s="996">
        <v>0</v>
      </c>
      <c r="M16" s="997">
        <v>0</v>
      </c>
      <c r="N16" s="997">
        <v>0</v>
      </c>
      <c r="O16" s="190">
        <v>1</v>
      </c>
    </row>
    <row r="17" spans="1:15" x14ac:dyDescent="0.25">
      <c r="A17" s="188" t="s">
        <v>661</v>
      </c>
      <c r="B17" s="184">
        <v>451</v>
      </c>
      <c r="C17" s="189" t="s">
        <v>662</v>
      </c>
      <c r="D17" s="185" t="s">
        <v>663</v>
      </c>
      <c r="E17" s="996">
        <v>0</v>
      </c>
      <c r="F17" s="277" t="str">
        <f t="shared" si="0"/>
        <v>Traditional OOR</v>
      </c>
      <c r="G17" s="997">
        <v>0</v>
      </c>
      <c r="H17" s="997">
        <v>0</v>
      </c>
      <c r="I17" s="997">
        <v>0</v>
      </c>
      <c r="J17" s="997">
        <v>0</v>
      </c>
      <c r="K17" s="277"/>
      <c r="L17" s="996">
        <v>0</v>
      </c>
      <c r="M17" s="997">
        <v>0</v>
      </c>
      <c r="N17" s="997">
        <v>0</v>
      </c>
      <c r="O17" s="190">
        <v>1</v>
      </c>
    </row>
    <row r="18" spans="1:15" x14ac:dyDescent="0.25">
      <c r="A18" s="188" t="s">
        <v>664</v>
      </c>
      <c r="B18" s="184">
        <v>451</v>
      </c>
      <c r="C18" s="189" t="s">
        <v>665</v>
      </c>
      <c r="D18" s="185" t="s">
        <v>666</v>
      </c>
      <c r="E18" s="996">
        <v>0</v>
      </c>
      <c r="F18" s="277" t="str">
        <f t="shared" si="0"/>
        <v>Traditional OOR</v>
      </c>
      <c r="G18" s="997">
        <v>0</v>
      </c>
      <c r="H18" s="997">
        <v>0</v>
      </c>
      <c r="I18" s="997">
        <v>0</v>
      </c>
      <c r="J18" s="997">
        <v>0</v>
      </c>
      <c r="K18" s="277"/>
      <c r="L18" s="996">
        <v>0</v>
      </c>
      <c r="M18" s="997">
        <v>0</v>
      </c>
      <c r="N18" s="997">
        <v>0</v>
      </c>
      <c r="O18" s="190">
        <v>1</v>
      </c>
    </row>
    <row r="19" spans="1:15" x14ac:dyDescent="0.25">
      <c r="A19" s="188" t="s">
        <v>667</v>
      </c>
      <c r="B19" s="184">
        <v>451</v>
      </c>
      <c r="C19" s="189" t="s">
        <v>668</v>
      </c>
      <c r="D19" s="185" t="s">
        <v>669</v>
      </c>
      <c r="E19" s="996">
        <v>0</v>
      </c>
      <c r="F19" s="277" t="str">
        <f>$J$2</f>
        <v>GRSM</v>
      </c>
      <c r="G19" s="997">
        <v>0</v>
      </c>
      <c r="H19" s="997">
        <v>0</v>
      </c>
      <c r="I19" s="997">
        <v>0</v>
      </c>
      <c r="J19" s="997">
        <v>0</v>
      </c>
      <c r="K19" s="314" t="s">
        <v>670</v>
      </c>
      <c r="L19" s="996">
        <v>0</v>
      </c>
      <c r="M19" s="997">
        <v>0</v>
      </c>
      <c r="N19" s="997">
        <v>0</v>
      </c>
      <c r="O19" s="190">
        <v>2</v>
      </c>
    </row>
    <row r="20" spans="1:15" x14ac:dyDescent="0.25">
      <c r="A20" s="188" t="s">
        <v>671</v>
      </c>
      <c r="B20" s="184">
        <v>451</v>
      </c>
      <c r="C20" s="189" t="s">
        <v>672</v>
      </c>
      <c r="D20" s="185" t="s">
        <v>673</v>
      </c>
      <c r="E20" s="996">
        <v>0</v>
      </c>
      <c r="F20" s="277" t="str">
        <f>$N$2</f>
        <v>Other Ratemaking</v>
      </c>
      <c r="G20" s="997">
        <v>0</v>
      </c>
      <c r="H20" s="997">
        <v>0</v>
      </c>
      <c r="I20" s="997">
        <v>0</v>
      </c>
      <c r="J20" s="997">
        <v>0</v>
      </c>
      <c r="K20" s="277"/>
      <c r="L20" s="996">
        <v>0</v>
      </c>
      <c r="M20" s="997">
        <v>0</v>
      </c>
      <c r="N20" s="997">
        <v>0</v>
      </c>
      <c r="O20" s="190">
        <v>6</v>
      </c>
    </row>
    <row r="21" spans="1:15" x14ac:dyDescent="0.25">
      <c r="A21" s="183" t="s">
        <v>2549</v>
      </c>
      <c r="B21" s="184">
        <v>451</v>
      </c>
      <c r="C21" s="184">
        <v>4182120</v>
      </c>
      <c r="D21" s="201" t="s">
        <v>2550</v>
      </c>
      <c r="E21" s="996">
        <v>0</v>
      </c>
      <c r="F21" s="277" t="s">
        <v>626</v>
      </c>
      <c r="G21" s="997">
        <v>0</v>
      </c>
      <c r="H21" s="997">
        <v>0</v>
      </c>
      <c r="I21" s="997">
        <v>0</v>
      </c>
      <c r="J21" s="997">
        <v>0</v>
      </c>
      <c r="K21" s="277"/>
      <c r="L21" s="996">
        <v>0</v>
      </c>
      <c r="M21" s="997">
        <v>0</v>
      </c>
      <c r="N21" s="997">
        <v>0</v>
      </c>
      <c r="O21" s="186">
        <v>1</v>
      </c>
    </row>
    <row r="22" spans="1:15" x14ac:dyDescent="0.25">
      <c r="A22" s="183" t="s">
        <v>2551</v>
      </c>
      <c r="B22" s="184">
        <v>451</v>
      </c>
      <c r="C22" s="184">
        <v>4192152</v>
      </c>
      <c r="D22" s="201" t="s">
        <v>2552</v>
      </c>
      <c r="E22" s="996">
        <v>0</v>
      </c>
      <c r="F22" s="277" t="s">
        <v>628</v>
      </c>
      <c r="G22" s="997">
        <v>0</v>
      </c>
      <c r="H22" s="997">
        <v>0</v>
      </c>
      <c r="I22" s="997">
        <v>0</v>
      </c>
      <c r="J22" s="997">
        <v>0</v>
      </c>
      <c r="K22" s="277"/>
      <c r="L22" s="996">
        <v>0</v>
      </c>
      <c r="M22" s="997">
        <v>0</v>
      </c>
      <c r="N22" s="997">
        <v>0</v>
      </c>
      <c r="O22" s="186">
        <v>1</v>
      </c>
    </row>
    <row r="23" spans="1:15" x14ac:dyDescent="0.25">
      <c r="A23" s="183" t="s">
        <v>2553</v>
      </c>
      <c r="B23" s="184">
        <v>451</v>
      </c>
      <c r="C23" s="184">
        <v>4192155</v>
      </c>
      <c r="D23" s="201" t="s">
        <v>2554</v>
      </c>
      <c r="E23" s="996">
        <v>0</v>
      </c>
      <c r="F23" s="277" t="s">
        <v>628</v>
      </c>
      <c r="G23" s="997">
        <v>0</v>
      </c>
      <c r="H23" s="997">
        <v>0</v>
      </c>
      <c r="I23" s="997">
        <v>0</v>
      </c>
      <c r="J23" s="997">
        <v>0</v>
      </c>
      <c r="K23" s="277"/>
      <c r="L23" s="996">
        <v>0</v>
      </c>
      <c r="M23" s="997">
        <v>0</v>
      </c>
      <c r="N23" s="997">
        <v>0</v>
      </c>
      <c r="O23" s="186">
        <v>1</v>
      </c>
    </row>
    <row r="24" spans="1:15" x14ac:dyDescent="0.25">
      <c r="A24" s="183" t="s">
        <v>2555</v>
      </c>
      <c r="B24" s="184">
        <v>451</v>
      </c>
      <c r="C24" s="184">
        <v>4192158</v>
      </c>
      <c r="D24" s="201" t="s">
        <v>2556</v>
      </c>
      <c r="E24" s="996">
        <v>0</v>
      </c>
      <c r="F24" s="277" t="s">
        <v>628</v>
      </c>
      <c r="G24" s="997">
        <v>0</v>
      </c>
      <c r="H24" s="997">
        <v>0</v>
      </c>
      <c r="I24" s="997">
        <v>0</v>
      </c>
      <c r="J24" s="997">
        <v>0</v>
      </c>
      <c r="K24" s="277"/>
      <c r="L24" s="996">
        <v>0</v>
      </c>
      <c r="M24" s="997">
        <v>0</v>
      </c>
      <c r="N24" s="997">
        <v>0</v>
      </c>
      <c r="O24" s="186">
        <v>1</v>
      </c>
    </row>
    <row r="25" spans="1:15" x14ac:dyDescent="0.25">
      <c r="A25" s="183" t="s">
        <v>2557</v>
      </c>
      <c r="B25" s="184">
        <v>451</v>
      </c>
      <c r="C25" s="184">
        <v>4192160</v>
      </c>
      <c r="D25" s="201" t="s">
        <v>2558</v>
      </c>
      <c r="E25" s="996">
        <v>0</v>
      </c>
      <c r="F25" s="277" t="s">
        <v>628</v>
      </c>
      <c r="G25" s="1009">
        <v>0</v>
      </c>
      <c r="H25" s="1009">
        <v>0</v>
      </c>
      <c r="I25" s="1009">
        <v>0</v>
      </c>
      <c r="J25" s="1009">
        <v>0</v>
      </c>
      <c r="K25" s="277"/>
      <c r="L25" s="996">
        <v>0</v>
      </c>
      <c r="M25" s="997">
        <v>0</v>
      </c>
      <c r="N25" s="997">
        <v>0</v>
      </c>
      <c r="O25" s="186">
        <v>1</v>
      </c>
    </row>
    <row r="26" spans="1:15" x14ac:dyDescent="0.25">
      <c r="A26" s="309"/>
      <c r="B26" s="305"/>
      <c r="C26" s="305"/>
      <c r="D26" s="731"/>
      <c r="E26" s="281"/>
      <c r="F26" s="281"/>
      <c r="G26" s="281"/>
      <c r="H26" s="282"/>
      <c r="I26" s="283"/>
      <c r="J26" s="281"/>
      <c r="K26" s="281"/>
      <c r="L26" s="283"/>
      <c r="M26" s="283"/>
      <c r="N26" s="281"/>
      <c r="O26" s="282"/>
    </row>
    <row r="27" spans="1:15" x14ac:dyDescent="0.25">
      <c r="A27" s="309"/>
      <c r="B27" s="305"/>
      <c r="C27" s="304"/>
      <c r="D27" s="731"/>
      <c r="E27" s="281"/>
      <c r="F27" s="281"/>
      <c r="G27" s="285"/>
      <c r="H27" s="282"/>
      <c r="I27" s="283"/>
      <c r="J27" s="281"/>
      <c r="K27" s="281"/>
      <c r="L27" s="283"/>
      <c r="M27" s="283"/>
      <c r="N27" s="281"/>
      <c r="O27" s="282"/>
    </row>
    <row r="28" spans="1:15" x14ac:dyDescent="0.25">
      <c r="A28" s="188">
        <v>5</v>
      </c>
      <c r="B28" s="1127" t="s">
        <v>674</v>
      </c>
      <c r="C28" s="1128"/>
      <c r="D28" s="1129"/>
      <c r="E28" s="997">
        <v>0</v>
      </c>
      <c r="F28" s="298"/>
      <c r="G28" s="997">
        <v>0</v>
      </c>
      <c r="H28" s="997">
        <v>0</v>
      </c>
      <c r="I28" s="997">
        <v>0</v>
      </c>
      <c r="J28" s="997">
        <v>0</v>
      </c>
      <c r="K28" s="298"/>
      <c r="L28" s="997">
        <v>0</v>
      </c>
      <c r="M28" s="997">
        <v>0</v>
      </c>
      <c r="N28" s="997">
        <v>0</v>
      </c>
      <c r="O28" s="190"/>
    </row>
    <row r="29" spans="1:15" ht="25.5" customHeight="1" x14ac:dyDescent="0.25">
      <c r="A29" s="188">
        <v>6</v>
      </c>
      <c r="B29" s="1149" t="s">
        <v>1372</v>
      </c>
      <c r="C29" s="1150"/>
      <c r="D29" s="1151"/>
      <c r="E29" s="996">
        <v>0</v>
      </c>
      <c r="F29" s="289"/>
      <c r="G29" s="276"/>
      <c r="H29" s="195"/>
      <c r="I29" s="195"/>
      <c r="J29" s="276"/>
      <c r="K29" s="289"/>
      <c r="L29" s="276"/>
      <c r="M29" s="276"/>
      <c r="N29" s="276"/>
    </row>
    <row r="30" spans="1:15" x14ac:dyDescent="0.25">
      <c r="A30" s="197"/>
      <c r="B30" s="192"/>
      <c r="C30" s="193"/>
      <c r="D30" s="194"/>
      <c r="E30" s="276"/>
      <c r="F30" s="276"/>
      <c r="G30" s="276"/>
      <c r="H30" s="195"/>
      <c r="I30" s="195"/>
      <c r="J30" s="276"/>
      <c r="K30" s="289"/>
      <c r="L30" s="276"/>
      <c r="M30" s="276"/>
      <c r="N30" s="276"/>
    </row>
    <row r="31" spans="1:15" x14ac:dyDescent="0.25">
      <c r="A31" s="188" t="s">
        <v>675</v>
      </c>
      <c r="B31" s="184">
        <v>453</v>
      </c>
      <c r="C31" s="189" t="s">
        <v>678</v>
      </c>
      <c r="D31" s="185" t="s">
        <v>679</v>
      </c>
      <c r="E31" s="996">
        <v>0</v>
      </c>
      <c r="F31" s="277" t="str">
        <f>$G$2</f>
        <v>Traditional OOR</v>
      </c>
      <c r="G31" s="277">
        <f>IF(F31=$G$2,E31,0)</f>
        <v>0</v>
      </c>
      <c r="H31" s="186">
        <v>0</v>
      </c>
      <c r="I31" s="187">
        <f>G31-H31</f>
        <v>0</v>
      </c>
      <c r="J31" s="277">
        <f>IF(F31=$J$2,E31,0)</f>
        <v>0</v>
      </c>
      <c r="K31" s="277"/>
      <c r="L31" s="996">
        <v>0</v>
      </c>
      <c r="M31" s="997">
        <v>0</v>
      </c>
      <c r="N31" s="997">
        <v>0</v>
      </c>
      <c r="O31" s="190">
        <v>3</v>
      </c>
    </row>
    <row r="32" spans="1:15" x14ac:dyDescent="0.25">
      <c r="A32" s="188" t="s">
        <v>676</v>
      </c>
      <c r="B32" s="184">
        <v>453</v>
      </c>
      <c r="C32" s="189" t="s">
        <v>680</v>
      </c>
      <c r="D32" s="185" t="s">
        <v>681</v>
      </c>
      <c r="E32" s="996">
        <v>0</v>
      </c>
      <c r="F32" s="277" t="str">
        <f>$G$2</f>
        <v>Traditional OOR</v>
      </c>
      <c r="G32" s="277">
        <f>IF(F32=$G$2,E32,0)</f>
        <v>0</v>
      </c>
      <c r="H32" s="186">
        <v>0</v>
      </c>
      <c r="I32" s="187">
        <f>G32-H32</f>
        <v>0</v>
      </c>
      <c r="J32" s="277">
        <f>IF(F32=$J$2,E32,0)</f>
        <v>0</v>
      </c>
      <c r="K32" s="277"/>
      <c r="L32" s="996">
        <v>0</v>
      </c>
      <c r="M32" s="997">
        <v>0</v>
      </c>
      <c r="N32" s="997">
        <v>0</v>
      </c>
      <c r="O32" s="190">
        <v>3</v>
      </c>
    </row>
    <row r="33" spans="1:15" x14ac:dyDescent="0.25">
      <c r="A33" s="188" t="s">
        <v>677</v>
      </c>
      <c r="B33" s="184">
        <v>453</v>
      </c>
      <c r="C33" s="188" t="s">
        <v>1562</v>
      </c>
      <c r="D33" s="185" t="s">
        <v>1561</v>
      </c>
      <c r="E33" s="996">
        <v>0</v>
      </c>
      <c r="F33" s="277" t="str">
        <f>$G$2</f>
        <v>Traditional OOR</v>
      </c>
      <c r="G33" s="277">
        <f>IF(F33=$G$2,E33,0)</f>
        <v>0</v>
      </c>
      <c r="H33" s="186">
        <v>0</v>
      </c>
      <c r="I33" s="187">
        <f>G33-H33</f>
        <v>0</v>
      </c>
      <c r="J33" s="277">
        <f>IF(F33=$J$2,E33,0)</f>
        <v>0</v>
      </c>
      <c r="K33" s="277"/>
      <c r="L33" s="996">
        <v>0</v>
      </c>
      <c r="M33" s="997">
        <v>0</v>
      </c>
      <c r="N33" s="997">
        <v>0</v>
      </c>
      <c r="O33" s="190">
        <v>3</v>
      </c>
    </row>
    <row r="34" spans="1:15" x14ac:dyDescent="0.25">
      <c r="A34" s="309"/>
      <c r="B34" s="305"/>
      <c r="C34" s="304"/>
      <c r="D34" s="306"/>
      <c r="E34" s="281"/>
      <c r="F34" s="281"/>
      <c r="G34" s="285"/>
      <c r="H34" s="282"/>
      <c r="I34" s="283"/>
      <c r="J34" s="281"/>
      <c r="K34" s="281"/>
      <c r="L34" s="283"/>
      <c r="M34" s="283"/>
      <c r="N34" s="281"/>
      <c r="O34" s="282"/>
    </row>
    <row r="35" spans="1:15" x14ac:dyDescent="0.25">
      <c r="A35" s="309"/>
      <c r="B35" s="305"/>
      <c r="C35" s="304"/>
      <c r="D35" s="306"/>
      <c r="E35" s="281"/>
      <c r="F35" s="281"/>
      <c r="G35" s="285"/>
      <c r="H35" s="282"/>
      <c r="I35" s="283"/>
      <c r="J35" s="281"/>
      <c r="K35" s="281"/>
      <c r="L35" s="283"/>
      <c r="M35" s="283"/>
      <c r="N35" s="281"/>
      <c r="O35" s="282"/>
    </row>
    <row r="36" spans="1:15" x14ac:dyDescent="0.25">
      <c r="A36" s="188">
        <v>8</v>
      </c>
      <c r="B36" s="1127" t="s">
        <v>682</v>
      </c>
      <c r="C36" s="1128"/>
      <c r="D36" s="1129"/>
      <c r="E36" s="997">
        <v>0</v>
      </c>
      <c r="F36" s="298"/>
      <c r="G36" s="997">
        <v>0</v>
      </c>
      <c r="H36" s="997">
        <v>0</v>
      </c>
      <c r="I36" s="997">
        <v>0</v>
      </c>
      <c r="J36" s="997">
        <v>0</v>
      </c>
      <c r="K36" s="298"/>
      <c r="L36" s="997">
        <v>0</v>
      </c>
      <c r="M36" s="997">
        <v>0</v>
      </c>
      <c r="N36" s="997">
        <v>0</v>
      </c>
      <c r="O36" s="177"/>
    </row>
    <row r="37" spans="1:15" ht="25.5" customHeight="1" x14ac:dyDescent="0.25">
      <c r="A37" s="188">
        <v>9</v>
      </c>
      <c r="B37" s="1152" t="s">
        <v>1373</v>
      </c>
      <c r="C37" s="1143"/>
      <c r="D37" s="1143"/>
      <c r="E37" s="996">
        <v>0</v>
      </c>
      <c r="F37" s="289"/>
      <c r="G37" s="276"/>
      <c r="H37" s="195"/>
      <c r="I37" s="199"/>
      <c r="J37" s="276"/>
      <c r="K37" s="289"/>
      <c r="L37" s="276"/>
      <c r="M37" s="276"/>
      <c r="N37" s="276"/>
      <c r="O37" s="175"/>
    </row>
    <row r="38" spans="1:15" x14ac:dyDescent="0.25">
      <c r="A38" s="191"/>
      <c r="B38" s="192"/>
      <c r="C38" s="193"/>
      <c r="D38" s="194"/>
      <c r="E38" s="276"/>
      <c r="F38" s="276"/>
      <c r="G38" s="276"/>
      <c r="H38" s="195"/>
      <c r="I38" s="199"/>
      <c r="J38" s="276"/>
      <c r="K38" s="289"/>
      <c r="L38" s="276"/>
      <c r="M38" s="276"/>
      <c r="N38" s="276"/>
      <c r="O38" s="175"/>
    </row>
    <row r="39" spans="1:15" x14ac:dyDescent="0.25">
      <c r="A39" s="188" t="s">
        <v>683</v>
      </c>
      <c r="B39" s="184">
        <v>454</v>
      </c>
      <c r="C39" s="185" t="s">
        <v>687</v>
      </c>
      <c r="D39" s="185" t="s">
        <v>688</v>
      </c>
      <c r="E39" s="996">
        <v>0</v>
      </c>
      <c r="F39" s="277" t="str">
        <f t="shared" ref="F39:F44" si="1">$G$2</f>
        <v>Traditional OOR</v>
      </c>
      <c r="G39" s="997">
        <v>0</v>
      </c>
      <c r="H39" s="997">
        <v>0</v>
      </c>
      <c r="I39" s="997">
        <v>0</v>
      </c>
      <c r="J39" s="997">
        <v>0</v>
      </c>
      <c r="K39" s="277"/>
      <c r="L39" s="996">
        <v>0</v>
      </c>
      <c r="M39" s="997">
        <v>0</v>
      </c>
      <c r="N39" s="997">
        <v>0</v>
      </c>
      <c r="O39" s="186">
        <v>4</v>
      </c>
    </row>
    <row r="40" spans="1:15" x14ac:dyDescent="0.25">
      <c r="A40" s="188" t="s">
        <v>684</v>
      </c>
      <c r="B40" s="184">
        <v>454</v>
      </c>
      <c r="C40" s="189" t="s">
        <v>690</v>
      </c>
      <c r="D40" s="185" t="s">
        <v>691</v>
      </c>
      <c r="E40" s="996">
        <v>0</v>
      </c>
      <c r="F40" s="277" t="str">
        <f t="shared" si="1"/>
        <v>Traditional OOR</v>
      </c>
      <c r="G40" s="997">
        <v>0</v>
      </c>
      <c r="H40" s="997">
        <v>0</v>
      </c>
      <c r="I40" s="997">
        <v>0</v>
      </c>
      <c r="J40" s="997">
        <v>0</v>
      </c>
      <c r="K40" s="277"/>
      <c r="L40" s="996">
        <v>0</v>
      </c>
      <c r="M40" s="997">
        <v>0</v>
      </c>
      <c r="N40" s="997">
        <v>0</v>
      </c>
      <c r="O40" s="190">
        <v>4</v>
      </c>
    </row>
    <row r="41" spans="1:15" x14ac:dyDescent="0.25">
      <c r="A41" s="188" t="s">
        <v>685</v>
      </c>
      <c r="B41" s="184">
        <v>454</v>
      </c>
      <c r="C41" s="189" t="s">
        <v>693</v>
      </c>
      <c r="D41" s="185" t="s">
        <v>694</v>
      </c>
      <c r="E41" s="996">
        <v>0</v>
      </c>
      <c r="F41" s="277" t="str">
        <f t="shared" si="1"/>
        <v>Traditional OOR</v>
      </c>
      <c r="G41" s="997">
        <v>0</v>
      </c>
      <c r="H41" s="997">
        <v>0</v>
      </c>
      <c r="I41" s="997">
        <v>0</v>
      </c>
      <c r="J41" s="997">
        <v>0</v>
      </c>
      <c r="K41" s="277"/>
      <c r="L41" s="996">
        <v>0</v>
      </c>
      <c r="M41" s="997">
        <v>0</v>
      </c>
      <c r="N41" s="997">
        <v>0</v>
      </c>
      <c r="O41" s="190">
        <v>4</v>
      </c>
    </row>
    <row r="42" spans="1:15" x14ac:dyDescent="0.25">
      <c r="A42" s="188" t="s">
        <v>686</v>
      </c>
      <c r="B42" s="184">
        <v>454</v>
      </c>
      <c r="C42" s="189" t="s">
        <v>696</v>
      </c>
      <c r="D42" s="185" t="s">
        <v>697</v>
      </c>
      <c r="E42" s="996">
        <v>0</v>
      </c>
      <c r="F42" s="277" t="str">
        <f t="shared" si="1"/>
        <v>Traditional OOR</v>
      </c>
      <c r="G42" s="997">
        <v>0</v>
      </c>
      <c r="H42" s="997">
        <v>0</v>
      </c>
      <c r="I42" s="997">
        <v>0</v>
      </c>
      <c r="J42" s="997">
        <v>0</v>
      </c>
      <c r="K42" s="277"/>
      <c r="L42" s="996">
        <v>0</v>
      </c>
      <c r="M42" s="997">
        <v>0</v>
      </c>
      <c r="N42" s="997">
        <v>0</v>
      </c>
      <c r="O42" s="190">
        <v>4</v>
      </c>
    </row>
    <row r="43" spans="1:15" x14ac:dyDescent="0.25">
      <c r="A43" s="188" t="s">
        <v>689</v>
      </c>
      <c r="B43" s="184">
        <v>454</v>
      </c>
      <c r="C43" s="189" t="s">
        <v>699</v>
      </c>
      <c r="D43" s="185" t="s">
        <v>700</v>
      </c>
      <c r="E43" s="996">
        <v>0</v>
      </c>
      <c r="F43" s="277" t="str">
        <f t="shared" si="1"/>
        <v>Traditional OOR</v>
      </c>
      <c r="G43" s="997">
        <v>0</v>
      </c>
      <c r="H43" s="997">
        <v>0</v>
      </c>
      <c r="I43" s="997">
        <v>0</v>
      </c>
      <c r="J43" s="997">
        <v>0</v>
      </c>
      <c r="K43" s="277"/>
      <c r="L43" s="996">
        <v>0</v>
      </c>
      <c r="M43" s="997">
        <v>0</v>
      </c>
      <c r="N43" s="997">
        <v>0</v>
      </c>
      <c r="O43" s="190">
        <v>4</v>
      </c>
    </row>
    <row r="44" spans="1:15" x14ac:dyDescent="0.25">
      <c r="A44" s="188" t="s">
        <v>692</v>
      </c>
      <c r="B44" s="184">
        <v>454</v>
      </c>
      <c r="C44" s="200">
        <v>4184120</v>
      </c>
      <c r="D44" s="185" t="s">
        <v>1559</v>
      </c>
      <c r="E44" s="996">
        <v>0</v>
      </c>
      <c r="F44" s="277" t="str">
        <f t="shared" si="1"/>
        <v>Traditional OOR</v>
      </c>
      <c r="G44" s="997">
        <v>0</v>
      </c>
      <c r="H44" s="997">
        <v>0</v>
      </c>
      <c r="I44" s="997">
        <v>0</v>
      </c>
      <c r="J44" s="997">
        <v>0</v>
      </c>
      <c r="K44" s="277"/>
      <c r="L44" s="996">
        <v>0</v>
      </c>
      <c r="M44" s="997">
        <v>0</v>
      </c>
      <c r="N44" s="997">
        <v>0</v>
      </c>
      <c r="O44" s="190">
        <v>4</v>
      </c>
    </row>
    <row r="45" spans="1:15" x14ac:dyDescent="0.25">
      <c r="A45" s="188" t="s">
        <v>695</v>
      </c>
      <c r="B45" s="184">
        <v>454</v>
      </c>
      <c r="C45" s="189" t="s">
        <v>702</v>
      </c>
      <c r="D45" s="185" t="s">
        <v>703</v>
      </c>
      <c r="E45" s="996">
        <v>0</v>
      </c>
      <c r="F45" s="277" t="str">
        <f>$J$2</f>
        <v>GRSM</v>
      </c>
      <c r="G45" s="997">
        <v>0</v>
      </c>
      <c r="H45" s="997">
        <v>0</v>
      </c>
      <c r="I45" s="997">
        <v>0</v>
      </c>
      <c r="J45" s="997">
        <v>0</v>
      </c>
      <c r="K45" s="314" t="s">
        <v>670</v>
      </c>
      <c r="L45" s="996">
        <v>0</v>
      </c>
      <c r="M45" s="997">
        <v>0</v>
      </c>
      <c r="N45" s="997">
        <v>0</v>
      </c>
      <c r="O45" s="190">
        <v>2</v>
      </c>
    </row>
    <row r="46" spans="1:15" x14ac:dyDescent="0.25">
      <c r="A46" s="188" t="s">
        <v>698</v>
      </c>
      <c r="B46" s="184">
        <v>454</v>
      </c>
      <c r="C46" s="189" t="s">
        <v>705</v>
      </c>
      <c r="D46" s="185" t="s">
        <v>706</v>
      </c>
      <c r="E46" s="996">
        <v>0</v>
      </c>
      <c r="F46" s="277" t="str">
        <f>$J$2</f>
        <v>GRSM</v>
      </c>
      <c r="G46" s="997">
        <v>0</v>
      </c>
      <c r="H46" s="997">
        <v>0</v>
      </c>
      <c r="I46" s="997">
        <v>0</v>
      </c>
      <c r="J46" s="997">
        <v>0</v>
      </c>
      <c r="K46" s="314" t="s">
        <v>670</v>
      </c>
      <c r="L46" s="996">
        <v>0</v>
      </c>
      <c r="M46" s="997">
        <v>0</v>
      </c>
      <c r="N46" s="997">
        <v>0</v>
      </c>
      <c r="O46" s="190">
        <v>2</v>
      </c>
    </row>
    <row r="47" spans="1:15" x14ac:dyDescent="0.25">
      <c r="A47" s="188" t="s">
        <v>701</v>
      </c>
      <c r="B47" s="184">
        <v>454</v>
      </c>
      <c r="C47" s="189" t="s">
        <v>708</v>
      </c>
      <c r="D47" s="185" t="s">
        <v>709</v>
      </c>
      <c r="E47" s="996">
        <v>0</v>
      </c>
      <c r="F47" s="277" t="str">
        <f>$J$2</f>
        <v>GRSM</v>
      </c>
      <c r="G47" s="997">
        <v>0</v>
      </c>
      <c r="H47" s="997">
        <v>0</v>
      </c>
      <c r="I47" s="997">
        <v>0</v>
      </c>
      <c r="J47" s="997">
        <v>0</v>
      </c>
      <c r="K47" s="314" t="s">
        <v>670</v>
      </c>
      <c r="L47" s="996">
        <v>0</v>
      </c>
      <c r="M47" s="997">
        <v>0</v>
      </c>
      <c r="N47" s="997">
        <v>0</v>
      </c>
      <c r="O47" s="190">
        <v>2</v>
      </c>
    </row>
    <row r="48" spans="1:15" x14ac:dyDescent="0.25">
      <c r="A48" s="188" t="s">
        <v>704</v>
      </c>
      <c r="B48" s="184">
        <v>454</v>
      </c>
      <c r="C48" s="200" t="s">
        <v>711</v>
      </c>
      <c r="D48" s="185" t="s">
        <v>712</v>
      </c>
      <c r="E48" s="996">
        <v>0</v>
      </c>
      <c r="F48" s="277" t="str">
        <f>$J$2</f>
        <v>GRSM</v>
      </c>
      <c r="G48" s="997">
        <v>0</v>
      </c>
      <c r="H48" s="997">
        <v>0</v>
      </c>
      <c r="I48" s="997">
        <v>0</v>
      </c>
      <c r="J48" s="997">
        <v>0</v>
      </c>
      <c r="K48" s="314" t="s">
        <v>670</v>
      </c>
      <c r="L48" s="996">
        <v>0</v>
      </c>
      <c r="M48" s="997">
        <v>0</v>
      </c>
      <c r="N48" s="997">
        <v>0</v>
      </c>
      <c r="O48" s="186">
        <v>2</v>
      </c>
    </row>
    <row r="49" spans="1:15" x14ac:dyDescent="0.25">
      <c r="A49" s="188" t="s">
        <v>707</v>
      </c>
      <c r="B49" s="184">
        <v>454</v>
      </c>
      <c r="C49" s="185" t="s">
        <v>714</v>
      </c>
      <c r="D49" s="185" t="s">
        <v>1369</v>
      </c>
      <c r="E49" s="996">
        <v>0</v>
      </c>
      <c r="F49" s="277" t="str">
        <f>$G$2</f>
        <v>Traditional OOR</v>
      </c>
      <c r="G49" s="997">
        <v>0</v>
      </c>
      <c r="H49" s="997">
        <v>0</v>
      </c>
      <c r="I49" s="997">
        <v>0</v>
      </c>
      <c r="J49" s="997">
        <v>0</v>
      </c>
      <c r="K49" s="277"/>
      <c r="L49" s="996">
        <v>0</v>
      </c>
      <c r="M49" s="997">
        <v>0</v>
      </c>
      <c r="N49" s="997">
        <v>0</v>
      </c>
      <c r="O49" s="186">
        <v>4</v>
      </c>
    </row>
    <row r="50" spans="1:15" x14ac:dyDescent="0.25">
      <c r="A50" s="188" t="s">
        <v>710</v>
      </c>
      <c r="B50" s="184">
        <v>454</v>
      </c>
      <c r="C50" s="189" t="s">
        <v>716</v>
      </c>
      <c r="D50" s="185" t="s">
        <v>717</v>
      </c>
      <c r="E50" s="996">
        <v>0</v>
      </c>
      <c r="F50" s="277" t="str">
        <f>$N$2</f>
        <v>Other Ratemaking</v>
      </c>
      <c r="G50" s="997">
        <v>0</v>
      </c>
      <c r="H50" s="997">
        <v>0</v>
      </c>
      <c r="I50" s="997">
        <v>0</v>
      </c>
      <c r="J50" s="997">
        <v>0</v>
      </c>
      <c r="K50" s="277"/>
      <c r="L50" s="996">
        <v>0</v>
      </c>
      <c r="M50" s="997">
        <v>0</v>
      </c>
      <c r="N50" s="997">
        <v>0</v>
      </c>
      <c r="O50" s="190" t="s">
        <v>718</v>
      </c>
    </row>
    <row r="51" spans="1:15" x14ac:dyDescent="0.25">
      <c r="A51" s="188" t="s">
        <v>713</v>
      </c>
      <c r="B51" s="184">
        <v>454</v>
      </c>
      <c r="C51" s="189" t="s">
        <v>720</v>
      </c>
      <c r="D51" s="185" t="s">
        <v>721</v>
      </c>
      <c r="E51" s="996">
        <v>0</v>
      </c>
      <c r="F51" s="277" t="str">
        <f>$G$2</f>
        <v>Traditional OOR</v>
      </c>
      <c r="G51" s="997">
        <v>0</v>
      </c>
      <c r="H51" s="997">
        <v>0</v>
      </c>
      <c r="I51" s="997">
        <v>0</v>
      </c>
      <c r="J51" s="997">
        <v>0</v>
      </c>
      <c r="K51" s="277"/>
      <c r="L51" s="996">
        <v>0</v>
      </c>
      <c r="M51" s="997">
        <v>0</v>
      </c>
      <c r="N51" s="997">
        <v>0</v>
      </c>
      <c r="O51" s="190">
        <v>7</v>
      </c>
    </row>
    <row r="52" spans="1:15" x14ac:dyDescent="0.25">
      <c r="A52" s="188" t="s">
        <v>715</v>
      </c>
      <c r="B52" s="184">
        <v>454</v>
      </c>
      <c r="C52" s="185" t="s">
        <v>723</v>
      </c>
      <c r="D52" s="185" t="s">
        <v>724</v>
      </c>
      <c r="E52" s="996">
        <v>0</v>
      </c>
      <c r="F52" s="277" t="str">
        <f>$N$2</f>
        <v>Other Ratemaking</v>
      </c>
      <c r="G52" s="997">
        <v>0</v>
      </c>
      <c r="H52" s="997">
        <v>0</v>
      </c>
      <c r="I52" s="997">
        <v>0</v>
      </c>
      <c r="J52" s="997">
        <v>0</v>
      </c>
      <c r="K52" s="277"/>
      <c r="L52" s="996">
        <v>0</v>
      </c>
      <c r="M52" s="997">
        <v>0</v>
      </c>
      <c r="N52" s="997">
        <v>0</v>
      </c>
      <c r="O52" s="186" t="s">
        <v>718</v>
      </c>
    </row>
    <row r="53" spans="1:15" x14ac:dyDescent="0.25">
      <c r="A53" s="188" t="s">
        <v>719</v>
      </c>
      <c r="B53" s="184">
        <v>454</v>
      </c>
      <c r="C53" s="189" t="s">
        <v>726</v>
      </c>
      <c r="D53" s="185" t="s">
        <v>727</v>
      </c>
      <c r="E53" s="996">
        <v>0</v>
      </c>
      <c r="F53" s="277" t="str">
        <f t="shared" ref="F53:F58" si="2">$G$2</f>
        <v>Traditional OOR</v>
      </c>
      <c r="G53" s="997">
        <v>0</v>
      </c>
      <c r="H53" s="997">
        <v>0</v>
      </c>
      <c r="I53" s="997">
        <v>0</v>
      </c>
      <c r="J53" s="997">
        <v>0</v>
      </c>
      <c r="K53" s="277"/>
      <c r="L53" s="996">
        <v>0</v>
      </c>
      <c r="M53" s="997">
        <v>0</v>
      </c>
      <c r="N53" s="997">
        <v>0</v>
      </c>
      <c r="O53" s="190">
        <v>7</v>
      </c>
    </row>
    <row r="54" spans="1:15" x14ac:dyDescent="0.25">
      <c r="A54" s="188" t="s">
        <v>722</v>
      </c>
      <c r="B54" s="184">
        <v>454</v>
      </c>
      <c r="C54" s="189" t="s">
        <v>729</v>
      </c>
      <c r="D54" s="185" t="s">
        <v>730</v>
      </c>
      <c r="E54" s="996">
        <v>0</v>
      </c>
      <c r="F54" s="277" t="str">
        <f t="shared" si="2"/>
        <v>Traditional OOR</v>
      </c>
      <c r="G54" s="997">
        <v>0</v>
      </c>
      <c r="H54" s="997">
        <v>0</v>
      </c>
      <c r="I54" s="997">
        <v>0</v>
      </c>
      <c r="J54" s="997">
        <v>0</v>
      </c>
      <c r="K54" s="277"/>
      <c r="L54" s="996">
        <v>0</v>
      </c>
      <c r="M54" s="997">
        <v>0</v>
      </c>
      <c r="N54" s="997">
        <v>0</v>
      </c>
      <c r="O54" s="190">
        <v>1</v>
      </c>
    </row>
    <row r="55" spans="1:15" x14ac:dyDescent="0.25">
      <c r="A55" s="188" t="s">
        <v>725</v>
      </c>
      <c r="B55" s="184">
        <v>454</v>
      </c>
      <c r="C55" s="189" t="s">
        <v>732</v>
      </c>
      <c r="D55" s="185" t="s">
        <v>733</v>
      </c>
      <c r="E55" s="996">
        <v>0</v>
      </c>
      <c r="F55" s="277" t="str">
        <f t="shared" si="2"/>
        <v>Traditional OOR</v>
      </c>
      <c r="G55" s="997">
        <v>0</v>
      </c>
      <c r="H55" s="997">
        <v>0</v>
      </c>
      <c r="I55" s="997">
        <v>0</v>
      </c>
      <c r="J55" s="997">
        <v>0</v>
      </c>
      <c r="K55" s="277"/>
      <c r="L55" s="996">
        <v>0</v>
      </c>
      <c r="M55" s="997">
        <v>0</v>
      </c>
      <c r="N55" s="997">
        <v>0</v>
      </c>
      <c r="O55" s="190">
        <v>4</v>
      </c>
    </row>
    <row r="56" spans="1:15" x14ac:dyDescent="0.25">
      <c r="A56" s="188" t="s">
        <v>728</v>
      </c>
      <c r="B56" s="184">
        <v>454</v>
      </c>
      <c r="C56" s="189" t="s">
        <v>735</v>
      </c>
      <c r="D56" s="185" t="s">
        <v>736</v>
      </c>
      <c r="E56" s="996">
        <v>0</v>
      </c>
      <c r="F56" s="277" t="str">
        <f t="shared" si="2"/>
        <v>Traditional OOR</v>
      </c>
      <c r="G56" s="997">
        <v>0</v>
      </c>
      <c r="H56" s="997">
        <v>0</v>
      </c>
      <c r="I56" s="997">
        <v>0</v>
      </c>
      <c r="J56" s="997">
        <v>0</v>
      </c>
      <c r="K56" s="277"/>
      <c r="L56" s="996">
        <v>0</v>
      </c>
      <c r="M56" s="997">
        <v>0</v>
      </c>
      <c r="N56" s="997">
        <v>0</v>
      </c>
      <c r="O56" s="190">
        <v>4</v>
      </c>
    </row>
    <row r="57" spans="1:15" x14ac:dyDescent="0.25">
      <c r="A57" s="188" t="s">
        <v>731</v>
      </c>
      <c r="B57" s="184">
        <v>454</v>
      </c>
      <c r="C57" s="189" t="s">
        <v>738</v>
      </c>
      <c r="D57" s="185" t="s">
        <v>739</v>
      </c>
      <c r="E57" s="996">
        <v>0</v>
      </c>
      <c r="F57" s="277" t="str">
        <f t="shared" si="2"/>
        <v>Traditional OOR</v>
      </c>
      <c r="G57" s="997">
        <v>0</v>
      </c>
      <c r="H57" s="997">
        <v>0</v>
      </c>
      <c r="I57" s="997">
        <v>0</v>
      </c>
      <c r="J57" s="997">
        <v>0</v>
      </c>
      <c r="K57" s="277"/>
      <c r="L57" s="996">
        <v>0</v>
      </c>
      <c r="M57" s="997">
        <v>0</v>
      </c>
      <c r="N57" s="997">
        <v>0</v>
      </c>
      <c r="O57" s="190">
        <v>4</v>
      </c>
    </row>
    <row r="58" spans="1:15" x14ac:dyDescent="0.25">
      <c r="A58" s="188" t="s">
        <v>734</v>
      </c>
      <c r="B58" s="184">
        <v>454</v>
      </c>
      <c r="C58" s="189" t="s">
        <v>741</v>
      </c>
      <c r="D58" s="185" t="s">
        <v>742</v>
      </c>
      <c r="E58" s="996">
        <v>0</v>
      </c>
      <c r="F58" s="277" t="str">
        <f t="shared" si="2"/>
        <v>Traditional OOR</v>
      </c>
      <c r="G58" s="997">
        <v>0</v>
      </c>
      <c r="H58" s="996">
        <v>0</v>
      </c>
      <c r="I58" s="997">
        <v>0</v>
      </c>
      <c r="J58" s="997">
        <v>0</v>
      </c>
      <c r="K58" s="277"/>
      <c r="L58" s="996">
        <v>0</v>
      </c>
      <c r="M58" s="997">
        <v>0</v>
      </c>
      <c r="N58" s="997">
        <v>0</v>
      </c>
      <c r="O58" s="190">
        <v>8</v>
      </c>
    </row>
    <row r="59" spans="1:15" x14ac:dyDescent="0.25">
      <c r="A59" s="188" t="s">
        <v>737</v>
      </c>
      <c r="B59" s="184">
        <v>454</v>
      </c>
      <c r="C59" s="185" t="s">
        <v>744</v>
      </c>
      <c r="D59" s="185" t="s">
        <v>745</v>
      </c>
      <c r="E59" s="996">
        <v>0</v>
      </c>
      <c r="F59" s="277" t="str">
        <f>$J$2</f>
        <v>GRSM</v>
      </c>
      <c r="G59" s="997">
        <v>0</v>
      </c>
      <c r="H59" s="997">
        <v>0</v>
      </c>
      <c r="I59" s="997">
        <v>0</v>
      </c>
      <c r="J59" s="997">
        <v>0</v>
      </c>
      <c r="K59" s="314" t="s">
        <v>670</v>
      </c>
      <c r="L59" s="996">
        <v>0</v>
      </c>
      <c r="M59" s="997">
        <v>0</v>
      </c>
      <c r="N59" s="997">
        <v>0</v>
      </c>
      <c r="O59" s="186">
        <v>2</v>
      </c>
    </row>
    <row r="60" spans="1:15" x14ac:dyDescent="0.25">
      <c r="A60" s="188" t="s">
        <v>740</v>
      </c>
      <c r="B60" s="184">
        <v>454</v>
      </c>
      <c r="C60" s="189" t="s">
        <v>746</v>
      </c>
      <c r="D60" s="185" t="s">
        <v>747</v>
      </c>
      <c r="E60" s="996">
        <v>0</v>
      </c>
      <c r="F60" s="277" t="str">
        <f>$G$2</f>
        <v>Traditional OOR</v>
      </c>
      <c r="G60" s="997">
        <v>0</v>
      </c>
      <c r="H60" s="997">
        <v>0</v>
      </c>
      <c r="I60" s="997">
        <v>0</v>
      </c>
      <c r="J60" s="997">
        <v>0</v>
      </c>
      <c r="K60" s="277"/>
      <c r="L60" s="996">
        <v>0</v>
      </c>
      <c r="M60" s="997">
        <v>0</v>
      </c>
      <c r="N60" s="997">
        <v>0</v>
      </c>
      <c r="O60" s="186">
        <v>4</v>
      </c>
    </row>
    <row r="61" spans="1:15" x14ac:dyDescent="0.25">
      <c r="A61" s="188" t="s">
        <v>743</v>
      </c>
      <c r="B61" s="184">
        <v>454</v>
      </c>
      <c r="C61" s="183" t="s">
        <v>1562</v>
      </c>
      <c r="D61" s="185" t="s">
        <v>1561</v>
      </c>
      <c r="E61" s="996">
        <v>0</v>
      </c>
      <c r="F61" s="277" t="str">
        <f>$G$2</f>
        <v>Traditional OOR</v>
      </c>
      <c r="G61" s="997">
        <v>0</v>
      </c>
      <c r="H61" s="997">
        <v>0</v>
      </c>
      <c r="I61" s="997">
        <v>0</v>
      </c>
      <c r="J61" s="997">
        <v>0</v>
      </c>
      <c r="K61" s="277"/>
      <c r="L61" s="996">
        <v>0</v>
      </c>
      <c r="M61" s="997">
        <v>0</v>
      </c>
      <c r="N61" s="997">
        <v>0</v>
      </c>
      <c r="O61" s="186">
        <v>1</v>
      </c>
    </row>
    <row r="62" spans="1:15" x14ac:dyDescent="0.25">
      <c r="A62" s="183" t="s">
        <v>2559</v>
      </c>
      <c r="B62" s="184">
        <v>454</v>
      </c>
      <c r="C62" s="184">
        <v>4206515</v>
      </c>
      <c r="D62" s="201" t="s">
        <v>2560</v>
      </c>
      <c r="E62" s="996">
        <v>0</v>
      </c>
      <c r="F62" s="277" t="s">
        <v>627</v>
      </c>
      <c r="G62" s="997">
        <v>0</v>
      </c>
      <c r="H62" s="997">
        <v>0</v>
      </c>
      <c r="I62" s="997">
        <v>0</v>
      </c>
      <c r="J62" s="997">
        <v>0</v>
      </c>
      <c r="K62" s="1008" t="s">
        <v>670</v>
      </c>
      <c r="L62" s="996">
        <v>0</v>
      </c>
      <c r="M62" s="997">
        <v>0</v>
      </c>
      <c r="N62" s="997">
        <v>0</v>
      </c>
      <c r="O62" s="186">
        <v>2</v>
      </c>
    </row>
    <row r="63" spans="1:15" x14ac:dyDescent="0.25">
      <c r="A63" s="183" t="s">
        <v>2561</v>
      </c>
      <c r="B63" s="184">
        <v>454</v>
      </c>
      <c r="C63" s="184">
        <v>4184122</v>
      </c>
      <c r="D63" s="201" t="s">
        <v>2562</v>
      </c>
      <c r="E63" s="996">
        <v>0</v>
      </c>
      <c r="F63" s="277" t="s">
        <v>626</v>
      </c>
      <c r="G63" s="997">
        <v>0</v>
      </c>
      <c r="H63" s="997">
        <v>0</v>
      </c>
      <c r="I63" s="997">
        <v>0</v>
      </c>
      <c r="J63" s="997">
        <v>0</v>
      </c>
      <c r="K63" s="277"/>
      <c r="L63" s="996">
        <v>0</v>
      </c>
      <c r="M63" s="997">
        <v>0</v>
      </c>
      <c r="N63" s="997">
        <v>0</v>
      </c>
      <c r="O63" s="186">
        <v>4</v>
      </c>
    </row>
    <row r="64" spans="1:15" x14ac:dyDescent="0.25">
      <c r="A64" s="183" t="s">
        <v>2563</v>
      </c>
      <c r="B64" s="184">
        <v>454</v>
      </c>
      <c r="C64" s="184">
        <v>4184124</v>
      </c>
      <c r="D64" s="201" t="s">
        <v>2564</v>
      </c>
      <c r="E64" s="996">
        <v>0</v>
      </c>
      <c r="F64" s="277" t="s">
        <v>626</v>
      </c>
      <c r="G64" s="997">
        <v>0</v>
      </c>
      <c r="H64" s="997">
        <v>0</v>
      </c>
      <c r="I64" s="997">
        <v>0</v>
      </c>
      <c r="J64" s="997">
        <v>0</v>
      </c>
      <c r="K64" s="277"/>
      <c r="L64" s="996">
        <v>0</v>
      </c>
      <c r="M64" s="997">
        <v>0</v>
      </c>
      <c r="N64" s="997">
        <v>0</v>
      </c>
      <c r="O64" s="186">
        <v>4</v>
      </c>
    </row>
    <row r="65" spans="1:15" x14ac:dyDescent="0.25">
      <c r="A65" s="309"/>
      <c r="B65" s="305"/>
      <c r="C65" s="304"/>
      <c r="D65" s="306"/>
      <c r="E65" s="281"/>
      <c r="F65" s="281"/>
      <c r="G65" s="285"/>
      <c r="H65" s="283"/>
      <c r="I65" s="283"/>
      <c r="J65" s="281"/>
      <c r="K65" s="281"/>
      <c r="L65" s="283"/>
      <c r="M65" s="283"/>
      <c r="N65" s="281"/>
      <c r="O65" s="282"/>
    </row>
    <row r="66" spans="1:15" x14ac:dyDescent="0.25">
      <c r="A66" s="309"/>
      <c r="B66" s="305"/>
      <c r="C66" s="304"/>
      <c r="D66" s="306"/>
      <c r="E66" s="281"/>
      <c r="F66" s="281"/>
      <c r="G66" s="285"/>
      <c r="H66" s="283"/>
      <c r="I66" s="283"/>
      <c r="J66" s="281"/>
      <c r="K66" s="281"/>
      <c r="L66" s="283"/>
      <c r="M66" s="283"/>
      <c r="N66" s="281"/>
      <c r="O66" s="282"/>
    </row>
    <row r="67" spans="1:15" x14ac:dyDescent="0.25">
      <c r="A67" s="188">
        <v>11</v>
      </c>
      <c r="B67" s="1127" t="s">
        <v>748</v>
      </c>
      <c r="C67" s="1128"/>
      <c r="D67" s="1129"/>
      <c r="E67" s="997">
        <v>0</v>
      </c>
      <c r="F67" s="298"/>
      <c r="G67" s="997">
        <v>0</v>
      </c>
      <c r="H67" s="997">
        <v>0</v>
      </c>
      <c r="I67" s="997">
        <v>0</v>
      </c>
      <c r="J67" s="997">
        <v>0</v>
      </c>
      <c r="K67" s="298"/>
      <c r="L67" s="997">
        <v>0</v>
      </c>
      <c r="M67" s="997">
        <v>0</v>
      </c>
      <c r="N67" s="997">
        <v>0</v>
      </c>
      <c r="O67" s="176"/>
    </row>
    <row r="68" spans="1:15" ht="24.75" customHeight="1" x14ac:dyDescent="0.25">
      <c r="A68" s="188">
        <v>12</v>
      </c>
      <c r="B68" s="1149" t="s">
        <v>1374</v>
      </c>
      <c r="C68" s="1150"/>
      <c r="D68" s="1151"/>
      <c r="E68" s="996">
        <v>0</v>
      </c>
      <c r="F68" s="289"/>
      <c r="G68" s="303"/>
      <c r="H68" s="289"/>
      <c r="I68" s="289"/>
      <c r="J68" s="276"/>
      <c r="K68" s="289"/>
      <c r="L68" s="276"/>
      <c r="M68" s="276"/>
      <c r="N68" s="276"/>
      <c r="O68" s="175"/>
    </row>
    <row r="69" spans="1:15" x14ac:dyDescent="0.25">
      <c r="A69" s="191"/>
      <c r="B69" s="192"/>
      <c r="C69" s="193"/>
      <c r="D69" s="194"/>
      <c r="E69" s="276"/>
      <c r="F69" s="276"/>
      <c r="G69" s="276"/>
      <c r="H69" s="289"/>
      <c r="I69" s="289"/>
      <c r="J69" s="276"/>
      <c r="K69" s="289"/>
      <c r="L69" s="276"/>
      <c r="M69" s="276"/>
      <c r="N69" s="276"/>
      <c r="O69" s="175"/>
    </row>
    <row r="70" spans="1:15" x14ac:dyDescent="0.25">
      <c r="A70" s="188" t="s">
        <v>749</v>
      </c>
      <c r="B70" s="184">
        <v>456</v>
      </c>
      <c r="C70" s="189" t="s">
        <v>753</v>
      </c>
      <c r="D70" s="185" t="s">
        <v>754</v>
      </c>
      <c r="E70" s="996">
        <v>0</v>
      </c>
      <c r="F70" s="277" t="str">
        <f t="shared" ref="F70:F78" si="3">$G$2</f>
        <v>Traditional OOR</v>
      </c>
      <c r="G70" s="997">
        <v>0</v>
      </c>
      <c r="H70" s="997">
        <v>0</v>
      </c>
      <c r="I70" s="997">
        <v>0</v>
      </c>
      <c r="J70" s="997">
        <v>0</v>
      </c>
      <c r="K70" s="277"/>
      <c r="L70" s="996">
        <v>0</v>
      </c>
      <c r="M70" s="997">
        <v>0</v>
      </c>
      <c r="N70" s="997">
        <v>0</v>
      </c>
      <c r="O70" s="190">
        <v>1</v>
      </c>
    </row>
    <row r="71" spans="1:15" x14ac:dyDescent="0.25">
      <c r="A71" s="188" t="s">
        <v>750</v>
      </c>
      <c r="B71" s="184">
        <v>456</v>
      </c>
      <c r="C71" s="189" t="s">
        <v>755</v>
      </c>
      <c r="D71" s="185" t="s">
        <v>756</v>
      </c>
      <c r="E71" s="996">
        <v>0</v>
      </c>
      <c r="F71" s="277" t="str">
        <f t="shared" si="3"/>
        <v>Traditional OOR</v>
      </c>
      <c r="G71" s="997">
        <v>0</v>
      </c>
      <c r="H71" s="997">
        <v>0</v>
      </c>
      <c r="I71" s="997">
        <v>0</v>
      </c>
      <c r="J71" s="997">
        <v>0</v>
      </c>
      <c r="K71" s="277"/>
      <c r="L71" s="996">
        <v>0</v>
      </c>
      <c r="M71" s="997">
        <v>0</v>
      </c>
      <c r="N71" s="997">
        <v>0</v>
      </c>
      <c r="O71" s="190">
        <v>4</v>
      </c>
    </row>
    <row r="72" spans="1:15" x14ac:dyDescent="0.25">
      <c r="A72" s="188" t="s">
        <v>751</v>
      </c>
      <c r="B72" s="184">
        <v>456</v>
      </c>
      <c r="C72" s="189" t="s">
        <v>757</v>
      </c>
      <c r="D72" s="185" t="s">
        <v>758</v>
      </c>
      <c r="E72" s="996">
        <v>0</v>
      </c>
      <c r="F72" s="277" t="str">
        <f t="shared" si="3"/>
        <v>Traditional OOR</v>
      </c>
      <c r="G72" s="997">
        <v>0</v>
      </c>
      <c r="H72" s="997">
        <v>0</v>
      </c>
      <c r="I72" s="997">
        <v>0</v>
      </c>
      <c r="J72" s="997">
        <v>0</v>
      </c>
      <c r="K72" s="277"/>
      <c r="L72" s="996">
        <v>0</v>
      </c>
      <c r="M72" s="997">
        <v>0</v>
      </c>
      <c r="N72" s="997">
        <v>0</v>
      </c>
      <c r="O72" s="190">
        <v>4</v>
      </c>
    </row>
    <row r="73" spans="1:15" x14ac:dyDescent="0.25">
      <c r="A73" s="188" t="s">
        <v>752</v>
      </c>
      <c r="B73" s="184">
        <v>456</v>
      </c>
      <c r="C73" s="189" t="s">
        <v>760</v>
      </c>
      <c r="D73" s="185" t="s">
        <v>761</v>
      </c>
      <c r="E73" s="996">
        <v>0</v>
      </c>
      <c r="F73" s="277" t="str">
        <f t="shared" si="3"/>
        <v>Traditional OOR</v>
      </c>
      <c r="G73" s="997">
        <v>0</v>
      </c>
      <c r="H73" s="997">
        <v>0</v>
      </c>
      <c r="I73" s="997">
        <v>0</v>
      </c>
      <c r="J73" s="997">
        <v>0</v>
      </c>
      <c r="K73" s="277"/>
      <c r="L73" s="996">
        <v>0</v>
      </c>
      <c r="M73" s="997">
        <v>0</v>
      </c>
      <c r="N73" s="997">
        <v>0</v>
      </c>
      <c r="O73" s="190">
        <v>3</v>
      </c>
    </row>
    <row r="74" spans="1:15" x14ac:dyDescent="0.25">
      <c r="A74" s="183" t="s">
        <v>759</v>
      </c>
      <c r="B74" s="184">
        <v>456</v>
      </c>
      <c r="C74" s="185" t="s">
        <v>763</v>
      </c>
      <c r="D74" s="185" t="s">
        <v>764</v>
      </c>
      <c r="E74" s="996">
        <v>0</v>
      </c>
      <c r="F74" s="277" t="str">
        <f t="shared" si="3"/>
        <v>Traditional OOR</v>
      </c>
      <c r="G74" s="997">
        <v>0</v>
      </c>
      <c r="H74" s="997">
        <v>0</v>
      </c>
      <c r="I74" s="997">
        <v>0</v>
      </c>
      <c r="J74" s="997">
        <v>0</v>
      </c>
      <c r="K74" s="277"/>
      <c r="L74" s="996">
        <v>0</v>
      </c>
      <c r="M74" s="997">
        <v>0</v>
      </c>
      <c r="N74" s="997">
        <v>0</v>
      </c>
      <c r="O74" s="190">
        <v>1</v>
      </c>
    </row>
    <row r="75" spans="1:15" x14ac:dyDescent="0.25">
      <c r="A75" s="183" t="s">
        <v>762</v>
      </c>
      <c r="B75" s="184">
        <v>456</v>
      </c>
      <c r="C75" s="185" t="s">
        <v>766</v>
      </c>
      <c r="D75" s="185" t="s">
        <v>767</v>
      </c>
      <c r="E75" s="996">
        <v>0</v>
      </c>
      <c r="F75" s="277" t="str">
        <f t="shared" si="3"/>
        <v>Traditional OOR</v>
      </c>
      <c r="G75" s="997">
        <v>0</v>
      </c>
      <c r="H75" s="997">
        <v>0</v>
      </c>
      <c r="I75" s="997">
        <v>0</v>
      </c>
      <c r="J75" s="997">
        <v>0</v>
      </c>
      <c r="K75" s="277"/>
      <c r="L75" s="996">
        <v>0</v>
      </c>
      <c r="M75" s="997">
        <v>0</v>
      </c>
      <c r="N75" s="997">
        <v>0</v>
      </c>
      <c r="O75" s="190">
        <v>1</v>
      </c>
    </row>
    <row r="76" spans="1:15" x14ac:dyDescent="0.25">
      <c r="A76" s="183" t="s">
        <v>765</v>
      </c>
      <c r="B76" s="184">
        <v>456</v>
      </c>
      <c r="C76" s="185" t="s">
        <v>769</v>
      </c>
      <c r="D76" s="185" t="s">
        <v>770</v>
      </c>
      <c r="E76" s="996">
        <v>0</v>
      </c>
      <c r="F76" s="277" t="str">
        <f t="shared" si="3"/>
        <v>Traditional OOR</v>
      </c>
      <c r="G76" s="997">
        <v>0</v>
      </c>
      <c r="H76" s="997">
        <v>0</v>
      </c>
      <c r="I76" s="997">
        <v>0</v>
      </c>
      <c r="J76" s="997">
        <v>0</v>
      </c>
      <c r="K76" s="277"/>
      <c r="L76" s="996">
        <v>0</v>
      </c>
      <c r="M76" s="997">
        <v>0</v>
      </c>
      <c r="N76" s="997">
        <v>0</v>
      </c>
      <c r="O76" s="190">
        <v>3</v>
      </c>
    </row>
    <row r="77" spans="1:15" x14ac:dyDescent="0.25">
      <c r="A77" s="183" t="s">
        <v>768</v>
      </c>
      <c r="B77" s="184">
        <v>456</v>
      </c>
      <c r="C77" s="184">
        <v>4186142</v>
      </c>
      <c r="D77" s="185" t="s">
        <v>1560</v>
      </c>
      <c r="E77" s="996">
        <v>0</v>
      </c>
      <c r="F77" s="277" t="str">
        <f t="shared" si="3"/>
        <v>Traditional OOR</v>
      </c>
      <c r="G77" s="997">
        <v>0</v>
      </c>
      <c r="H77" s="997">
        <v>0</v>
      </c>
      <c r="I77" s="997">
        <v>0</v>
      </c>
      <c r="J77" s="997">
        <v>0</v>
      </c>
      <c r="K77" s="277"/>
      <c r="L77" s="996">
        <v>0</v>
      </c>
      <c r="M77" s="997">
        <v>0</v>
      </c>
      <c r="N77" s="997">
        <v>0</v>
      </c>
      <c r="O77" s="190">
        <v>4</v>
      </c>
    </row>
    <row r="78" spans="1:15" x14ac:dyDescent="0.25">
      <c r="A78" s="183" t="s">
        <v>771</v>
      </c>
      <c r="B78" s="184">
        <v>456</v>
      </c>
      <c r="C78" s="185" t="s">
        <v>772</v>
      </c>
      <c r="D78" s="185" t="s">
        <v>773</v>
      </c>
      <c r="E78" s="996">
        <v>0</v>
      </c>
      <c r="F78" s="277" t="str">
        <f t="shared" si="3"/>
        <v>Traditional OOR</v>
      </c>
      <c r="G78" s="997">
        <v>0</v>
      </c>
      <c r="H78" s="997">
        <v>0</v>
      </c>
      <c r="I78" s="997">
        <v>0</v>
      </c>
      <c r="J78" s="997">
        <v>0</v>
      </c>
      <c r="K78" s="277"/>
      <c r="L78" s="996">
        <v>0</v>
      </c>
      <c r="M78" s="997">
        <v>0</v>
      </c>
      <c r="N78" s="997">
        <v>0</v>
      </c>
      <c r="O78" s="190">
        <v>7</v>
      </c>
    </row>
    <row r="79" spans="1:15" x14ac:dyDescent="0.25">
      <c r="A79" s="183" t="s">
        <v>774</v>
      </c>
      <c r="B79" s="184">
        <v>456</v>
      </c>
      <c r="C79" s="185" t="s">
        <v>775</v>
      </c>
      <c r="D79" s="185" t="s">
        <v>776</v>
      </c>
      <c r="E79" s="996">
        <v>0</v>
      </c>
      <c r="F79" s="277" t="str">
        <f>$N$2</f>
        <v>Other Ratemaking</v>
      </c>
      <c r="G79" s="997">
        <v>0</v>
      </c>
      <c r="H79" s="997">
        <v>0</v>
      </c>
      <c r="I79" s="997">
        <v>0</v>
      </c>
      <c r="J79" s="997">
        <v>0</v>
      </c>
      <c r="K79" s="277"/>
      <c r="L79" s="996">
        <v>0</v>
      </c>
      <c r="M79" s="997">
        <v>0</v>
      </c>
      <c r="N79" s="997">
        <v>0</v>
      </c>
      <c r="O79" s="190" t="s">
        <v>718</v>
      </c>
    </row>
    <row r="80" spans="1:15" x14ac:dyDescent="0.25">
      <c r="A80" s="183" t="s">
        <v>777</v>
      </c>
      <c r="B80" s="184">
        <v>456</v>
      </c>
      <c r="C80" s="185" t="s">
        <v>778</v>
      </c>
      <c r="D80" s="185" t="s">
        <v>779</v>
      </c>
      <c r="E80" s="996">
        <v>0</v>
      </c>
      <c r="F80" s="277" t="str">
        <f t="shared" ref="F80:F85" si="4">$G$2</f>
        <v>Traditional OOR</v>
      </c>
      <c r="G80" s="997">
        <v>0</v>
      </c>
      <c r="H80" s="997">
        <v>0</v>
      </c>
      <c r="I80" s="997">
        <v>0</v>
      </c>
      <c r="J80" s="997">
        <v>0</v>
      </c>
      <c r="K80" s="277"/>
      <c r="L80" s="996">
        <v>0</v>
      </c>
      <c r="M80" s="997">
        <v>0</v>
      </c>
      <c r="N80" s="997">
        <v>0</v>
      </c>
      <c r="O80" s="190">
        <v>4</v>
      </c>
    </row>
    <row r="81" spans="1:15" x14ac:dyDescent="0.25">
      <c r="A81" s="183" t="s">
        <v>780</v>
      </c>
      <c r="B81" s="184">
        <v>456</v>
      </c>
      <c r="C81" s="185" t="s">
        <v>781</v>
      </c>
      <c r="D81" s="185" t="s">
        <v>782</v>
      </c>
      <c r="E81" s="996">
        <v>0</v>
      </c>
      <c r="F81" s="277" t="str">
        <f t="shared" si="4"/>
        <v>Traditional OOR</v>
      </c>
      <c r="G81" s="997">
        <v>0</v>
      </c>
      <c r="H81" s="997">
        <v>0</v>
      </c>
      <c r="I81" s="997">
        <v>0</v>
      </c>
      <c r="J81" s="997">
        <v>0</v>
      </c>
      <c r="K81" s="277"/>
      <c r="L81" s="996">
        <v>0</v>
      </c>
      <c r="M81" s="997">
        <v>0</v>
      </c>
      <c r="N81" s="997">
        <v>0</v>
      </c>
      <c r="O81" s="190">
        <v>4</v>
      </c>
    </row>
    <row r="82" spans="1:15" x14ac:dyDescent="0.25">
      <c r="A82" s="183" t="s">
        <v>783</v>
      </c>
      <c r="B82" s="184">
        <v>456</v>
      </c>
      <c r="C82" s="185" t="s">
        <v>784</v>
      </c>
      <c r="D82" s="185" t="s">
        <v>785</v>
      </c>
      <c r="E82" s="996">
        <v>0</v>
      </c>
      <c r="F82" s="277" t="str">
        <f t="shared" si="4"/>
        <v>Traditional OOR</v>
      </c>
      <c r="G82" s="997">
        <v>0</v>
      </c>
      <c r="H82" s="997">
        <v>0</v>
      </c>
      <c r="I82" s="997">
        <v>0</v>
      </c>
      <c r="J82" s="997">
        <v>0</v>
      </c>
      <c r="K82" s="277"/>
      <c r="L82" s="996">
        <v>0</v>
      </c>
      <c r="M82" s="997">
        <v>0</v>
      </c>
      <c r="N82" s="997">
        <v>0</v>
      </c>
      <c r="O82" s="190">
        <v>4</v>
      </c>
    </row>
    <row r="83" spans="1:15" x14ac:dyDescent="0.25">
      <c r="A83" s="183" t="s">
        <v>786</v>
      </c>
      <c r="B83" s="184">
        <v>456</v>
      </c>
      <c r="C83" s="185" t="s">
        <v>787</v>
      </c>
      <c r="D83" s="185" t="s">
        <v>788</v>
      </c>
      <c r="E83" s="996">
        <v>0</v>
      </c>
      <c r="F83" s="277" t="str">
        <f t="shared" si="4"/>
        <v>Traditional OOR</v>
      </c>
      <c r="G83" s="997">
        <v>0</v>
      </c>
      <c r="H83" s="997">
        <v>0</v>
      </c>
      <c r="I83" s="997">
        <v>0</v>
      </c>
      <c r="J83" s="997">
        <v>0</v>
      </c>
      <c r="K83" s="277"/>
      <c r="L83" s="996">
        <v>0</v>
      </c>
      <c r="M83" s="997">
        <v>0</v>
      </c>
      <c r="N83" s="997">
        <v>0</v>
      </c>
      <c r="O83" s="190">
        <v>4</v>
      </c>
    </row>
    <row r="84" spans="1:15" x14ac:dyDescent="0.25">
      <c r="A84" s="183" t="s">
        <v>789</v>
      </c>
      <c r="B84" s="184">
        <v>456</v>
      </c>
      <c r="C84" s="185" t="s">
        <v>790</v>
      </c>
      <c r="D84" s="185" t="s">
        <v>791</v>
      </c>
      <c r="E84" s="996">
        <v>0</v>
      </c>
      <c r="F84" s="277" t="str">
        <f t="shared" si="4"/>
        <v>Traditional OOR</v>
      </c>
      <c r="G84" s="997">
        <v>0</v>
      </c>
      <c r="H84" s="997">
        <v>0</v>
      </c>
      <c r="I84" s="997">
        <v>0</v>
      </c>
      <c r="J84" s="997">
        <v>0</v>
      </c>
      <c r="K84" s="277"/>
      <c r="L84" s="996">
        <v>0</v>
      </c>
      <c r="M84" s="997">
        <v>0</v>
      </c>
      <c r="N84" s="997">
        <v>0</v>
      </c>
      <c r="O84" s="190">
        <v>4</v>
      </c>
    </row>
    <row r="85" spans="1:15" x14ac:dyDescent="0.25">
      <c r="A85" s="183" t="s">
        <v>792</v>
      </c>
      <c r="B85" s="184">
        <v>456</v>
      </c>
      <c r="C85" s="185" t="s">
        <v>793</v>
      </c>
      <c r="D85" s="185" t="s">
        <v>794</v>
      </c>
      <c r="E85" s="996">
        <v>0</v>
      </c>
      <c r="F85" s="277" t="str">
        <f t="shared" si="4"/>
        <v>Traditional OOR</v>
      </c>
      <c r="G85" s="997">
        <v>0</v>
      </c>
      <c r="H85" s="997">
        <v>0</v>
      </c>
      <c r="I85" s="997">
        <v>0</v>
      </c>
      <c r="J85" s="997">
        <v>0</v>
      </c>
      <c r="K85" s="277"/>
      <c r="L85" s="996">
        <v>0</v>
      </c>
      <c r="M85" s="997">
        <v>0</v>
      </c>
      <c r="N85" s="997">
        <v>0</v>
      </c>
      <c r="O85" s="190">
        <v>4</v>
      </c>
    </row>
    <row r="86" spans="1:15" x14ac:dyDescent="0.25">
      <c r="A86" s="183" t="s">
        <v>795</v>
      </c>
      <c r="B86" s="184">
        <v>456</v>
      </c>
      <c r="C86" s="185" t="s">
        <v>796</v>
      </c>
      <c r="D86" s="185" t="s">
        <v>797</v>
      </c>
      <c r="E86" s="996">
        <v>0</v>
      </c>
      <c r="F86" s="277" t="str">
        <f t="shared" ref="F86:F99" si="5">$J$2</f>
        <v>GRSM</v>
      </c>
      <c r="G86" s="997">
        <v>0</v>
      </c>
      <c r="H86" s="997">
        <v>0</v>
      </c>
      <c r="I86" s="997">
        <v>0</v>
      </c>
      <c r="J86" s="997">
        <v>0</v>
      </c>
      <c r="K86" s="314" t="s">
        <v>670</v>
      </c>
      <c r="L86" s="996">
        <v>0</v>
      </c>
      <c r="M86" s="997">
        <v>0</v>
      </c>
      <c r="N86" s="997">
        <v>0</v>
      </c>
      <c r="O86" s="190">
        <v>2</v>
      </c>
    </row>
    <row r="87" spans="1:15" x14ac:dyDescent="0.25">
      <c r="A87" s="183" t="s">
        <v>798</v>
      </c>
      <c r="B87" s="184">
        <v>456</v>
      </c>
      <c r="C87" s="185" t="s">
        <v>799</v>
      </c>
      <c r="D87" s="185" t="s">
        <v>800</v>
      </c>
      <c r="E87" s="996">
        <v>0</v>
      </c>
      <c r="F87" s="277" t="str">
        <f t="shared" si="5"/>
        <v>GRSM</v>
      </c>
      <c r="G87" s="997">
        <v>0</v>
      </c>
      <c r="H87" s="997">
        <v>0</v>
      </c>
      <c r="I87" s="997">
        <v>0</v>
      </c>
      <c r="J87" s="997">
        <v>0</v>
      </c>
      <c r="K87" s="314" t="s">
        <v>670</v>
      </c>
      <c r="L87" s="996">
        <v>0</v>
      </c>
      <c r="M87" s="997">
        <v>0</v>
      </c>
      <c r="N87" s="997">
        <v>0</v>
      </c>
      <c r="O87" s="190">
        <v>2</v>
      </c>
    </row>
    <row r="88" spans="1:15" x14ac:dyDescent="0.25">
      <c r="A88" s="183" t="s">
        <v>801</v>
      </c>
      <c r="B88" s="184">
        <v>456</v>
      </c>
      <c r="C88" s="185" t="s">
        <v>802</v>
      </c>
      <c r="D88" s="185" t="s">
        <v>803</v>
      </c>
      <c r="E88" s="996">
        <v>0</v>
      </c>
      <c r="F88" s="277" t="str">
        <f t="shared" si="5"/>
        <v>GRSM</v>
      </c>
      <c r="G88" s="997">
        <v>0</v>
      </c>
      <c r="H88" s="997">
        <v>0</v>
      </c>
      <c r="I88" s="997">
        <v>0</v>
      </c>
      <c r="J88" s="997">
        <v>0</v>
      </c>
      <c r="K88" s="314" t="s">
        <v>670</v>
      </c>
      <c r="L88" s="996">
        <v>0</v>
      </c>
      <c r="M88" s="997">
        <v>0</v>
      </c>
      <c r="N88" s="997">
        <v>0</v>
      </c>
      <c r="O88" s="190">
        <v>2</v>
      </c>
    </row>
    <row r="89" spans="1:15" x14ac:dyDescent="0.25">
      <c r="A89" s="183" t="s">
        <v>804</v>
      </c>
      <c r="B89" s="184">
        <v>456</v>
      </c>
      <c r="C89" s="185" t="s">
        <v>805</v>
      </c>
      <c r="D89" s="185" t="s">
        <v>806</v>
      </c>
      <c r="E89" s="996">
        <v>0</v>
      </c>
      <c r="F89" s="277" t="str">
        <f t="shared" si="5"/>
        <v>GRSM</v>
      </c>
      <c r="G89" s="997">
        <v>0</v>
      </c>
      <c r="H89" s="997">
        <v>0</v>
      </c>
      <c r="I89" s="997">
        <v>0</v>
      </c>
      <c r="J89" s="997">
        <v>0</v>
      </c>
      <c r="K89" s="314" t="s">
        <v>670</v>
      </c>
      <c r="L89" s="996">
        <v>0</v>
      </c>
      <c r="M89" s="997">
        <v>0</v>
      </c>
      <c r="N89" s="997">
        <v>0</v>
      </c>
      <c r="O89" s="186">
        <v>2</v>
      </c>
    </row>
    <row r="90" spans="1:15" x14ac:dyDescent="0.25">
      <c r="A90" s="183" t="s">
        <v>807</v>
      </c>
      <c r="B90" s="184">
        <v>456</v>
      </c>
      <c r="C90" s="185" t="s">
        <v>808</v>
      </c>
      <c r="D90" s="185" t="s">
        <v>809</v>
      </c>
      <c r="E90" s="996">
        <v>0</v>
      </c>
      <c r="F90" s="277" t="str">
        <f t="shared" si="5"/>
        <v>GRSM</v>
      </c>
      <c r="G90" s="997">
        <v>0</v>
      </c>
      <c r="H90" s="997">
        <v>0</v>
      </c>
      <c r="I90" s="997">
        <v>0</v>
      </c>
      <c r="J90" s="997">
        <v>0</v>
      </c>
      <c r="K90" s="314" t="s">
        <v>670</v>
      </c>
      <c r="L90" s="996">
        <v>0</v>
      </c>
      <c r="M90" s="997">
        <v>0</v>
      </c>
      <c r="N90" s="997">
        <v>0</v>
      </c>
      <c r="O90" s="190">
        <v>2</v>
      </c>
    </row>
    <row r="91" spans="1:15" x14ac:dyDescent="0.25">
      <c r="A91" s="183" t="s">
        <v>810</v>
      </c>
      <c r="B91" s="184">
        <v>456</v>
      </c>
      <c r="C91" s="185" t="s">
        <v>811</v>
      </c>
      <c r="D91" s="185" t="s">
        <v>812</v>
      </c>
      <c r="E91" s="996">
        <v>0</v>
      </c>
      <c r="F91" s="277" t="str">
        <f t="shared" si="5"/>
        <v>GRSM</v>
      </c>
      <c r="G91" s="997">
        <v>0</v>
      </c>
      <c r="H91" s="997">
        <v>0</v>
      </c>
      <c r="I91" s="997">
        <v>0</v>
      </c>
      <c r="J91" s="997">
        <v>0</v>
      </c>
      <c r="K91" s="314" t="s">
        <v>670</v>
      </c>
      <c r="L91" s="996">
        <v>0</v>
      </c>
      <c r="M91" s="997">
        <v>0</v>
      </c>
      <c r="N91" s="997">
        <v>0</v>
      </c>
      <c r="O91" s="190">
        <v>2</v>
      </c>
    </row>
    <row r="92" spans="1:15" x14ac:dyDescent="0.25">
      <c r="A92" s="183" t="s">
        <v>813</v>
      </c>
      <c r="B92" s="184">
        <v>456</v>
      </c>
      <c r="C92" s="185" t="s">
        <v>814</v>
      </c>
      <c r="D92" s="185" t="s">
        <v>815</v>
      </c>
      <c r="E92" s="996">
        <v>0</v>
      </c>
      <c r="F92" s="277" t="str">
        <f t="shared" si="5"/>
        <v>GRSM</v>
      </c>
      <c r="G92" s="997">
        <v>0</v>
      </c>
      <c r="H92" s="997">
        <v>0</v>
      </c>
      <c r="I92" s="997">
        <v>0</v>
      </c>
      <c r="J92" s="997">
        <v>0</v>
      </c>
      <c r="K92" s="314" t="s">
        <v>670</v>
      </c>
      <c r="L92" s="996">
        <v>0</v>
      </c>
      <c r="M92" s="997">
        <v>0</v>
      </c>
      <c r="N92" s="997">
        <v>0</v>
      </c>
      <c r="O92" s="186">
        <v>2</v>
      </c>
    </row>
    <row r="93" spans="1:15" x14ac:dyDescent="0.25">
      <c r="A93" s="183" t="s">
        <v>816</v>
      </c>
      <c r="B93" s="184">
        <v>456</v>
      </c>
      <c r="C93" s="184">
        <v>4186536</v>
      </c>
      <c r="D93" s="201" t="s">
        <v>817</v>
      </c>
      <c r="E93" s="996">
        <v>0</v>
      </c>
      <c r="F93" s="277" t="str">
        <f t="shared" si="5"/>
        <v>GRSM</v>
      </c>
      <c r="G93" s="997">
        <v>0</v>
      </c>
      <c r="H93" s="997">
        <v>0</v>
      </c>
      <c r="I93" s="997">
        <v>0</v>
      </c>
      <c r="J93" s="997">
        <v>0</v>
      </c>
      <c r="K93" s="314" t="s">
        <v>670</v>
      </c>
      <c r="L93" s="996">
        <v>0</v>
      </c>
      <c r="M93" s="997">
        <v>0</v>
      </c>
      <c r="N93" s="997">
        <v>0</v>
      </c>
      <c r="O93" s="186">
        <v>2</v>
      </c>
    </row>
    <row r="94" spans="1:15" x14ac:dyDescent="0.25">
      <c r="A94" s="183" t="s">
        <v>818</v>
      </c>
      <c r="B94" s="184">
        <v>456</v>
      </c>
      <c r="C94" s="184">
        <v>4186538</v>
      </c>
      <c r="D94" s="201" t="s">
        <v>819</v>
      </c>
      <c r="E94" s="996">
        <v>0</v>
      </c>
      <c r="F94" s="277" t="str">
        <f t="shared" si="5"/>
        <v>GRSM</v>
      </c>
      <c r="G94" s="997">
        <v>0</v>
      </c>
      <c r="H94" s="997">
        <v>0</v>
      </c>
      <c r="I94" s="997">
        <v>0</v>
      </c>
      <c r="J94" s="997">
        <v>0</v>
      </c>
      <c r="K94" s="314" t="s">
        <v>670</v>
      </c>
      <c r="L94" s="996">
        <v>0</v>
      </c>
      <c r="M94" s="997">
        <v>0</v>
      </c>
      <c r="N94" s="997">
        <v>0</v>
      </c>
      <c r="O94" s="186">
        <v>2</v>
      </c>
    </row>
    <row r="95" spans="1:15" x14ac:dyDescent="0.25">
      <c r="A95" s="183" t="s">
        <v>820</v>
      </c>
      <c r="B95" s="184">
        <v>456</v>
      </c>
      <c r="C95" s="185" t="s">
        <v>821</v>
      </c>
      <c r="D95" s="185" t="s">
        <v>822</v>
      </c>
      <c r="E95" s="996">
        <v>0</v>
      </c>
      <c r="F95" s="277" t="str">
        <f t="shared" si="5"/>
        <v>GRSM</v>
      </c>
      <c r="G95" s="997">
        <v>0</v>
      </c>
      <c r="H95" s="997">
        <v>0</v>
      </c>
      <c r="I95" s="997">
        <v>0</v>
      </c>
      <c r="J95" s="997">
        <v>0</v>
      </c>
      <c r="K95" s="314" t="s">
        <v>612</v>
      </c>
      <c r="L95" s="996">
        <v>0</v>
      </c>
      <c r="M95" s="997">
        <v>0</v>
      </c>
      <c r="N95" s="997">
        <v>0</v>
      </c>
      <c r="O95" s="186">
        <v>2</v>
      </c>
    </row>
    <row r="96" spans="1:15" x14ac:dyDescent="0.25">
      <c r="A96" s="183" t="s">
        <v>823</v>
      </c>
      <c r="B96" s="184">
        <v>456</v>
      </c>
      <c r="C96" s="185" t="s">
        <v>824</v>
      </c>
      <c r="D96" s="185" t="s">
        <v>825</v>
      </c>
      <c r="E96" s="996">
        <v>0</v>
      </c>
      <c r="F96" s="277" t="str">
        <f t="shared" si="5"/>
        <v>GRSM</v>
      </c>
      <c r="G96" s="997">
        <v>0</v>
      </c>
      <c r="H96" s="997">
        <v>0</v>
      </c>
      <c r="I96" s="997">
        <v>0</v>
      </c>
      <c r="J96" s="997">
        <v>0</v>
      </c>
      <c r="K96" s="314" t="s">
        <v>612</v>
      </c>
      <c r="L96" s="996">
        <v>0</v>
      </c>
      <c r="M96" s="997">
        <v>0</v>
      </c>
      <c r="N96" s="997">
        <v>0</v>
      </c>
      <c r="O96" s="186">
        <v>2</v>
      </c>
    </row>
    <row r="97" spans="1:15" x14ac:dyDescent="0.25">
      <c r="A97" s="183" t="s">
        <v>826</v>
      </c>
      <c r="B97" s="184">
        <v>456</v>
      </c>
      <c r="C97" s="185" t="s">
        <v>827</v>
      </c>
      <c r="D97" s="185" t="s">
        <v>828</v>
      </c>
      <c r="E97" s="996">
        <v>0</v>
      </c>
      <c r="F97" s="277" t="str">
        <f t="shared" si="5"/>
        <v>GRSM</v>
      </c>
      <c r="G97" s="997">
        <v>0</v>
      </c>
      <c r="H97" s="997">
        <v>0</v>
      </c>
      <c r="I97" s="997">
        <v>0</v>
      </c>
      <c r="J97" s="997">
        <v>0</v>
      </c>
      <c r="K97" s="314" t="s">
        <v>612</v>
      </c>
      <c r="L97" s="996">
        <v>0</v>
      </c>
      <c r="M97" s="997">
        <v>0</v>
      </c>
      <c r="N97" s="997">
        <v>0</v>
      </c>
      <c r="O97" s="186">
        <v>2</v>
      </c>
    </row>
    <row r="98" spans="1:15" x14ac:dyDescent="0.25">
      <c r="A98" s="183" t="s">
        <v>829</v>
      </c>
      <c r="B98" s="184">
        <v>456</v>
      </c>
      <c r="C98" s="185" t="s">
        <v>830</v>
      </c>
      <c r="D98" s="185" t="s">
        <v>831</v>
      </c>
      <c r="E98" s="996">
        <v>0</v>
      </c>
      <c r="F98" s="277" t="str">
        <f t="shared" si="5"/>
        <v>GRSM</v>
      </c>
      <c r="G98" s="997">
        <v>0</v>
      </c>
      <c r="H98" s="997">
        <v>0</v>
      </c>
      <c r="I98" s="997">
        <v>0</v>
      </c>
      <c r="J98" s="997">
        <v>0</v>
      </c>
      <c r="K98" s="314" t="s">
        <v>612</v>
      </c>
      <c r="L98" s="996">
        <v>0</v>
      </c>
      <c r="M98" s="997">
        <v>0</v>
      </c>
      <c r="N98" s="997">
        <v>0</v>
      </c>
      <c r="O98" s="190">
        <v>2</v>
      </c>
    </row>
    <row r="99" spans="1:15" x14ac:dyDescent="0.25">
      <c r="A99" s="183" t="s">
        <v>832</v>
      </c>
      <c r="B99" s="184">
        <v>456</v>
      </c>
      <c r="C99" s="185" t="s">
        <v>833</v>
      </c>
      <c r="D99" s="185" t="s">
        <v>834</v>
      </c>
      <c r="E99" s="996">
        <v>0</v>
      </c>
      <c r="F99" s="277" t="str">
        <f t="shared" si="5"/>
        <v>GRSM</v>
      </c>
      <c r="G99" s="997">
        <v>0</v>
      </c>
      <c r="H99" s="997">
        <v>0</v>
      </c>
      <c r="I99" s="997">
        <v>0</v>
      </c>
      <c r="J99" s="997">
        <v>0</v>
      </c>
      <c r="K99" s="314" t="s">
        <v>612</v>
      </c>
      <c r="L99" s="996">
        <v>0</v>
      </c>
      <c r="M99" s="997">
        <v>0</v>
      </c>
      <c r="N99" s="997">
        <v>0</v>
      </c>
      <c r="O99" s="186">
        <v>2</v>
      </c>
    </row>
    <row r="100" spans="1:15" x14ac:dyDescent="0.25">
      <c r="A100" s="183" t="s">
        <v>835</v>
      </c>
      <c r="B100" s="184">
        <v>456</v>
      </c>
      <c r="C100" s="185" t="s">
        <v>836</v>
      </c>
      <c r="D100" s="185" t="s">
        <v>837</v>
      </c>
      <c r="E100" s="996">
        <v>0</v>
      </c>
      <c r="F100" s="277" t="str">
        <f>$N$2</f>
        <v>Other Ratemaking</v>
      </c>
      <c r="G100" s="997">
        <v>0</v>
      </c>
      <c r="H100" s="997">
        <v>0</v>
      </c>
      <c r="I100" s="997">
        <v>0</v>
      </c>
      <c r="J100" s="997">
        <v>0</v>
      </c>
      <c r="K100" s="277"/>
      <c r="L100" s="996">
        <v>0</v>
      </c>
      <c r="M100" s="997">
        <v>0</v>
      </c>
      <c r="N100" s="997">
        <v>0</v>
      </c>
      <c r="O100" s="190">
        <v>6</v>
      </c>
    </row>
    <row r="101" spans="1:15" x14ac:dyDescent="0.25">
      <c r="A101" s="183" t="s">
        <v>838</v>
      </c>
      <c r="B101" s="184">
        <v>456</v>
      </c>
      <c r="C101" s="185" t="s">
        <v>839</v>
      </c>
      <c r="D101" s="185" t="s">
        <v>840</v>
      </c>
      <c r="E101" s="996">
        <v>0</v>
      </c>
      <c r="F101" s="277" t="str">
        <f>$G$2</f>
        <v>Traditional OOR</v>
      </c>
      <c r="G101" s="997">
        <v>0</v>
      </c>
      <c r="H101" s="997">
        <v>0</v>
      </c>
      <c r="I101" s="997">
        <v>0</v>
      </c>
      <c r="J101" s="997">
        <v>0</v>
      </c>
      <c r="K101" s="277"/>
      <c r="L101" s="996">
        <v>0</v>
      </c>
      <c r="M101" s="997">
        <v>0</v>
      </c>
      <c r="N101" s="997">
        <v>0</v>
      </c>
      <c r="O101" s="190">
        <v>4</v>
      </c>
    </row>
    <row r="102" spans="1:15" x14ac:dyDescent="0.25">
      <c r="A102" s="183" t="s">
        <v>841</v>
      </c>
      <c r="B102" s="184">
        <v>456</v>
      </c>
      <c r="C102" s="185" t="s">
        <v>842</v>
      </c>
      <c r="D102" s="958" t="s">
        <v>1956</v>
      </c>
      <c r="E102" s="996">
        <v>0</v>
      </c>
      <c r="F102" s="277" t="str">
        <f t="shared" ref="F102:F107" si="6">$N$2</f>
        <v>Other Ratemaking</v>
      </c>
      <c r="G102" s="997">
        <v>0</v>
      </c>
      <c r="H102" s="997">
        <v>0</v>
      </c>
      <c r="I102" s="997">
        <v>0</v>
      </c>
      <c r="J102" s="997">
        <v>0</v>
      </c>
      <c r="K102" s="277"/>
      <c r="L102" s="996">
        <v>0</v>
      </c>
      <c r="M102" s="997">
        <v>0</v>
      </c>
      <c r="N102" s="997">
        <v>0</v>
      </c>
      <c r="O102" s="190">
        <v>6</v>
      </c>
    </row>
    <row r="103" spans="1:15" x14ac:dyDescent="0.25">
      <c r="A103" s="183" t="s">
        <v>843</v>
      </c>
      <c r="B103" s="184">
        <v>456</v>
      </c>
      <c r="C103" s="185" t="s">
        <v>844</v>
      </c>
      <c r="D103" s="958" t="s">
        <v>1957</v>
      </c>
      <c r="E103" s="996">
        <v>0</v>
      </c>
      <c r="F103" s="277" t="str">
        <f t="shared" si="6"/>
        <v>Other Ratemaking</v>
      </c>
      <c r="G103" s="997">
        <v>0</v>
      </c>
      <c r="H103" s="997">
        <v>0</v>
      </c>
      <c r="I103" s="997">
        <v>0</v>
      </c>
      <c r="J103" s="997">
        <v>0</v>
      </c>
      <c r="K103" s="277"/>
      <c r="L103" s="996">
        <v>0</v>
      </c>
      <c r="M103" s="997">
        <v>0</v>
      </c>
      <c r="N103" s="997">
        <v>0</v>
      </c>
      <c r="O103" s="190">
        <v>6</v>
      </c>
    </row>
    <row r="104" spans="1:15" x14ac:dyDescent="0.25">
      <c r="A104" s="183" t="s">
        <v>845</v>
      </c>
      <c r="B104" s="184">
        <v>456</v>
      </c>
      <c r="C104" s="185" t="s">
        <v>846</v>
      </c>
      <c r="D104" s="185" t="s">
        <v>847</v>
      </c>
      <c r="E104" s="996">
        <v>0</v>
      </c>
      <c r="F104" s="277" t="str">
        <f t="shared" si="6"/>
        <v>Other Ratemaking</v>
      </c>
      <c r="G104" s="997">
        <v>0</v>
      </c>
      <c r="H104" s="997">
        <v>0</v>
      </c>
      <c r="I104" s="997">
        <v>0</v>
      </c>
      <c r="J104" s="997">
        <v>0</v>
      </c>
      <c r="K104" s="277"/>
      <c r="L104" s="996">
        <v>0</v>
      </c>
      <c r="M104" s="997">
        <v>0</v>
      </c>
      <c r="N104" s="997">
        <v>0</v>
      </c>
      <c r="O104" s="190">
        <v>6</v>
      </c>
    </row>
    <row r="105" spans="1:15" x14ac:dyDescent="0.25">
      <c r="A105" s="183" t="s">
        <v>848</v>
      </c>
      <c r="B105" s="184">
        <v>456</v>
      </c>
      <c r="C105" s="185" t="s">
        <v>849</v>
      </c>
      <c r="D105" s="185" t="s">
        <v>850</v>
      </c>
      <c r="E105" s="996">
        <v>0</v>
      </c>
      <c r="F105" s="277" t="str">
        <f t="shared" si="6"/>
        <v>Other Ratemaking</v>
      </c>
      <c r="G105" s="997">
        <v>0</v>
      </c>
      <c r="H105" s="997">
        <v>0</v>
      </c>
      <c r="I105" s="997">
        <v>0</v>
      </c>
      <c r="J105" s="997">
        <v>0</v>
      </c>
      <c r="K105" s="277"/>
      <c r="L105" s="996">
        <v>0</v>
      </c>
      <c r="M105" s="997">
        <v>0</v>
      </c>
      <c r="N105" s="997">
        <v>0</v>
      </c>
      <c r="O105" s="190">
        <v>6</v>
      </c>
    </row>
    <row r="106" spans="1:15" x14ac:dyDescent="0.25">
      <c r="A106" s="183" t="s">
        <v>851</v>
      </c>
      <c r="B106" s="184">
        <v>456</v>
      </c>
      <c r="C106" s="185" t="s">
        <v>852</v>
      </c>
      <c r="D106" s="958" t="s">
        <v>1958</v>
      </c>
      <c r="E106" s="996">
        <v>0</v>
      </c>
      <c r="F106" s="277" t="str">
        <f t="shared" si="6"/>
        <v>Other Ratemaking</v>
      </c>
      <c r="G106" s="997">
        <v>0</v>
      </c>
      <c r="H106" s="997">
        <v>0</v>
      </c>
      <c r="I106" s="997">
        <v>0</v>
      </c>
      <c r="J106" s="997">
        <v>0</v>
      </c>
      <c r="K106" s="277"/>
      <c r="L106" s="996">
        <v>0</v>
      </c>
      <c r="M106" s="997">
        <v>0</v>
      </c>
      <c r="N106" s="997">
        <v>0</v>
      </c>
      <c r="O106" s="190">
        <v>6</v>
      </c>
    </row>
    <row r="107" spans="1:15" x14ac:dyDescent="0.25">
      <c r="A107" s="183" t="s">
        <v>853</v>
      </c>
      <c r="B107" s="184">
        <v>456</v>
      </c>
      <c r="C107" s="185" t="s">
        <v>854</v>
      </c>
      <c r="D107" s="185" t="s">
        <v>855</v>
      </c>
      <c r="E107" s="996">
        <v>0</v>
      </c>
      <c r="F107" s="277" t="str">
        <f t="shared" si="6"/>
        <v>Other Ratemaking</v>
      </c>
      <c r="G107" s="997">
        <v>0</v>
      </c>
      <c r="H107" s="997">
        <v>0</v>
      </c>
      <c r="I107" s="997">
        <v>0</v>
      </c>
      <c r="J107" s="997">
        <v>0</v>
      </c>
      <c r="K107" s="277"/>
      <c r="L107" s="996">
        <v>0</v>
      </c>
      <c r="M107" s="997">
        <v>0</v>
      </c>
      <c r="N107" s="997">
        <v>0</v>
      </c>
      <c r="O107" s="190">
        <v>6</v>
      </c>
    </row>
    <row r="108" spans="1:15" x14ac:dyDescent="0.25">
      <c r="A108" s="183" t="s">
        <v>856</v>
      </c>
      <c r="B108" s="184">
        <v>456</v>
      </c>
      <c r="C108" s="185" t="s">
        <v>857</v>
      </c>
      <c r="D108" s="185" t="s">
        <v>858</v>
      </c>
      <c r="E108" s="996">
        <v>0</v>
      </c>
      <c r="F108" s="277" t="str">
        <f>$J$2</f>
        <v>GRSM</v>
      </c>
      <c r="G108" s="997">
        <v>0</v>
      </c>
      <c r="H108" s="997">
        <v>0</v>
      </c>
      <c r="I108" s="997">
        <v>0</v>
      </c>
      <c r="J108" s="997">
        <v>0</v>
      </c>
      <c r="K108" s="314" t="s">
        <v>612</v>
      </c>
      <c r="L108" s="996">
        <v>0</v>
      </c>
      <c r="M108" s="997">
        <v>0</v>
      </c>
      <c r="N108" s="997">
        <v>0</v>
      </c>
      <c r="O108" s="190">
        <v>2</v>
      </c>
    </row>
    <row r="109" spans="1:15" x14ac:dyDescent="0.25">
      <c r="A109" s="183" t="s">
        <v>859</v>
      </c>
      <c r="B109" s="184">
        <v>456</v>
      </c>
      <c r="C109" s="185" t="s">
        <v>860</v>
      </c>
      <c r="D109" s="185" t="s">
        <v>861</v>
      </c>
      <c r="E109" s="996">
        <v>0</v>
      </c>
      <c r="F109" s="277" t="str">
        <f>$J$2</f>
        <v>GRSM</v>
      </c>
      <c r="G109" s="997">
        <v>0</v>
      </c>
      <c r="H109" s="997">
        <v>0</v>
      </c>
      <c r="I109" s="997">
        <v>0</v>
      </c>
      <c r="J109" s="997">
        <v>0</v>
      </c>
      <c r="K109" s="314" t="s">
        <v>612</v>
      </c>
      <c r="L109" s="996">
        <v>0</v>
      </c>
      <c r="M109" s="997">
        <v>0</v>
      </c>
      <c r="N109" s="997">
        <v>0</v>
      </c>
      <c r="O109" s="190">
        <v>2</v>
      </c>
    </row>
    <row r="110" spans="1:15" x14ac:dyDescent="0.25">
      <c r="A110" s="183" t="s">
        <v>862</v>
      </c>
      <c r="B110" s="184">
        <v>456</v>
      </c>
      <c r="C110" s="185" t="s">
        <v>863</v>
      </c>
      <c r="D110" s="185" t="s">
        <v>864</v>
      </c>
      <c r="E110" s="996">
        <v>0</v>
      </c>
      <c r="F110" s="277" t="str">
        <f>$N$2</f>
        <v>Other Ratemaking</v>
      </c>
      <c r="G110" s="997">
        <v>0</v>
      </c>
      <c r="H110" s="997">
        <v>0</v>
      </c>
      <c r="I110" s="997">
        <v>0</v>
      </c>
      <c r="J110" s="997">
        <v>0</v>
      </c>
      <c r="K110" s="277"/>
      <c r="L110" s="996">
        <v>0</v>
      </c>
      <c r="M110" s="997">
        <v>0</v>
      </c>
      <c r="N110" s="997">
        <v>0</v>
      </c>
      <c r="O110" s="190">
        <v>6</v>
      </c>
    </row>
    <row r="111" spans="1:15" x14ac:dyDescent="0.25">
      <c r="A111" s="183" t="s">
        <v>865</v>
      </c>
      <c r="B111" s="184">
        <v>456</v>
      </c>
      <c r="C111" s="185" t="s">
        <v>866</v>
      </c>
      <c r="D111" s="185" t="s">
        <v>867</v>
      </c>
      <c r="E111" s="996">
        <v>0</v>
      </c>
      <c r="F111" s="277" t="str">
        <f t="shared" ref="F111:F121" si="7">$G$2</f>
        <v>Traditional OOR</v>
      </c>
      <c r="G111" s="997">
        <v>0</v>
      </c>
      <c r="H111" s="997">
        <v>0</v>
      </c>
      <c r="I111" s="997">
        <v>0</v>
      </c>
      <c r="J111" s="997">
        <v>0</v>
      </c>
      <c r="K111" s="277"/>
      <c r="L111" s="996">
        <v>0</v>
      </c>
      <c r="M111" s="997">
        <v>0</v>
      </c>
      <c r="N111" s="997">
        <v>0</v>
      </c>
      <c r="O111" s="190">
        <v>1</v>
      </c>
    </row>
    <row r="112" spans="1:15" x14ac:dyDescent="0.25">
      <c r="A112" s="183" t="s">
        <v>868</v>
      </c>
      <c r="B112" s="184">
        <v>456</v>
      </c>
      <c r="C112" s="185" t="s">
        <v>869</v>
      </c>
      <c r="D112" s="185" t="s">
        <v>870</v>
      </c>
      <c r="E112" s="996">
        <v>0</v>
      </c>
      <c r="F112" s="277" t="str">
        <f t="shared" si="7"/>
        <v>Traditional OOR</v>
      </c>
      <c r="G112" s="997">
        <v>0</v>
      </c>
      <c r="H112" s="997">
        <v>0</v>
      </c>
      <c r="I112" s="997">
        <v>0</v>
      </c>
      <c r="J112" s="997">
        <v>0</v>
      </c>
      <c r="K112" s="277"/>
      <c r="L112" s="996">
        <v>0</v>
      </c>
      <c r="M112" s="997">
        <v>0</v>
      </c>
      <c r="N112" s="997">
        <v>0</v>
      </c>
      <c r="O112" s="190">
        <v>1</v>
      </c>
    </row>
    <row r="113" spans="1:15" x14ac:dyDescent="0.25">
      <c r="A113" s="183" t="s">
        <v>871</v>
      </c>
      <c r="B113" s="184">
        <v>456</v>
      </c>
      <c r="C113" s="185" t="s">
        <v>872</v>
      </c>
      <c r="D113" s="185" t="s">
        <v>873</v>
      </c>
      <c r="E113" s="996">
        <v>0</v>
      </c>
      <c r="F113" s="277" t="str">
        <f t="shared" si="7"/>
        <v>Traditional OOR</v>
      </c>
      <c r="G113" s="997">
        <v>0</v>
      </c>
      <c r="H113" s="997">
        <v>0</v>
      </c>
      <c r="I113" s="997">
        <v>0</v>
      </c>
      <c r="J113" s="997">
        <v>0</v>
      </c>
      <c r="K113" s="277"/>
      <c r="L113" s="996">
        <v>0</v>
      </c>
      <c r="M113" s="997">
        <v>0</v>
      </c>
      <c r="N113" s="997">
        <v>0</v>
      </c>
      <c r="O113" s="190">
        <v>4</v>
      </c>
    </row>
    <row r="114" spans="1:15" x14ac:dyDescent="0.25">
      <c r="A114" s="183" t="s">
        <v>874</v>
      </c>
      <c r="B114" s="184">
        <v>456</v>
      </c>
      <c r="C114" s="185" t="s">
        <v>875</v>
      </c>
      <c r="D114" s="185" t="s">
        <v>876</v>
      </c>
      <c r="E114" s="996">
        <v>0</v>
      </c>
      <c r="F114" s="277" t="str">
        <f t="shared" si="7"/>
        <v>Traditional OOR</v>
      </c>
      <c r="G114" s="997">
        <v>0</v>
      </c>
      <c r="H114" s="997">
        <v>0</v>
      </c>
      <c r="I114" s="997">
        <v>0</v>
      </c>
      <c r="J114" s="997">
        <v>0</v>
      </c>
      <c r="K114" s="277"/>
      <c r="L114" s="996">
        <v>0</v>
      </c>
      <c r="M114" s="997">
        <v>0</v>
      </c>
      <c r="N114" s="997">
        <v>0</v>
      </c>
      <c r="O114" s="190">
        <v>4</v>
      </c>
    </row>
    <row r="115" spans="1:15" x14ac:dyDescent="0.25">
      <c r="A115" s="183" t="s">
        <v>877</v>
      </c>
      <c r="B115" s="184">
        <v>456</v>
      </c>
      <c r="C115" s="185" t="s">
        <v>878</v>
      </c>
      <c r="D115" s="185" t="s">
        <v>879</v>
      </c>
      <c r="E115" s="996">
        <v>0</v>
      </c>
      <c r="F115" s="277" t="str">
        <f t="shared" si="7"/>
        <v>Traditional OOR</v>
      </c>
      <c r="G115" s="997">
        <v>0</v>
      </c>
      <c r="H115" s="997">
        <v>0</v>
      </c>
      <c r="I115" s="997">
        <v>0</v>
      </c>
      <c r="J115" s="997">
        <v>0</v>
      </c>
      <c r="K115" s="277"/>
      <c r="L115" s="996">
        <v>0</v>
      </c>
      <c r="M115" s="997">
        <v>0</v>
      </c>
      <c r="N115" s="997">
        <v>0</v>
      </c>
      <c r="O115" s="190">
        <v>4</v>
      </c>
    </row>
    <row r="116" spans="1:15" x14ac:dyDescent="0.25">
      <c r="A116" s="183" t="s">
        <v>880</v>
      </c>
      <c r="B116" s="184">
        <v>456</v>
      </c>
      <c r="C116" s="185" t="s">
        <v>881</v>
      </c>
      <c r="D116" s="185" t="s">
        <v>882</v>
      </c>
      <c r="E116" s="996">
        <v>0</v>
      </c>
      <c r="F116" s="277" t="str">
        <f t="shared" si="7"/>
        <v>Traditional OOR</v>
      </c>
      <c r="G116" s="997">
        <v>0</v>
      </c>
      <c r="H116" s="997">
        <v>0</v>
      </c>
      <c r="I116" s="997">
        <v>0</v>
      </c>
      <c r="J116" s="997">
        <v>0</v>
      </c>
      <c r="K116" s="277"/>
      <c r="L116" s="996">
        <v>0</v>
      </c>
      <c r="M116" s="997">
        <v>0</v>
      </c>
      <c r="N116" s="997">
        <v>0</v>
      </c>
      <c r="O116" s="190">
        <v>1</v>
      </c>
    </row>
    <row r="117" spans="1:15" x14ac:dyDescent="0.25">
      <c r="A117" s="183" t="s">
        <v>883</v>
      </c>
      <c r="B117" s="184">
        <v>456</v>
      </c>
      <c r="C117" s="185" t="s">
        <v>884</v>
      </c>
      <c r="D117" s="185" t="s">
        <v>885</v>
      </c>
      <c r="E117" s="996">
        <v>0</v>
      </c>
      <c r="F117" s="277" t="str">
        <f t="shared" si="7"/>
        <v>Traditional OOR</v>
      </c>
      <c r="G117" s="997">
        <v>0</v>
      </c>
      <c r="H117" s="997">
        <v>0</v>
      </c>
      <c r="I117" s="997">
        <v>0</v>
      </c>
      <c r="J117" s="997">
        <v>0</v>
      </c>
      <c r="K117" s="277"/>
      <c r="L117" s="996">
        <v>0</v>
      </c>
      <c r="M117" s="997">
        <v>0</v>
      </c>
      <c r="N117" s="997">
        <v>0</v>
      </c>
      <c r="O117" s="190">
        <v>4</v>
      </c>
    </row>
    <row r="118" spans="1:15" x14ac:dyDescent="0.25">
      <c r="A118" s="183" t="s">
        <v>886</v>
      </c>
      <c r="B118" s="184">
        <v>456</v>
      </c>
      <c r="C118" s="185" t="s">
        <v>887</v>
      </c>
      <c r="D118" s="185" t="s">
        <v>888</v>
      </c>
      <c r="E118" s="996">
        <v>0</v>
      </c>
      <c r="F118" s="277" t="str">
        <f t="shared" si="7"/>
        <v>Traditional OOR</v>
      </c>
      <c r="G118" s="997">
        <v>0</v>
      </c>
      <c r="H118" s="996">
        <v>0</v>
      </c>
      <c r="I118" s="997">
        <v>0</v>
      </c>
      <c r="J118" s="997">
        <v>0</v>
      </c>
      <c r="K118" s="277"/>
      <c r="L118" s="996">
        <v>0</v>
      </c>
      <c r="M118" s="997">
        <v>0</v>
      </c>
      <c r="N118" s="997">
        <v>0</v>
      </c>
      <c r="O118" s="186">
        <v>8</v>
      </c>
    </row>
    <row r="119" spans="1:15" x14ac:dyDescent="0.25">
      <c r="A119" s="183" t="s">
        <v>889</v>
      </c>
      <c r="B119" s="184">
        <v>456</v>
      </c>
      <c r="C119" s="185" t="s">
        <v>890</v>
      </c>
      <c r="D119" s="185" t="s">
        <v>891</v>
      </c>
      <c r="E119" s="996">
        <v>0</v>
      </c>
      <c r="F119" s="277" t="str">
        <f t="shared" si="7"/>
        <v>Traditional OOR</v>
      </c>
      <c r="G119" s="997">
        <v>0</v>
      </c>
      <c r="H119" s="997">
        <v>0</v>
      </c>
      <c r="I119" s="997">
        <v>0</v>
      </c>
      <c r="J119" s="997">
        <v>0</v>
      </c>
      <c r="K119" s="277"/>
      <c r="L119" s="996">
        <v>0</v>
      </c>
      <c r="M119" s="997">
        <v>0</v>
      </c>
      <c r="N119" s="997">
        <v>0</v>
      </c>
      <c r="O119" s="190">
        <v>4</v>
      </c>
    </row>
    <row r="120" spans="1:15" x14ac:dyDescent="0.25">
      <c r="A120" s="183" t="s">
        <v>892</v>
      </c>
      <c r="B120" s="184">
        <v>456</v>
      </c>
      <c r="C120" s="185" t="s">
        <v>893</v>
      </c>
      <c r="D120" s="185" t="s">
        <v>894</v>
      </c>
      <c r="E120" s="996">
        <v>0</v>
      </c>
      <c r="F120" s="277" t="str">
        <f t="shared" si="7"/>
        <v>Traditional OOR</v>
      </c>
      <c r="G120" s="997">
        <v>0</v>
      </c>
      <c r="H120" s="997">
        <v>0</v>
      </c>
      <c r="I120" s="997">
        <v>0</v>
      </c>
      <c r="J120" s="997">
        <v>0</v>
      </c>
      <c r="K120" s="277"/>
      <c r="L120" s="996">
        <v>0</v>
      </c>
      <c r="M120" s="997">
        <v>0</v>
      </c>
      <c r="N120" s="997">
        <v>0</v>
      </c>
      <c r="O120" s="190">
        <v>4</v>
      </c>
    </row>
    <row r="121" spans="1:15" x14ac:dyDescent="0.25">
      <c r="A121" s="183" t="s">
        <v>895</v>
      </c>
      <c r="B121" s="184">
        <v>456</v>
      </c>
      <c r="C121" s="185" t="s">
        <v>896</v>
      </c>
      <c r="D121" s="185" t="s">
        <v>897</v>
      </c>
      <c r="E121" s="996">
        <v>0</v>
      </c>
      <c r="F121" s="277" t="str">
        <f t="shared" si="7"/>
        <v>Traditional OOR</v>
      </c>
      <c r="G121" s="997">
        <v>0</v>
      </c>
      <c r="H121" s="997">
        <v>0</v>
      </c>
      <c r="I121" s="997">
        <v>0</v>
      </c>
      <c r="J121" s="997">
        <v>0</v>
      </c>
      <c r="K121" s="277"/>
      <c r="L121" s="996">
        <v>0</v>
      </c>
      <c r="M121" s="997">
        <v>0</v>
      </c>
      <c r="N121" s="997">
        <v>0</v>
      </c>
      <c r="O121" s="190">
        <v>6</v>
      </c>
    </row>
    <row r="122" spans="1:15" x14ac:dyDescent="0.25">
      <c r="A122" s="959" t="s">
        <v>1940</v>
      </c>
      <c r="B122" s="184">
        <v>456</v>
      </c>
      <c r="C122" s="185" t="s">
        <v>898</v>
      </c>
      <c r="D122" s="958" t="s">
        <v>1959</v>
      </c>
      <c r="E122" s="996">
        <v>0</v>
      </c>
      <c r="F122" s="277" t="str">
        <f>$J$2</f>
        <v>GRSM</v>
      </c>
      <c r="G122" s="997">
        <v>0</v>
      </c>
      <c r="H122" s="997">
        <v>0</v>
      </c>
      <c r="I122" s="997">
        <v>0</v>
      </c>
      <c r="J122" s="997">
        <v>0</v>
      </c>
      <c r="K122" s="314" t="s">
        <v>670</v>
      </c>
      <c r="L122" s="996">
        <v>0</v>
      </c>
      <c r="M122" s="997">
        <v>0</v>
      </c>
      <c r="N122" s="997">
        <v>0</v>
      </c>
      <c r="O122" s="190">
        <v>2</v>
      </c>
    </row>
    <row r="123" spans="1:15" x14ac:dyDescent="0.25">
      <c r="A123" s="959" t="s">
        <v>1941</v>
      </c>
      <c r="B123" s="184">
        <v>456</v>
      </c>
      <c r="C123" s="183" t="s">
        <v>1562</v>
      </c>
      <c r="D123" s="185" t="s">
        <v>1561</v>
      </c>
      <c r="E123" s="996">
        <v>0</v>
      </c>
      <c r="F123" s="277" t="str">
        <f>$G$2</f>
        <v>Traditional OOR</v>
      </c>
      <c r="G123" s="997">
        <v>0</v>
      </c>
      <c r="H123" s="997">
        <v>0</v>
      </c>
      <c r="I123" s="997">
        <v>0</v>
      </c>
      <c r="J123" s="997">
        <v>0</v>
      </c>
      <c r="K123" s="277"/>
      <c r="L123" s="996">
        <v>0</v>
      </c>
      <c r="M123" s="997">
        <v>0</v>
      </c>
      <c r="N123" s="997">
        <v>0</v>
      </c>
      <c r="O123" s="190">
        <v>1</v>
      </c>
    </row>
    <row r="124" spans="1:15" x14ac:dyDescent="0.25">
      <c r="A124" s="959" t="s">
        <v>2567</v>
      </c>
      <c r="B124" s="184">
        <v>456</v>
      </c>
      <c r="C124" s="184">
        <v>4186911</v>
      </c>
      <c r="D124" s="201" t="s">
        <v>2565</v>
      </c>
      <c r="E124" s="996">
        <v>0</v>
      </c>
      <c r="F124" s="277" t="s">
        <v>628</v>
      </c>
      <c r="G124" s="997">
        <v>0</v>
      </c>
      <c r="H124" s="997">
        <v>0</v>
      </c>
      <c r="I124" s="997">
        <v>0</v>
      </c>
      <c r="J124" s="997">
        <v>0</v>
      </c>
      <c r="K124" s="277"/>
      <c r="L124" s="996">
        <v>0</v>
      </c>
      <c r="M124" s="997">
        <v>0</v>
      </c>
      <c r="N124" s="997">
        <v>0</v>
      </c>
      <c r="O124" s="186">
        <v>6</v>
      </c>
    </row>
    <row r="125" spans="1:15" x14ac:dyDescent="0.25">
      <c r="A125" s="959" t="s">
        <v>2568</v>
      </c>
      <c r="B125" s="184">
        <v>456</v>
      </c>
      <c r="C125" s="184">
        <v>4186925</v>
      </c>
      <c r="D125" s="201" t="s">
        <v>2566</v>
      </c>
      <c r="E125" s="996">
        <v>0</v>
      </c>
      <c r="F125" s="277" t="s">
        <v>628</v>
      </c>
      <c r="G125" s="997">
        <v>0</v>
      </c>
      <c r="H125" s="997">
        <v>0</v>
      </c>
      <c r="I125" s="997">
        <v>0</v>
      </c>
      <c r="J125" s="997">
        <v>0</v>
      </c>
      <c r="K125" s="277"/>
      <c r="L125" s="996">
        <v>0</v>
      </c>
      <c r="M125" s="997">
        <v>0</v>
      </c>
      <c r="N125" s="997">
        <v>0</v>
      </c>
      <c r="O125" s="186">
        <v>6</v>
      </c>
    </row>
    <row r="126" spans="1:15" x14ac:dyDescent="0.25">
      <c r="A126" s="309"/>
      <c r="B126" s="305"/>
      <c r="C126" s="304"/>
      <c r="D126" s="306"/>
      <c r="E126" s="281"/>
      <c r="F126" s="281"/>
      <c r="G126" s="285"/>
      <c r="H126" s="283"/>
      <c r="I126" s="283"/>
      <c r="J126" s="281"/>
      <c r="K126" s="281"/>
      <c r="L126" s="283"/>
      <c r="M126" s="283"/>
      <c r="N126" s="281"/>
      <c r="O126" s="282"/>
    </row>
    <row r="127" spans="1:15" x14ac:dyDescent="0.25">
      <c r="A127" s="309"/>
      <c r="B127" s="305"/>
      <c r="C127" s="304"/>
      <c r="D127" s="306"/>
      <c r="E127" s="281"/>
      <c r="F127" s="281"/>
      <c r="G127" s="285"/>
      <c r="H127" s="283"/>
      <c r="I127" s="283"/>
      <c r="J127" s="281"/>
      <c r="K127" s="281"/>
      <c r="L127" s="283"/>
      <c r="M127" s="283"/>
      <c r="N127" s="281"/>
      <c r="O127" s="282"/>
    </row>
    <row r="128" spans="1:15" x14ac:dyDescent="0.25">
      <c r="A128" s="188">
        <v>13</v>
      </c>
      <c r="B128" s="1127" t="s">
        <v>899</v>
      </c>
      <c r="C128" s="1128"/>
      <c r="D128" s="1129"/>
      <c r="E128" s="997">
        <v>0</v>
      </c>
      <c r="F128" s="298"/>
      <c r="G128" s="997">
        <v>0</v>
      </c>
      <c r="H128" s="997">
        <v>0</v>
      </c>
      <c r="I128" s="997">
        <v>0</v>
      </c>
      <c r="J128" s="997">
        <v>0</v>
      </c>
      <c r="K128" s="298"/>
      <c r="L128" s="997">
        <v>0</v>
      </c>
      <c r="M128" s="997">
        <v>0</v>
      </c>
      <c r="N128" s="997">
        <v>0</v>
      </c>
      <c r="O128" s="176"/>
    </row>
    <row r="129" spans="1:15" ht="25.5" customHeight="1" x14ac:dyDescent="0.25">
      <c r="A129" s="188">
        <v>14</v>
      </c>
      <c r="B129" s="1149" t="s">
        <v>1375</v>
      </c>
      <c r="C129" s="1150"/>
      <c r="D129" s="1151"/>
      <c r="E129" s="996">
        <v>0</v>
      </c>
      <c r="F129" s="289"/>
      <c r="G129" s="303"/>
      <c r="H129" s="289"/>
      <c r="I129" s="289"/>
      <c r="J129" s="303"/>
      <c r="K129" s="289"/>
      <c r="L129" s="276"/>
      <c r="M129" s="276"/>
      <c r="N129" s="276"/>
      <c r="O129" s="175"/>
    </row>
    <row r="130" spans="1:15" x14ac:dyDescent="0.25">
      <c r="A130" s="191"/>
      <c r="B130" s="192"/>
      <c r="C130" s="193"/>
      <c r="D130" s="194"/>
      <c r="E130" s="276"/>
      <c r="F130" s="276"/>
      <c r="G130" s="276"/>
      <c r="H130" s="289"/>
      <c r="I130" s="289"/>
      <c r="J130" s="276"/>
      <c r="K130" s="289"/>
      <c r="L130" s="276"/>
      <c r="M130" s="276"/>
      <c r="N130" s="276"/>
      <c r="O130" s="175"/>
    </row>
    <row r="131" spans="1:15" x14ac:dyDescent="0.25">
      <c r="A131" s="188" t="s">
        <v>900</v>
      </c>
      <c r="B131" s="184">
        <v>456.1</v>
      </c>
      <c r="C131" s="189" t="s">
        <v>901</v>
      </c>
      <c r="D131" s="185" t="s">
        <v>902</v>
      </c>
      <c r="E131" s="996">
        <v>0</v>
      </c>
      <c r="F131" s="277" t="str">
        <f>$G$2</f>
        <v>Traditional OOR</v>
      </c>
      <c r="G131" s="997">
        <v>0</v>
      </c>
      <c r="H131" s="997">
        <v>0</v>
      </c>
      <c r="I131" s="997">
        <v>0</v>
      </c>
      <c r="J131" s="997">
        <v>0</v>
      </c>
      <c r="K131" s="314"/>
      <c r="L131" s="996">
        <v>0</v>
      </c>
      <c r="M131" s="997">
        <v>0</v>
      </c>
      <c r="N131" s="997">
        <v>0</v>
      </c>
      <c r="O131" s="190">
        <v>5</v>
      </c>
    </row>
    <row r="132" spans="1:15" x14ac:dyDescent="0.25">
      <c r="A132" s="188" t="s">
        <v>903</v>
      </c>
      <c r="B132" s="184">
        <v>456.1</v>
      </c>
      <c r="C132" s="189" t="s">
        <v>904</v>
      </c>
      <c r="D132" s="185" t="s">
        <v>905</v>
      </c>
      <c r="E132" s="996">
        <v>0</v>
      </c>
      <c r="F132" s="277" t="str">
        <f>$G$2</f>
        <v>Traditional OOR</v>
      </c>
      <c r="G132" s="997">
        <v>0</v>
      </c>
      <c r="H132" s="997">
        <v>0</v>
      </c>
      <c r="I132" s="997">
        <v>0</v>
      </c>
      <c r="J132" s="997">
        <v>0</v>
      </c>
      <c r="K132" s="314"/>
      <c r="L132" s="996">
        <v>0</v>
      </c>
      <c r="M132" s="997">
        <v>0</v>
      </c>
      <c r="N132" s="997">
        <v>0</v>
      </c>
      <c r="O132" s="190">
        <v>4</v>
      </c>
    </row>
    <row r="133" spans="1:15" x14ac:dyDescent="0.25">
      <c r="A133" s="188" t="s">
        <v>906</v>
      </c>
      <c r="B133" s="184">
        <v>456.1</v>
      </c>
      <c r="C133" s="189" t="s">
        <v>907</v>
      </c>
      <c r="D133" s="185" t="s">
        <v>908</v>
      </c>
      <c r="E133" s="996">
        <v>0</v>
      </c>
      <c r="F133" s="277" t="str">
        <f>$G$2</f>
        <v>Traditional OOR</v>
      </c>
      <c r="G133" s="997">
        <v>0</v>
      </c>
      <c r="H133" s="997">
        <v>0</v>
      </c>
      <c r="I133" s="997">
        <v>0</v>
      </c>
      <c r="J133" s="997">
        <v>0</v>
      </c>
      <c r="K133" s="314"/>
      <c r="L133" s="996">
        <v>0</v>
      </c>
      <c r="M133" s="997">
        <v>0</v>
      </c>
      <c r="N133" s="997">
        <v>0</v>
      </c>
      <c r="O133" s="190">
        <v>4</v>
      </c>
    </row>
    <row r="134" spans="1:15" x14ac:dyDescent="0.25">
      <c r="A134" s="188" t="s">
        <v>909</v>
      </c>
      <c r="B134" s="184">
        <v>456.1</v>
      </c>
      <c r="C134" s="189" t="s">
        <v>910</v>
      </c>
      <c r="D134" s="185" t="s">
        <v>911</v>
      </c>
      <c r="E134" s="996">
        <v>0</v>
      </c>
      <c r="F134" s="277" t="str">
        <f>$N$2</f>
        <v>Other Ratemaking</v>
      </c>
      <c r="G134" s="997">
        <v>0</v>
      </c>
      <c r="H134" s="997">
        <v>0</v>
      </c>
      <c r="I134" s="997">
        <v>0</v>
      </c>
      <c r="J134" s="997">
        <v>0</v>
      </c>
      <c r="K134" s="314"/>
      <c r="L134" s="996">
        <v>0</v>
      </c>
      <c r="M134" s="997">
        <v>0</v>
      </c>
      <c r="N134" s="997">
        <v>0</v>
      </c>
      <c r="O134" s="190">
        <v>6</v>
      </c>
    </row>
    <row r="135" spans="1:15" x14ac:dyDescent="0.25">
      <c r="A135" s="188" t="s">
        <v>912</v>
      </c>
      <c r="B135" s="184">
        <v>456.1</v>
      </c>
      <c r="C135" s="189" t="s">
        <v>913</v>
      </c>
      <c r="D135" s="185" t="s">
        <v>914</v>
      </c>
      <c r="E135" s="996">
        <v>0</v>
      </c>
      <c r="F135" s="277" t="str">
        <f>$N$2</f>
        <v>Other Ratemaking</v>
      </c>
      <c r="G135" s="997">
        <v>0</v>
      </c>
      <c r="H135" s="997">
        <v>0</v>
      </c>
      <c r="I135" s="997">
        <v>0</v>
      </c>
      <c r="J135" s="997">
        <v>0</v>
      </c>
      <c r="K135" s="314"/>
      <c r="L135" s="996">
        <v>0</v>
      </c>
      <c r="M135" s="997">
        <v>0</v>
      </c>
      <c r="N135" s="997">
        <v>0</v>
      </c>
      <c r="O135" s="190">
        <v>6</v>
      </c>
    </row>
    <row r="136" spans="1:15" x14ac:dyDescent="0.25">
      <c r="A136" s="188" t="s">
        <v>915</v>
      </c>
      <c r="B136" s="184">
        <v>456.1</v>
      </c>
      <c r="C136" s="189" t="s">
        <v>916</v>
      </c>
      <c r="D136" s="185" t="s">
        <v>917</v>
      </c>
      <c r="E136" s="996">
        <v>0</v>
      </c>
      <c r="F136" s="277" t="str">
        <f>$N$2</f>
        <v>Other Ratemaking</v>
      </c>
      <c r="G136" s="997">
        <v>0</v>
      </c>
      <c r="H136" s="997">
        <v>0</v>
      </c>
      <c r="I136" s="997">
        <v>0</v>
      </c>
      <c r="J136" s="997">
        <v>0</v>
      </c>
      <c r="K136" s="314"/>
      <c r="L136" s="996">
        <v>0</v>
      </c>
      <c r="M136" s="997">
        <v>0</v>
      </c>
      <c r="N136" s="997">
        <v>0</v>
      </c>
      <c r="O136" s="190">
        <v>6</v>
      </c>
    </row>
    <row r="137" spans="1:15" x14ac:dyDescent="0.25">
      <c r="A137" s="188" t="s">
        <v>918</v>
      </c>
      <c r="B137" s="184">
        <v>456.1</v>
      </c>
      <c r="C137" s="189" t="s">
        <v>919</v>
      </c>
      <c r="D137" s="185" t="s">
        <v>920</v>
      </c>
      <c r="E137" s="996">
        <v>0</v>
      </c>
      <c r="F137" s="277" t="str">
        <f>$G$2</f>
        <v>Traditional OOR</v>
      </c>
      <c r="G137" s="997">
        <v>0</v>
      </c>
      <c r="H137" s="997">
        <v>0</v>
      </c>
      <c r="I137" s="997">
        <v>0</v>
      </c>
      <c r="J137" s="997">
        <v>0</v>
      </c>
      <c r="K137" s="314"/>
      <c r="L137" s="996">
        <v>0</v>
      </c>
      <c r="M137" s="997">
        <v>0</v>
      </c>
      <c r="N137" s="997">
        <v>0</v>
      </c>
      <c r="O137" s="190">
        <v>5</v>
      </c>
    </row>
    <row r="138" spans="1:15" x14ac:dyDescent="0.25">
      <c r="A138" s="188" t="s">
        <v>921</v>
      </c>
      <c r="B138" s="184">
        <v>456.1</v>
      </c>
      <c r="C138" s="189" t="s">
        <v>922</v>
      </c>
      <c r="D138" s="185" t="s">
        <v>923</v>
      </c>
      <c r="E138" s="996">
        <v>0</v>
      </c>
      <c r="F138" s="277" t="str">
        <f>$G$2</f>
        <v>Traditional OOR</v>
      </c>
      <c r="G138" s="997">
        <v>0</v>
      </c>
      <c r="H138" s="997">
        <v>0</v>
      </c>
      <c r="I138" s="997">
        <v>0</v>
      </c>
      <c r="J138" s="997">
        <v>0</v>
      </c>
      <c r="K138" s="314"/>
      <c r="L138" s="996">
        <v>0</v>
      </c>
      <c r="M138" s="997">
        <v>0</v>
      </c>
      <c r="N138" s="997">
        <v>0</v>
      </c>
      <c r="O138" s="190">
        <v>4</v>
      </c>
    </row>
    <row r="139" spans="1:15" x14ac:dyDescent="0.25">
      <c r="A139" s="188" t="s">
        <v>924</v>
      </c>
      <c r="B139" s="184">
        <v>456.1</v>
      </c>
      <c r="C139" s="189" t="s">
        <v>925</v>
      </c>
      <c r="D139" s="185" t="s">
        <v>926</v>
      </c>
      <c r="E139" s="996">
        <v>0</v>
      </c>
      <c r="F139" s="277" t="str">
        <f>$G$2</f>
        <v>Traditional OOR</v>
      </c>
      <c r="G139" s="997">
        <v>0</v>
      </c>
      <c r="H139" s="997">
        <v>0</v>
      </c>
      <c r="I139" s="997">
        <v>0</v>
      </c>
      <c r="J139" s="997">
        <v>0</v>
      </c>
      <c r="K139" s="314"/>
      <c r="L139" s="996">
        <v>0</v>
      </c>
      <c r="M139" s="997">
        <v>0</v>
      </c>
      <c r="N139" s="997">
        <v>0</v>
      </c>
      <c r="O139" s="190">
        <v>4</v>
      </c>
    </row>
    <row r="140" spans="1:15" x14ac:dyDescent="0.25">
      <c r="A140" s="188" t="s">
        <v>927</v>
      </c>
      <c r="B140" s="184">
        <v>456.1</v>
      </c>
      <c r="C140" s="189" t="s">
        <v>928</v>
      </c>
      <c r="D140" s="185" t="s">
        <v>929</v>
      </c>
      <c r="E140" s="996">
        <v>0</v>
      </c>
      <c r="F140" s="277" t="str">
        <f>$N$2</f>
        <v>Other Ratemaking</v>
      </c>
      <c r="G140" s="997">
        <v>0</v>
      </c>
      <c r="H140" s="997">
        <v>0</v>
      </c>
      <c r="I140" s="997">
        <v>0</v>
      </c>
      <c r="J140" s="997">
        <v>0</v>
      </c>
      <c r="K140" s="314"/>
      <c r="L140" s="996">
        <v>0</v>
      </c>
      <c r="M140" s="997">
        <v>0</v>
      </c>
      <c r="N140" s="997">
        <v>0</v>
      </c>
      <c r="O140" s="190">
        <v>6</v>
      </c>
    </row>
    <row r="141" spans="1:15" x14ac:dyDescent="0.25">
      <c r="A141" s="188" t="s">
        <v>930</v>
      </c>
      <c r="B141" s="184">
        <v>456.1</v>
      </c>
      <c r="C141" s="189" t="s">
        <v>931</v>
      </c>
      <c r="D141" s="185" t="s">
        <v>932</v>
      </c>
      <c r="E141" s="996">
        <v>0</v>
      </c>
      <c r="F141" s="277" t="str">
        <f t="shared" ref="F141:F148" si="8">$G$2</f>
        <v>Traditional OOR</v>
      </c>
      <c r="G141" s="997">
        <v>0</v>
      </c>
      <c r="H141" s="997">
        <v>0</v>
      </c>
      <c r="I141" s="997">
        <v>0</v>
      </c>
      <c r="J141" s="997">
        <v>0</v>
      </c>
      <c r="K141" s="314"/>
      <c r="L141" s="996">
        <v>0</v>
      </c>
      <c r="M141" s="997">
        <v>0</v>
      </c>
      <c r="N141" s="997">
        <v>0</v>
      </c>
      <c r="O141" s="190">
        <v>4</v>
      </c>
    </row>
    <row r="142" spans="1:15" x14ac:dyDescent="0.25">
      <c r="A142" s="188" t="s">
        <v>933</v>
      </c>
      <c r="B142" s="184">
        <v>456.1</v>
      </c>
      <c r="C142" s="189" t="s">
        <v>934</v>
      </c>
      <c r="D142" s="185" t="s">
        <v>935</v>
      </c>
      <c r="E142" s="996">
        <v>0</v>
      </c>
      <c r="F142" s="277" t="str">
        <f t="shared" si="8"/>
        <v>Traditional OOR</v>
      </c>
      <c r="G142" s="997">
        <v>0</v>
      </c>
      <c r="H142" s="997">
        <v>0</v>
      </c>
      <c r="I142" s="997">
        <v>0</v>
      </c>
      <c r="J142" s="997">
        <v>0</v>
      </c>
      <c r="K142" s="314"/>
      <c r="L142" s="996">
        <v>0</v>
      </c>
      <c r="M142" s="997">
        <v>0</v>
      </c>
      <c r="N142" s="997">
        <v>0</v>
      </c>
      <c r="O142" s="190">
        <v>4</v>
      </c>
    </row>
    <row r="143" spans="1:15" x14ac:dyDescent="0.25">
      <c r="A143" s="188" t="s">
        <v>936</v>
      </c>
      <c r="B143" s="184">
        <v>456.1</v>
      </c>
      <c r="C143" s="189" t="s">
        <v>937</v>
      </c>
      <c r="D143" s="185" t="s">
        <v>938</v>
      </c>
      <c r="E143" s="996">
        <v>0</v>
      </c>
      <c r="F143" s="277" t="str">
        <f t="shared" si="8"/>
        <v>Traditional OOR</v>
      </c>
      <c r="G143" s="997">
        <v>0</v>
      </c>
      <c r="H143" s="997">
        <v>0</v>
      </c>
      <c r="I143" s="997">
        <v>0</v>
      </c>
      <c r="J143" s="997">
        <v>0</v>
      </c>
      <c r="K143" s="314"/>
      <c r="L143" s="996">
        <v>0</v>
      </c>
      <c r="M143" s="997">
        <v>0</v>
      </c>
      <c r="N143" s="997">
        <v>0</v>
      </c>
      <c r="O143" s="190">
        <v>4</v>
      </c>
    </row>
    <row r="144" spans="1:15" x14ac:dyDescent="0.25">
      <c r="A144" s="188" t="s">
        <v>939</v>
      </c>
      <c r="B144" s="184">
        <v>456.1</v>
      </c>
      <c r="C144" s="189" t="s">
        <v>940</v>
      </c>
      <c r="D144" s="185" t="s">
        <v>941</v>
      </c>
      <c r="E144" s="996">
        <v>0</v>
      </c>
      <c r="F144" s="277" t="str">
        <f t="shared" si="8"/>
        <v>Traditional OOR</v>
      </c>
      <c r="G144" s="997">
        <v>0</v>
      </c>
      <c r="H144" s="997">
        <v>0</v>
      </c>
      <c r="I144" s="997">
        <v>0</v>
      </c>
      <c r="J144" s="997">
        <v>0</v>
      </c>
      <c r="K144" s="314"/>
      <c r="L144" s="996">
        <v>0</v>
      </c>
      <c r="M144" s="997">
        <v>0</v>
      </c>
      <c r="N144" s="997">
        <v>0</v>
      </c>
      <c r="O144" s="190">
        <v>4</v>
      </c>
    </row>
    <row r="145" spans="1:15" x14ac:dyDescent="0.25">
      <c r="A145" s="188" t="s">
        <v>942</v>
      </c>
      <c r="B145" s="184">
        <v>456.1</v>
      </c>
      <c r="C145" s="189" t="s">
        <v>943</v>
      </c>
      <c r="D145" s="185" t="s">
        <v>944</v>
      </c>
      <c r="E145" s="996">
        <v>0</v>
      </c>
      <c r="F145" s="277" t="str">
        <f t="shared" si="8"/>
        <v>Traditional OOR</v>
      </c>
      <c r="G145" s="997">
        <v>0</v>
      </c>
      <c r="H145" s="997">
        <v>0</v>
      </c>
      <c r="I145" s="997">
        <v>0</v>
      </c>
      <c r="J145" s="997">
        <v>0</v>
      </c>
      <c r="K145" s="314"/>
      <c r="L145" s="996">
        <v>0</v>
      </c>
      <c r="M145" s="997">
        <v>0</v>
      </c>
      <c r="N145" s="997">
        <v>0</v>
      </c>
      <c r="O145" s="190">
        <v>4</v>
      </c>
    </row>
    <row r="146" spans="1:15" x14ac:dyDescent="0.25">
      <c r="A146" s="188" t="s">
        <v>945</v>
      </c>
      <c r="B146" s="184">
        <v>456.1</v>
      </c>
      <c r="C146" s="189" t="s">
        <v>946</v>
      </c>
      <c r="D146" s="185" t="s">
        <v>947</v>
      </c>
      <c r="E146" s="996">
        <v>0</v>
      </c>
      <c r="F146" s="277" t="str">
        <f t="shared" si="8"/>
        <v>Traditional OOR</v>
      </c>
      <c r="G146" s="997">
        <v>0</v>
      </c>
      <c r="H146" s="997">
        <v>0</v>
      </c>
      <c r="I146" s="997">
        <v>0</v>
      </c>
      <c r="J146" s="997">
        <v>0</v>
      </c>
      <c r="K146" s="314"/>
      <c r="L146" s="996">
        <v>0</v>
      </c>
      <c r="M146" s="997">
        <v>0</v>
      </c>
      <c r="N146" s="997">
        <v>0</v>
      </c>
      <c r="O146" s="190">
        <v>4</v>
      </c>
    </row>
    <row r="147" spans="1:15" x14ac:dyDescent="0.25">
      <c r="A147" s="188" t="s">
        <v>948</v>
      </c>
      <c r="B147" s="184">
        <v>456.1</v>
      </c>
      <c r="C147" s="189" t="s">
        <v>949</v>
      </c>
      <c r="D147" s="185" t="s">
        <v>950</v>
      </c>
      <c r="E147" s="996">
        <v>0</v>
      </c>
      <c r="F147" s="277" t="str">
        <f t="shared" si="8"/>
        <v>Traditional OOR</v>
      </c>
      <c r="G147" s="997">
        <v>0</v>
      </c>
      <c r="H147" s="997">
        <v>0</v>
      </c>
      <c r="I147" s="997">
        <v>0</v>
      </c>
      <c r="J147" s="997">
        <v>0</v>
      </c>
      <c r="K147" s="277"/>
      <c r="L147" s="996">
        <v>0</v>
      </c>
      <c r="M147" s="997">
        <v>0</v>
      </c>
      <c r="N147" s="997">
        <v>0</v>
      </c>
      <c r="O147" s="190">
        <v>4</v>
      </c>
    </row>
    <row r="148" spans="1:15" x14ac:dyDescent="0.25">
      <c r="A148" s="188" t="s">
        <v>951</v>
      </c>
      <c r="B148" s="184">
        <v>456.1</v>
      </c>
      <c r="C148" s="189" t="s">
        <v>952</v>
      </c>
      <c r="D148" s="185" t="s">
        <v>953</v>
      </c>
      <c r="E148" s="996">
        <v>0</v>
      </c>
      <c r="F148" s="277" t="str">
        <f t="shared" si="8"/>
        <v>Traditional OOR</v>
      </c>
      <c r="G148" s="997">
        <v>0</v>
      </c>
      <c r="H148" s="997">
        <v>0</v>
      </c>
      <c r="I148" s="997">
        <v>0</v>
      </c>
      <c r="J148" s="997">
        <v>0</v>
      </c>
      <c r="K148" s="314"/>
      <c r="L148" s="996">
        <v>0</v>
      </c>
      <c r="M148" s="997">
        <v>0</v>
      </c>
      <c r="N148" s="997">
        <v>0</v>
      </c>
      <c r="O148" s="190">
        <v>4</v>
      </c>
    </row>
    <row r="149" spans="1:15" x14ac:dyDescent="0.25">
      <c r="A149" s="188" t="s">
        <v>954</v>
      </c>
      <c r="B149" s="184">
        <v>456.1</v>
      </c>
      <c r="C149" s="189" t="s">
        <v>955</v>
      </c>
      <c r="D149" s="185" t="s">
        <v>956</v>
      </c>
      <c r="E149" s="996">
        <v>0</v>
      </c>
      <c r="F149" s="277" t="str">
        <f>$N$2</f>
        <v>Other Ratemaking</v>
      </c>
      <c r="G149" s="997">
        <v>0</v>
      </c>
      <c r="H149" s="997">
        <v>0</v>
      </c>
      <c r="I149" s="997">
        <v>0</v>
      </c>
      <c r="J149" s="997">
        <v>0</v>
      </c>
      <c r="K149" s="314"/>
      <c r="L149" s="996">
        <v>0</v>
      </c>
      <c r="M149" s="997">
        <v>0</v>
      </c>
      <c r="N149" s="997">
        <v>0</v>
      </c>
      <c r="O149" s="190">
        <v>6</v>
      </c>
    </row>
    <row r="150" spans="1:15" x14ac:dyDescent="0.25">
      <c r="A150" s="309"/>
      <c r="B150" s="305"/>
      <c r="C150" s="304"/>
      <c r="D150" s="306"/>
      <c r="E150" s="284"/>
      <c r="F150" s="284"/>
      <c r="G150" s="285"/>
      <c r="H150" s="283"/>
      <c r="I150" s="283"/>
      <c r="J150" s="281"/>
      <c r="K150" s="284"/>
      <c r="L150" s="283"/>
      <c r="M150" s="283"/>
      <c r="N150" s="281"/>
      <c r="O150" s="282"/>
    </row>
    <row r="151" spans="1:15" x14ac:dyDescent="0.25">
      <c r="A151" s="309"/>
      <c r="B151" s="305"/>
      <c r="C151" s="304"/>
      <c r="D151" s="306"/>
      <c r="E151" s="284"/>
      <c r="F151" s="284"/>
      <c r="G151" s="285"/>
      <c r="H151" s="283"/>
      <c r="I151" s="283"/>
      <c r="J151" s="281"/>
      <c r="K151" s="284"/>
      <c r="L151" s="283"/>
      <c r="M151" s="283"/>
      <c r="N151" s="281"/>
      <c r="O151" s="282"/>
    </row>
    <row r="152" spans="1:15" x14ac:dyDescent="0.25">
      <c r="A152" s="188">
        <v>16</v>
      </c>
      <c r="B152" s="1127" t="s">
        <v>957</v>
      </c>
      <c r="C152" s="1128"/>
      <c r="D152" s="1129"/>
      <c r="E152" s="997">
        <v>0</v>
      </c>
      <c r="F152" s="298"/>
      <c r="G152" s="997">
        <v>0</v>
      </c>
      <c r="H152" s="997">
        <v>0</v>
      </c>
      <c r="I152" s="997">
        <v>0</v>
      </c>
      <c r="J152" s="997">
        <v>0</v>
      </c>
      <c r="K152" s="298"/>
      <c r="L152" s="997">
        <v>0</v>
      </c>
      <c r="M152" s="997">
        <v>0</v>
      </c>
      <c r="N152" s="997">
        <v>0</v>
      </c>
      <c r="O152" s="176"/>
    </row>
    <row r="153" spans="1:15" ht="25.5" customHeight="1" x14ac:dyDescent="0.25">
      <c r="A153" s="188">
        <v>17</v>
      </c>
      <c r="B153" s="1149" t="s">
        <v>1370</v>
      </c>
      <c r="C153" s="1150"/>
      <c r="D153" s="1151"/>
      <c r="E153" s="996">
        <v>0</v>
      </c>
      <c r="F153" s="289"/>
      <c r="G153" s="300"/>
      <c r="H153" s="290"/>
      <c r="I153" s="290"/>
      <c r="J153" s="274"/>
      <c r="K153" s="290"/>
      <c r="L153" s="274"/>
      <c r="M153" s="274"/>
      <c r="N153" s="274"/>
      <c r="O153" s="175"/>
    </row>
    <row r="154" spans="1:15" x14ac:dyDescent="0.25">
      <c r="A154" s="191"/>
      <c r="B154" s="192"/>
      <c r="C154" s="193"/>
      <c r="D154" s="194"/>
      <c r="E154" s="274"/>
      <c r="F154" s="274"/>
      <c r="G154" s="274"/>
      <c r="H154" s="290"/>
      <c r="I154" s="290"/>
      <c r="J154" s="274"/>
      <c r="K154" s="290"/>
      <c r="L154" s="274"/>
      <c r="M154" s="274"/>
      <c r="N154" s="274"/>
      <c r="O154" s="175"/>
    </row>
    <row r="155" spans="1:15" x14ac:dyDescent="0.25">
      <c r="A155" s="309" t="s">
        <v>958</v>
      </c>
      <c r="B155" s="307"/>
      <c r="C155" s="326"/>
      <c r="D155" s="326"/>
      <c r="E155" s="327"/>
      <c r="F155" s="327"/>
      <c r="G155" s="327"/>
      <c r="H155" s="327"/>
      <c r="I155" s="327"/>
      <c r="J155" s="327"/>
      <c r="K155" s="327"/>
      <c r="L155" s="327"/>
      <c r="M155" s="327"/>
      <c r="N155" s="327"/>
      <c r="O155" s="282"/>
    </row>
    <row r="156" spans="1:15" x14ac:dyDescent="0.25">
      <c r="A156" s="309"/>
      <c r="B156" s="328"/>
      <c r="C156" s="326"/>
      <c r="D156" s="326"/>
      <c r="E156" s="327"/>
      <c r="F156" s="327"/>
      <c r="G156" s="327"/>
      <c r="H156" s="327"/>
      <c r="I156" s="327"/>
      <c r="J156" s="327"/>
      <c r="K156" s="327"/>
      <c r="L156" s="327"/>
      <c r="M156" s="327"/>
      <c r="N156" s="327"/>
      <c r="O156" s="282"/>
    </row>
    <row r="157" spans="1:15" x14ac:dyDescent="0.25">
      <c r="A157" s="183">
        <v>19</v>
      </c>
      <c r="B157" s="1127" t="s">
        <v>959</v>
      </c>
      <c r="C157" s="1128"/>
      <c r="D157" s="1129"/>
      <c r="E157" s="997">
        <v>0</v>
      </c>
      <c r="F157" s="333"/>
      <c r="G157" s="997">
        <v>0</v>
      </c>
      <c r="H157" s="997">
        <v>0</v>
      </c>
      <c r="I157" s="997">
        <v>0</v>
      </c>
      <c r="J157" s="997">
        <v>0</v>
      </c>
      <c r="K157" s="298"/>
      <c r="L157" s="997">
        <v>0</v>
      </c>
      <c r="M157" s="997">
        <v>0</v>
      </c>
      <c r="N157" s="997">
        <v>0</v>
      </c>
      <c r="O157" s="275"/>
    </row>
    <row r="158" spans="1:15" ht="26.25" customHeight="1" x14ac:dyDescent="0.25">
      <c r="A158" s="183">
        <v>20</v>
      </c>
      <c r="B158" s="1134" t="s">
        <v>1376</v>
      </c>
      <c r="C158" s="1135"/>
      <c r="D158" s="1136"/>
      <c r="E158" s="996">
        <v>0</v>
      </c>
      <c r="F158" s="274"/>
      <c r="G158" s="276"/>
      <c r="H158" s="289"/>
      <c r="I158" s="289"/>
      <c r="J158" s="276"/>
      <c r="K158" s="289"/>
      <c r="L158" s="276"/>
      <c r="M158" s="276"/>
      <c r="N158" s="276"/>
      <c r="O158" s="395"/>
    </row>
    <row r="159" spans="1:15" x14ac:dyDescent="0.25">
      <c r="A159" s="191"/>
      <c r="B159" s="192"/>
      <c r="C159" s="193"/>
      <c r="D159" s="194"/>
      <c r="E159" s="274"/>
      <c r="F159" s="274"/>
      <c r="G159" s="276"/>
      <c r="H159" s="289"/>
      <c r="I159" s="289"/>
      <c r="J159" s="276"/>
      <c r="K159" s="289"/>
      <c r="L159" s="276"/>
      <c r="M159" s="276"/>
      <c r="N159" s="276"/>
      <c r="O159" s="395"/>
    </row>
    <row r="160" spans="1:15" x14ac:dyDescent="0.25">
      <c r="A160" s="309" t="s">
        <v>960</v>
      </c>
      <c r="B160" s="307"/>
      <c r="C160" s="326"/>
      <c r="D160" s="326"/>
      <c r="E160" s="327"/>
      <c r="F160" s="327"/>
      <c r="G160" s="287"/>
      <c r="H160" s="287"/>
      <c r="I160" s="287"/>
      <c r="J160" s="287"/>
      <c r="K160" s="287"/>
      <c r="L160" s="287"/>
      <c r="M160" s="287"/>
      <c r="N160" s="287"/>
      <c r="O160" s="283"/>
    </row>
    <row r="161" spans="1:15" x14ac:dyDescent="0.25">
      <c r="A161" s="309"/>
      <c r="B161" s="328"/>
      <c r="C161" s="326"/>
      <c r="D161" s="326"/>
      <c r="E161" s="327"/>
      <c r="F161" s="327"/>
      <c r="G161" s="287"/>
      <c r="H161" s="287"/>
      <c r="I161" s="287"/>
      <c r="J161" s="287"/>
      <c r="K161" s="287"/>
      <c r="L161" s="287"/>
      <c r="M161" s="287"/>
      <c r="N161" s="287"/>
      <c r="O161" s="283"/>
    </row>
    <row r="162" spans="1:15" x14ac:dyDescent="0.25">
      <c r="A162" s="183">
        <v>22</v>
      </c>
      <c r="B162" s="1127" t="s">
        <v>961</v>
      </c>
      <c r="C162" s="1128"/>
      <c r="D162" s="1129"/>
      <c r="E162" s="997">
        <v>0</v>
      </c>
      <c r="F162" s="333"/>
      <c r="G162" s="997">
        <v>0</v>
      </c>
      <c r="H162" s="997">
        <v>0</v>
      </c>
      <c r="I162" s="997">
        <v>0</v>
      </c>
      <c r="J162" s="997">
        <v>0</v>
      </c>
      <c r="K162" s="298"/>
      <c r="L162" s="997">
        <v>0</v>
      </c>
      <c r="M162" s="997">
        <v>0</v>
      </c>
      <c r="N162" s="997">
        <v>0</v>
      </c>
      <c r="O162" s="275"/>
    </row>
    <row r="163" spans="1:15" ht="26.25" customHeight="1" x14ac:dyDescent="0.25">
      <c r="A163" s="183">
        <v>23</v>
      </c>
      <c r="B163" s="1134" t="s">
        <v>1377</v>
      </c>
      <c r="C163" s="1135"/>
      <c r="D163" s="1136"/>
      <c r="E163" s="996">
        <v>0</v>
      </c>
      <c r="F163" s="274"/>
      <c r="G163" s="274"/>
      <c r="H163" s="290"/>
      <c r="I163" s="290"/>
      <c r="J163" s="274"/>
      <c r="K163" s="290"/>
      <c r="L163" s="274"/>
      <c r="M163" s="274"/>
      <c r="N163" s="274"/>
      <c r="O163" s="175"/>
    </row>
    <row r="164" spans="1:15" x14ac:dyDescent="0.25">
      <c r="A164" s="191"/>
      <c r="B164" s="192"/>
      <c r="C164" s="193"/>
      <c r="D164" s="194"/>
      <c r="E164" s="274"/>
      <c r="F164" s="274"/>
      <c r="G164" s="274"/>
      <c r="H164" s="290"/>
      <c r="I164" s="290"/>
      <c r="J164" s="274"/>
      <c r="K164" s="290"/>
      <c r="L164" s="274"/>
      <c r="M164" s="274"/>
      <c r="N164" s="274"/>
      <c r="O164" s="175"/>
    </row>
    <row r="165" spans="1:15" x14ac:dyDescent="0.25">
      <c r="A165" s="191"/>
      <c r="B165" s="192" t="s">
        <v>962</v>
      </c>
      <c r="C165" s="193"/>
      <c r="D165" s="194"/>
      <c r="E165" s="274"/>
      <c r="F165" s="274"/>
      <c r="G165" s="274"/>
      <c r="H165" s="290"/>
      <c r="I165" s="290"/>
      <c r="J165" s="274"/>
      <c r="K165" s="290"/>
      <c r="L165" s="274"/>
      <c r="M165" s="274"/>
      <c r="N165" s="274"/>
      <c r="O165" s="175"/>
    </row>
    <row r="166" spans="1:15" x14ac:dyDescent="0.25">
      <c r="A166" s="188" t="s">
        <v>963</v>
      </c>
      <c r="B166" s="202">
        <v>417</v>
      </c>
      <c r="C166" s="280">
        <v>4863135</v>
      </c>
      <c r="D166" s="198" t="s">
        <v>964</v>
      </c>
      <c r="E166" s="996">
        <v>0</v>
      </c>
      <c r="F166" s="277" t="str">
        <f t="shared" ref="F166:F180" si="9">$J$2</f>
        <v>GRSM</v>
      </c>
      <c r="G166" s="997">
        <v>0</v>
      </c>
      <c r="H166" s="997">
        <v>0</v>
      </c>
      <c r="I166" s="997">
        <v>0</v>
      </c>
      <c r="J166" s="997">
        <v>0</v>
      </c>
      <c r="K166" s="186" t="s">
        <v>670</v>
      </c>
      <c r="L166" s="996">
        <v>0</v>
      </c>
      <c r="M166" s="997">
        <v>0</v>
      </c>
      <c r="N166" s="997">
        <v>0</v>
      </c>
      <c r="O166" s="190">
        <v>2</v>
      </c>
    </row>
    <row r="167" spans="1:15" x14ac:dyDescent="0.25">
      <c r="A167" s="188" t="s">
        <v>965</v>
      </c>
      <c r="B167" s="202">
        <v>417</v>
      </c>
      <c r="C167" s="280">
        <v>4863130</v>
      </c>
      <c r="D167" s="198" t="s">
        <v>966</v>
      </c>
      <c r="E167" s="996">
        <v>0</v>
      </c>
      <c r="F167" s="277" t="str">
        <f t="shared" si="9"/>
        <v>GRSM</v>
      </c>
      <c r="G167" s="997">
        <v>0</v>
      </c>
      <c r="H167" s="997">
        <v>0</v>
      </c>
      <c r="I167" s="997">
        <v>0</v>
      </c>
      <c r="J167" s="997">
        <v>0</v>
      </c>
      <c r="K167" s="186" t="s">
        <v>670</v>
      </c>
      <c r="L167" s="996">
        <v>0</v>
      </c>
      <c r="M167" s="997">
        <v>0</v>
      </c>
      <c r="N167" s="997">
        <v>0</v>
      </c>
      <c r="O167" s="190">
        <v>2</v>
      </c>
    </row>
    <row r="168" spans="1:15" x14ac:dyDescent="0.25">
      <c r="A168" s="188" t="s">
        <v>967</v>
      </c>
      <c r="B168" s="202">
        <v>417</v>
      </c>
      <c r="C168" s="280">
        <v>4862110</v>
      </c>
      <c r="D168" s="198" t="s">
        <v>968</v>
      </c>
      <c r="E168" s="996">
        <v>0</v>
      </c>
      <c r="F168" s="277" t="str">
        <f t="shared" si="9"/>
        <v>GRSM</v>
      </c>
      <c r="G168" s="997">
        <v>0</v>
      </c>
      <c r="H168" s="997">
        <v>0</v>
      </c>
      <c r="I168" s="997">
        <v>0</v>
      </c>
      <c r="J168" s="997">
        <v>0</v>
      </c>
      <c r="K168" s="186" t="s">
        <v>612</v>
      </c>
      <c r="L168" s="996">
        <v>0</v>
      </c>
      <c r="M168" s="997">
        <v>0</v>
      </c>
      <c r="N168" s="997">
        <v>0</v>
      </c>
      <c r="O168" s="190">
        <v>2</v>
      </c>
    </row>
    <row r="169" spans="1:15" x14ac:dyDescent="0.25">
      <c r="A169" s="188" t="s">
        <v>969</v>
      </c>
      <c r="B169" s="202">
        <v>417</v>
      </c>
      <c r="C169" s="280">
        <v>4862115</v>
      </c>
      <c r="D169" s="198" t="s">
        <v>970</v>
      </c>
      <c r="E169" s="996">
        <v>0</v>
      </c>
      <c r="F169" s="277" t="str">
        <f t="shared" si="9"/>
        <v>GRSM</v>
      </c>
      <c r="G169" s="997">
        <v>0</v>
      </c>
      <c r="H169" s="997">
        <v>0</v>
      </c>
      <c r="I169" s="997">
        <v>0</v>
      </c>
      <c r="J169" s="997">
        <v>0</v>
      </c>
      <c r="K169" s="186" t="s">
        <v>612</v>
      </c>
      <c r="L169" s="996">
        <v>0</v>
      </c>
      <c r="M169" s="997">
        <v>0</v>
      </c>
      <c r="N169" s="997">
        <v>0</v>
      </c>
      <c r="O169" s="190">
        <v>2</v>
      </c>
    </row>
    <row r="170" spans="1:15" x14ac:dyDescent="0.25">
      <c r="A170" s="188" t="s">
        <v>971</v>
      </c>
      <c r="B170" s="202">
        <v>417</v>
      </c>
      <c r="C170" s="280">
        <v>4862120</v>
      </c>
      <c r="D170" s="198" t="s">
        <v>972</v>
      </c>
      <c r="E170" s="996">
        <v>0</v>
      </c>
      <c r="F170" s="277" t="str">
        <f t="shared" si="9"/>
        <v>GRSM</v>
      </c>
      <c r="G170" s="997">
        <v>0</v>
      </c>
      <c r="H170" s="997">
        <v>0</v>
      </c>
      <c r="I170" s="997">
        <v>0</v>
      </c>
      <c r="J170" s="997">
        <v>0</v>
      </c>
      <c r="K170" s="186" t="s">
        <v>612</v>
      </c>
      <c r="L170" s="996">
        <v>0</v>
      </c>
      <c r="M170" s="997">
        <v>0</v>
      </c>
      <c r="N170" s="997">
        <v>0</v>
      </c>
      <c r="O170" s="190">
        <v>2</v>
      </c>
    </row>
    <row r="171" spans="1:15" x14ac:dyDescent="0.25">
      <c r="A171" s="188" t="s">
        <v>973</v>
      </c>
      <c r="B171" s="202">
        <v>417</v>
      </c>
      <c r="C171" s="280">
        <v>4862135</v>
      </c>
      <c r="D171" s="198" t="s">
        <v>974</v>
      </c>
      <c r="E171" s="996">
        <v>0</v>
      </c>
      <c r="F171" s="277" t="str">
        <f t="shared" si="9"/>
        <v>GRSM</v>
      </c>
      <c r="G171" s="997">
        <v>0</v>
      </c>
      <c r="H171" s="997">
        <v>0</v>
      </c>
      <c r="I171" s="997">
        <v>0</v>
      </c>
      <c r="J171" s="997">
        <v>0</v>
      </c>
      <c r="K171" s="186" t="s">
        <v>612</v>
      </c>
      <c r="L171" s="996">
        <v>0</v>
      </c>
      <c r="M171" s="997">
        <v>0</v>
      </c>
      <c r="N171" s="997">
        <v>0</v>
      </c>
      <c r="O171" s="190">
        <v>2</v>
      </c>
    </row>
    <row r="172" spans="1:15" x14ac:dyDescent="0.25">
      <c r="A172" s="188" t="s">
        <v>975</v>
      </c>
      <c r="B172" s="202">
        <v>417</v>
      </c>
      <c r="C172" s="280">
        <v>4864110</v>
      </c>
      <c r="D172" s="567" t="s">
        <v>1960</v>
      </c>
      <c r="E172" s="996">
        <v>0</v>
      </c>
      <c r="F172" s="277" t="str">
        <f t="shared" si="9"/>
        <v>GRSM</v>
      </c>
      <c r="G172" s="997">
        <v>0</v>
      </c>
      <c r="H172" s="997">
        <v>0</v>
      </c>
      <c r="I172" s="997">
        <v>0</v>
      </c>
      <c r="J172" s="997">
        <v>0</v>
      </c>
      <c r="K172" s="186" t="s">
        <v>612</v>
      </c>
      <c r="L172" s="996">
        <v>0</v>
      </c>
      <c r="M172" s="997">
        <v>0</v>
      </c>
      <c r="N172" s="997">
        <v>0</v>
      </c>
      <c r="O172" s="190">
        <v>2</v>
      </c>
    </row>
    <row r="173" spans="1:15" x14ac:dyDescent="0.25">
      <c r="A173" s="188" t="s">
        <v>976</v>
      </c>
      <c r="B173" s="202">
        <v>417</v>
      </c>
      <c r="C173" s="280">
        <v>4864115</v>
      </c>
      <c r="D173" s="198" t="s">
        <v>977</v>
      </c>
      <c r="E173" s="996">
        <v>0</v>
      </c>
      <c r="F173" s="277" t="str">
        <f t="shared" si="9"/>
        <v>GRSM</v>
      </c>
      <c r="G173" s="997">
        <v>0</v>
      </c>
      <c r="H173" s="997">
        <v>0</v>
      </c>
      <c r="I173" s="997">
        <v>0</v>
      </c>
      <c r="J173" s="997">
        <v>0</v>
      </c>
      <c r="K173" s="186" t="s">
        <v>612</v>
      </c>
      <c r="L173" s="996">
        <v>0</v>
      </c>
      <c r="M173" s="997">
        <v>0</v>
      </c>
      <c r="N173" s="997">
        <v>0</v>
      </c>
      <c r="O173" s="190">
        <v>2</v>
      </c>
    </row>
    <row r="174" spans="1:15" x14ac:dyDescent="0.25">
      <c r="A174" s="188" t="s">
        <v>978</v>
      </c>
      <c r="B174" s="202">
        <v>417</v>
      </c>
      <c r="C174" s="280">
        <v>4862125</v>
      </c>
      <c r="D174" s="198" t="s">
        <v>979</v>
      </c>
      <c r="E174" s="996">
        <v>0</v>
      </c>
      <c r="F174" s="277" t="str">
        <f t="shared" si="9"/>
        <v>GRSM</v>
      </c>
      <c r="G174" s="997">
        <v>0</v>
      </c>
      <c r="H174" s="997">
        <v>0</v>
      </c>
      <c r="I174" s="997">
        <v>0</v>
      </c>
      <c r="J174" s="997">
        <v>0</v>
      </c>
      <c r="K174" s="186" t="s">
        <v>612</v>
      </c>
      <c r="L174" s="996">
        <v>0</v>
      </c>
      <c r="M174" s="997">
        <v>0</v>
      </c>
      <c r="N174" s="997">
        <v>0</v>
      </c>
      <c r="O174" s="190">
        <v>2</v>
      </c>
    </row>
    <row r="175" spans="1:15" x14ac:dyDescent="0.25">
      <c r="A175" s="188" t="s">
        <v>980</v>
      </c>
      <c r="B175" s="202">
        <v>417</v>
      </c>
      <c r="C175" s="280">
        <v>4862130</v>
      </c>
      <c r="D175" s="198" t="s">
        <v>981</v>
      </c>
      <c r="E175" s="996">
        <v>0</v>
      </c>
      <c r="F175" s="277" t="str">
        <f t="shared" si="9"/>
        <v>GRSM</v>
      </c>
      <c r="G175" s="997">
        <v>0</v>
      </c>
      <c r="H175" s="997">
        <v>0</v>
      </c>
      <c r="I175" s="997">
        <v>0</v>
      </c>
      <c r="J175" s="997">
        <v>0</v>
      </c>
      <c r="K175" s="186" t="s">
        <v>612</v>
      </c>
      <c r="L175" s="996">
        <v>0</v>
      </c>
      <c r="M175" s="997">
        <v>0</v>
      </c>
      <c r="N175" s="997">
        <v>0</v>
      </c>
      <c r="O175" s="190">
        <v>2</v>
      </c>
    </row>
    <row r="176" spans="1:15" x14ac:dyDescent="0.25">
      <c r="A176" s="188" t="s">
        <v>982</v>
      </c>
      <c r="B176" s="202">
        <v>417</v>
      </c>
      <c r="C176" s="280">
        <v>4863120</v>
      </c>
      <c r="D176" s="198" t="s">
        <v>983</v>
      </c>
      <c r="E176" s="996">
        <v>0</v>
      </c>
      <c r="F176" s="277" t="str">
        <f t="shared" si="9"/>
        <v>GRSM</v>
      </c>
      <c r="G176" s="997">
        <v>0</v>
      </c>
      <c r="H176" s="997">
        <v>0</v>
      </c>
      <c r="I176" s="997">
        <v>0</v>
      </c>
      <c r="J176" s="997">
        <v>0</v>
      </c>
      <c r="K176" s="186" t="s">
        <v>670</v>
      </c>
      <c r="L176" s="996">
        <v>0</v>
      </c>
      <c r="M176" s="997">
        <v>0</v>
      </c>
      <c r="N176" s="997">
        <v>0</v>
      </c>
      <c r="O176" s="190">
        <v>2</v>
      </c>
    </row>
    <row r="177" spans="1:15" x14ac:dyDescent="0.25">
      <c r="A177" s="188" t="s">
        <v>984</v>
      </c>
      <c r="B177" s="202">
        <v>417</v>
      </c>
      <c r="C177" s="280">
        <v>4863110</v>
      </c>
      <c r="D177" s="198" t="s">
        <v>985</v>
      </c>
      <c r="E177" s="996">
        <v>0</v>
      </c>
      <c r="F177" s="277" t="str">
        <f t="shared" si="9"/>
        <v>GRSM</v>
      </c>
      <c r="G177" s="997">
        <v>0</v>
      </c>
      <c r="H177" s="997">
        <v>0</v>
      </c>
      <c r="I177" s="997">
        <v>0</v>
      </c>
      <c r="J177" s="997">
        <v>0</v>
      </c>
      <c r="K177" s="186" t="s">
        <v>670</v>
      </c>
      <c r="L177" s="996">
        <v>0</v>
      </c>
      <c r="M177" s="997">
        <v>0</v>
      </c>
      <c r="N177" s="997">
        <v>0</v>
      </c>
      <c r="O177" s="190">
        <v>2</v>
      </c>
    </row>
    <row r="178" spans="1:15" x14ac:dyDescent="0.25">
      <c r="A178" s="188" t="s">
        <v>986</v>
      </c>
      <c r="B178" s="202">
        <v>417</v>
      </c>
      <c r="C178" s="280">
        <v>4863115</v>
      </c>
      <c r="D178" s="198" t="s">
        <v>987</v>
      </c>
      <c r="E178" s="996">
        <v>0</v>
      </c>
      <c r="F178" s="277" t="str">
        <f t="shared" si="9"/>
        <v>GRSM</v>
      </c>
      <c r="G178" s="997">
        <v>0</v>
      </c>
      <c r="H178" s="997">
        <v>0</v>
      </c>
      <c r="I178" s="997">
        <v>0</v>
      </c>
      <c r="J178" s="997">
        <v>0</v>
      </c>
      <c r="K178" s="186" t="s">
        <v>670</v>
      </c>
      <c r="L178" s="996">
        <v>0</v>
      </c>
      <c r="M178" s="997">
        <v>0</v>
      </c>
      <c r="N178" s="997">
        <v>0</v>
      </c>
      <c r="O178" s="190">
        <v>2</v>
      </c>
    </row>
    <row r="179" spans="1:15" x14ac:dyDescent="0.25">
      <c r="A179" s="188" t="s">
        <v>988</v>
      </c>
      <c r="B179" s="202">
        <v>417</v>
      </c>
      <c r="C179" s="280">
        <v>4863125</v>
      </c>
      <c r="D179" s="198" t="s">
        <v>989</v>
      </c>
      <c r="E179" s="996">
        <v>0</v>
      </c>
      <c r="F179" s="277" t="str">
        <f t="shared" si="9"/>
        <v>GRSM</v>
      </c>
      <c r="G179" s="997">
        <v>0</v>
      </c>
      <c r="H179" s="997">
        <v>0</v>
      </c>
      <c r="I179" s="997">
        <v>0</v>
      </c>
      <c r="J179" s="997">
        <v>0</v>
      </c>
      <c r="K179" s="186" t="s">
        <v>670</v>
      </c>
      <c r="L179" s="996">
        <v>0</v>
      </c>
      <c r="M179" s="997">
        <v>0</v>
      </c>
      <c r="N179" s="997">
        <v>0</v>
      </c>
      <c r="O179" s="190">
        <v>2</v>
      </c>
    </row>
    <row r="180" spans="1:15" x14ac:dyDescent="0.25">
      <c r="A180" s="188" t="s">
        <v>990</v>
      </c>
      <c r="B180" s="202">
        <v>417</v>
      </c>
      <c r="C180" s="280">
        <v>4864120</v>
      </c>
      <c r="D180" s="198" t="s">
        <v>991</v>
      </c>
      <c r="E180" s="996">
        <v>0</v>
      </c>
      <c r="F180" s="277" t="str">
        <f t="shared" si="9"/>
        <v>GRSM</v>
      </c>
      <c r="G180" s="997">
        <v>0</v>
      </c>
      <c r="H180" s="997">
        <v>0</v>
      </c>
      <c r="I180" s="997">
        <v>0</v>
      </c>
      <c r="J180" s="997">
        <v>0</v>
      </c>
      <c r="K180" s="186" t="s">
        <v>612</v>
      </c>
      <c r="L180" s="996">
        <v>0</v>
      </c>
      <c r="M180" s="997">
        <v>0</v>
      </c>
      <c r="N180" s="997">
        <v>0</v>
      </c>
      <c r="O180" s="190">
        <v>2</v>
      </c>
    </row>
    <row r="181" spans="1:15" x14ac:dyDescent="0.25">
      <c r="A181" s="309"/>
      <c r="B181" s="307"/>
      <c r="C181" s="308"/>
      <c r="D181" s="306"/>
      <c r="E181" s="288"/>
      <c r="F181" s="288"/>
      <c r="G181" s="285"/>
      <c r="H181" s="283"/>
      <c r="I181" s="283"/>
      <c r="J181" s="281"/>
      <c r="K181" s="282"/>
      <c r="L181" s="281"/>
      <c r="M181" s="281"/>
      <c r="N181" s="281"/>
      <c r="O181" s="282"/>
    </row>
    <row r="182" spans="1:15" x14ac:dyDescent="0.25">
      <c r="A182" s="309"/>
      <c r="B182" s="307"/>
      <c r="C182" s="308"/>
      <c r="D182" s="306"/>
      <c r="E182" s="288"/>
      <c r="F182" s="288"/>
      <c r="G182" s="285"/>
      <c r="H182" s="283"/>
      <c r="I182" s="283"/>
      <c r="J182" s="281"/>
      <c r="K182" s="282"/>
      <c r="L182" s="281"/>
      <c r="M182" s="281"/>
      <c r="N182" s="281"/>
      <c r="O182" s="282"/>
    </row>
    <row r="183" spans="1:15" x14ac:dyDescent="0.25">
      <c r="A183" s="188">
        <v>25</v>
      </c>
      <c r="B183" s="1137" t="s">
        <v>992</v>
      </c>
      <c r="C183" s="1128"/>
      <c r="D183" s="1129"/>
      <c r="E183" s="997">
        <v>0</v>
      </c>
      <c r="F183" s="298"/>
      <c r="G183" s="997">
        <v>0</v>
      </c>
      <c r="H183" s="997">
        <v>0</v>
      </c>
      <c r="I183" s="997">
        <v>0</v>
      </c>
      <c r="J183" s="997">
        <v>0</v>
      </c>
      <c r="K183" s="298"/>
      <c r="L183" s="997">
        <v>0</v>
      </c>
      <c r="M183" s="997">
        <v>0</v>
      </c>
      <c r="N183" s="997">
        <v>0</v>
      </c>
      <c r="O183" s="176"/>
    </row>
    <row r="184" spans="1:15" x14ac:dyDescent="0.25">
      <c r="A184" s="188">
        <v>26</v>
      </c>
      <c r="B184" s="1137" t="s">
        <v>993</v>
      </c>
      <c r="C184" s="1128"/>
      <c r="D184" s="1129"/>
      <c r="E184" s="996">
        <v>0</v>
      </c>
      <c r="F184" s="276"/>
      <c r="G184" s="274"/>
      <c r="H184" s="290"/>
      <c r="I184" s="290"/>
      <c r="J184" s="274"/>
      <c r="K184" s="290"/>
      <c r="L184" s="274"/>
      <c r="M184" s="274"/>
      <c r="N184" s="274"/>
      <c r="O184" s="175"/>
    </row>
    <row r="185" spans="1:15" ht="25.5" customHeight="1" x14ac:dyDescent="0.25">
      <c r="A185" s="188">
        <v>27</v>
      </c>
      <c r="B185" s="1149" t="s">
        <v>1379</v>
      </c>
      <c r="C185" s="1150"/>
      <c r="D185" s="1151"/>
      <c r="E185" s="996">
        <v>0</v>
      </c>
      <c r="F185" s="329" t="s">
        <v>359</v>
      </c>
    </row>
    <row r="186" spans="1:15" x14ac:dyDescent="0.25">
      <c r="A186" s="196"/>
    </row>
    <row r="187" spans="1:15" x14ac:dyDescent="0.25">
      <c r="B187" s="38" t="s">
        <v>994</v>
      </c>
    </row>
    <row r="188" spans="1:15" x14ac:dyDescent="0.25">
      <c r="A188" s="190" t="s">
        <v>995</v>
      </c>
      <c r="B188" s="1138">
        <v>418.1</v>
      </c>
      <c r="C188" s="1139"/>
      <c r="D188" s="198" t="s">
        <v>996</v>
      </c>
      <c r="E188" s="996">
        <v>0</v>
      </c>
      <c r="F188" s="277" t="str">
        <f>$J$2</f>
        <v>GRSM</v>
      </c>
      <c r="G188" s="997">
        <v>0</v>
      </c>
      <c r="H188" s="997">
        <v>0</v>
      </c>
      <c r="I188" s="997">
        <v>0</v>
      </c>
      <c r="J188" s="997">
        <v>0</v>
      </c>
      <c r="K188" s="315" t="s">
        <v>612</v>
      </c>
      <c r="L188" s="996">
        <v>0</v>
      </c>
      <c r="M188" s="997">
        <v>0</v>
      </c>
      <c r="N188" s="997">
        <v>0</v>
      </c>
      <c r="O188" s="190" t="s">
        <v>997</v>
      </c>
    </row>
    <row r="189" spans="1:15" x14ac:dyDescent="0.25">
      <c r="A189" s="190" t="s">
        <v>998</v>
      </c>
      <c r="B189" s="1138">
        <v>418.1</v>
      </c>
      <c r="C189" s="1139"/>
      <c r="D189" s="198" t="s">
        <v>999</v>
      </c>
      <c r="E189" s="996">
        <v>0</v>
      </c>
      <c r="F189" s="277" t="str">
        <f>$J$2</f>
        <v>GRSM</v>
      </c>
      <c r="G189" s="997">
        <v>0</v>
      </c>
      <c r="H189" s="997">
        <v>0</v>
      </c>
      <c r="I189" s="997">
        <v>0</v>
      </c>
      <c r="J189" s="997">
        <v>0</v>
      </c>
      <c r="K189" s="315" t="s">
        <v>670</v>
      </c>
      <c r="L189" s="996">
        <v>0</v>
      </c>
      <c r="M189" s="997">
        <v>0</v>
      </c>
      <c r="N189" s="997">
        <v>0</v>
      </c>
      <c r="O189" s="190" t="s">
        <v>997</v>
      </c>
    </row>
    <row r="190" spans="1:15" x14ac:dyDescent="0.25">
      <c r="A190" s="190" t="s">
        <v>1000</v>
      </c>
      <c r="B190" s="1138">
        <v>418.1</v>
      </c>
      <c r="C190" s="1139"/>
      <c r="D190" s="567" t="s">
        <v>1902</v>
      </c>
      <c r="E190" s="996">
        <v>0</v>
      </c>
      <c r="F190" s="568" t="s">
        <v>627</v>
      </c>
      <c r="G190" s="997">
        <v>0</v>
      </c>
      <c r="H190" s="997">
        <v>0</v>
      </c>
      <c r="I190" s="997">
        <v>0</v>
      </c>
      <c r="J190" s="997">
        <v>0</v>
      </c>
      <c r="K190" s="569" t="s">
        <v>670</v>
      </c>
      <c r="L190" s="996">
        <v>0</v>
      </c>
      <c r="M190" s="997">
        <v>0</v>
      </c>
      <c r="N190" s="997">
        <v>0</v>
      </c>
      <c r="O190" s="565" t="s">
        <v>1903</v>
      </c>
    </row>
    <row r="191" spans="1:15" x14ac:dyDescent="0.25">
      <c r="A191" s="190" t="s">
        <v>1002</v>
      </c>
      <c r="B191" s="1138">
        <v>418.1</v>
      </c>
      <c r="C191" s="1139"/>
      <c r="D191" s="198" t="s">
        <v>1001</v>
      </c>
      <c r="E191" s="996">
        <v>0</v>
      </c>
      <c r="F191" s="277" t="str">
        <f>$G$2</f>
        <v>Traditional OOR</v>
      </c>
      <c r="G191" s="997">
        <v>0</v>
      </c>
      <c r="H191" s="997">
        <v>0</v>
      </c>
      <c r="I191" s="997">
        <v>0</v>
      </c>
      <c r="J191" s="997">
        <v>0</v>
      </c>
      <c r="K191" s="315"/>
      <c r="L191" s="996">
        <v>0</v>
      </c>
      <c r="M191" s="997">
        <v>0</v>
      </c>
      <c r="N191" s="997">
        <v>0</v>
      </c>
      <c r="O191" s="186">
        <v>13</v>
      </c>
    </row>
    <row r="192" spans="1:15" x14ac:dyDescent="0.25">
      <c r="A192" s="566" t="s">
        <v>1318</v>
      </c>
      <c r="B192" s="1138">
        <v>418.1</v>
      </c>
      <c r="C192" s="1139"/>
      <c r="D192" s="198" t="s">
        <v>1003</v>
      </c>
      <c r="E192" s="996">
        <v>0</v>
      </c>
      <c r="F192" s="277" t="str">
        <f>$G$2</f>
        <v>Traditional OOR</v>
      </c>
      <c r="G192" s="997">
        <v>0</v>
      </c>
      <c r="H192" s="997">
        <v>0</v>
      </c>
      <c r="I192" s="997">
        <v>0</v>
      </c>
      <c r="J192" s="997">
        <v>0</v>
      </c>
      <c r="K192" s="315"/>
      <c r="L192" s="996">
        <v>0</v>
      </c>
      <c r="M192" s="997">
        <v>0</v>
      </c>
      <c r="N192" s="997">
        <v>0</v>
      </c>
      <c r="O192" s="186">
        <v>14</v>
      </c>
    </row>
    <row r="193" spans="1:15" x14ac:dyDescent="0.25">
      <c r="A193" s="566" t="s">
        <v>1319</v>
      </c>
      <c r="B193" s="882">
        <v>418.1</v>
      </c>
      <c r="C193" s="960"/>
      <c r="D193" s="567" t="s">
        <v>2157</v>
      </c>
      <c r="E193" s="996">
        <v>0</v>
      </c>
      <c r="F193" s="277" t="str">
        <f>$G$2</f>
        <v>Traditional OOR</v>
      </c>
      <c r="G193" s="997">
        <v>0</v>
      </c>
      <c r="H193" s="997">
        <v>0</v>
      </c>
      <c r="I193" s="997">
        <v>0</v>
      </c>
      <c r="J193" s="997">
        <v>0</v>
      </c>
      <c r="K193" s="315"/>
      <c r="L193" s="996">
        <v>0</v>
      </c>
      <c r="M193" s="997">
        <v>0</v>
      </c>
      <c r="N193" s="997">
        <v>0</v>
      </c>
      <c r="O193" s="566" t="s">
        <v>2708</v>
      </c>
    </row>
    <row r="194" spans="1:15" x14ac:dyDescent="0.25">
      <c r="A194" s="282"/>
      <c r="B194" s="321"/>
      <c r="C194" s="322"/>
      <c r="D194" s="323"/>
      <c r="E194" s="284"/>
      <c r="F194" s="281"/>
      <c r="G194" s="285"/>
      <c r="H194" s="282"/>
      <c r="I194" s="283"/>
      <c r="J194" s="281"/>
      <c r="K194" s="324"/>
      <c r="L194" s="281"/>
      <c r="M194" s="325"/>
      <c r="N194" s="281"/>
      <c r="O194" s="282"/>
    </row>
    <row r="195" spans="1:15" x14ac:dyDescent="0.25">
      <c r="A195" s="282"/>
      <c r="B195" s="321"/>
      <c r="C195" s="322"/>
      <c r="D195" s="323"/>
      <c r="E195" s="284"/>
      <c r="F195" s="281"/>
      <c r="G195" s="285"/>
      <c r="H195" s="282"/>
      <c r="I195" s="283"/>
      <c r="J195" s="281"/>
      <c r="K195" s="324"/>
      <c r="L195" s="281"/>
      <c r="M195" s="325"/>
      <c r="N195" s="281"/>
      <c r="O195" s="282"/>
    </row>
    <row r="196" spans="1:15" x14ac:dyDescent="0.25">
      <c r="A196" s="190">
        <v>29</v>
      </c>
      <c r="B196" s="1137" t="s">
        <v>1004</v>
      </c>
      <c r="C196" s="1128"/>
      <c r="D196" s="1129"/>
      <c r="E196" s="997">
        <v>0</v>
      </c>
      <c r="F196" s="332"/>
      <c r="G196" s="997">
        <v>0</v>
      </c>
      <c r="H196" s="997">
        <v>0</v>
      </c>
      <c r="I196" s="997">
        <v>0</v>
      </c>
      <c r="J196" s="997">
        <v>0</v>
      </c>
      <c r="K196" s="299"/>
      <c r="L196" s="997">
        <v>0</v>
      </c>
      <c r="M196" s="997">
        <v>0</v>
      </c>
      <c r="N196" s="997">
        <v>0</v>
      </c>
      <c r="O196" s="176"/>
    </row>
    <row r="197" spans="1:15" x14ac:dyDescent="0.25">
      <c r="A197" s="190">
        <v>30</v>
      </c>
      <c r="B197" s="1137" t="s">
        <v>2001</v>
      </c>
      <c r="C197" s="1144"/>
      <c r="D197" s="1145"/>
      <c r="E197" s="996">
        <v>0</v>
      </c>
      <c r="F197" s="331"/>
      <c r="G197" s="331"/>
      <c r="H197" s="331"/>
      <c r="I197" s="331"/>
      <c r="J197" s="330"/>
      <c r="K197" s="331"/>
      <c r="L197" s="330"/>
      <c r="M197" s="330"/>
      <c r="N197" s="330"/>
      <c r="O197" s="175"/>
    </row>
    <row r="198" spans="1:15" ht="25.5" customHeight="1" x14ac:dyDescent="0.25">
      <c r="A198" s="190">
        <v>31</v>
      </c>
      <c r="B198" s="1142" t="s">
        <v>1378</v>
      </c>
      <c r="C198" s="1143"/>
      <c r="D198" s="1143"/>
      <c r="E198" s="996">
        <v>0</v>
      </c>
      <c r="F198" s="331"/>
      <c r="G198" s="331"/>
      <c r="H198" s="331"/>
      <c r="I198" s="331"/>
      <c r="J198" s="330"/>
      <c r="K198" s="331"/>
      <c r="L198" s="330"/>
      <c r="M198" s="330"/>
      <c r="N198" s="330"/>
      <c r="O198" s="175"/>
    </row>
    <row r="199" spans="1:15" x14ac:dyDescent="0.25">
      <c r="A199" s="196"/>
    </row>
    <row r="200" spans="1:15" x14ac:dyDescent="0.25">
      <c r="A200" s="190">
        <v>32</v>
      </c>
      <c r="B200" s="302"/>
      <c r="C200" s="301"/>
      <c r="D200" s="207" t="s">
        <v>1005</v>
      </c>
      <c r="E200" s="997">
        <v>0</v>
      </c>
      <c r="F200" s="394"/>
      <c r="G200" s="997">
        <v>0</v>
      </c>
      <c r="H200" s="997">
        <v>0</v>
      </c>
      <c r="I200" s="997">
        <v>0</v>
      </c>
      <c r="J200" s="997">
        <v>0</v>
      </c>
      <c r="K200" s="394"/>
      <c r="L200" s="997">
        <v>0</v>
      </c>
      <c r="M200" s="997">
        <v>0</v>
      </c>
      <c r="N200" s="997">
        <v>0</v>
      </c>
      <c r="O200" s="176"/>
    </row>
    <row r="201" spans="1:15" x14ac:dyDescent="0.25">
      <c r="A201" s="208"/>
      <c r="B201" s="209"/>
      <c r="C201" s="208"/>
      <c r="E201" s="196"/>
      <c r="F201" s="196"/>
      <c r="G201" s="278"/>
      <c r="J201" s="294"/>
      <c r="K201" s="293"/>
      <c r="N201" s="278"/>
    </row>
    <row r="202" spans="1:15" x14ac:dyDescent="0.25">
      <c r="A202" s="208"/>
      <c r="B202" s="209"/>
      <c r="C202" s="208"/>
      <c r="E202" s="196"/>
      <c r="F202" s="211" t="s">
        <v>171</v>
      </c>
      <c r="J202" s="294"/>
      <c r="K202" s="293"/>
      <c r="N202" s="278"/>
    </row>
    <row r="203" spans="1:15" x14ac:dyDescent="0.25">
      <c r="A203" s="190">
        <v>33</v>
      </c>
      <c r="B203" s="320"/>
      <c r="C203" s="320"/>
      <c r="D203" s="317" t="s">
        <v>1006</v>
      </c>
      <c r="E203" s="997">
        <v>0</v>
      </c>
      <c r="F203" s="316" t="s">
        <v>1007</v>
      </c>
      <c r="G203" s="278"/>
      <c r="N203" s="278"/>
    </row>
    <row r="204" spans="1:15" x14ac:dyDescent="0.25">
      <c r="A204" s="186">
        <v>34</v>
      </c>
      <c r="B204" s="320"/>
      <c r="C204" s="320"/>
      <c r="D204" s="317" t="s">
        <v>1009</v>
      </c>
      <c r="E204" s="997">
        <v>0</v>
      </c>
      <c r="F204" s="961" t="s">
        <v>1312</v>
      </c>
      <c r="G204" s="293"/>
      <c r="N204" s="278"/>
    </row>
    <row r="205" spans="1:15" x14ac:dyDescent="0.25">
      <c r="A205" s="186">
        <v>35</v>
      </c>
      <c r="B205" s="320"/>
      <c r="C205" s="320"/>
      <c r="D205" s="318"/>
      <c r="E205" s="272"/>
      <c r="F205" s="962"/>
      <c r="G205" s="293"/>
      <c r="N205" s="278"/>
    </row>
    <row r="206" spans="1:15" x14ac:dyDescent="0.25">
      <c r="A206" s="186">
        <v>36</v>
      </c>
      <c r="B206" s="320"/>
      <c r="C206" s="320"/>
      <c r="D206" s="317" t="s">
        <v>1010</v>
      </c>
      <c r="E206" s="997">
        <v>0</v>
      </c>
      <c r="F206" s="963" t="s">
        <v>1011</v>
      </c>
      <c r="G206" s="293"/>
      <c r="N206" s="278"/>
    </row>
    <row r="207" spans="1:15" x14ac:dyDescent="0.25">
      <c r="A207" s="186">
        <v>37</v>
      </c>
      <c r="B207" s="311"/>
      <c r="C207" s="311"/>
      <c r="D207" s="317" t="s">
        <v>1012</v>
      </c>
      <c r="E207" s="997">
        <v>0</v>
      </c>
      <c r="F207" s="64" t="str">
        <f>"= Line "&amp;A206&amp;"D * 10%"</f>
        <v>= Line 36D * 10%</v>
      </c>
      <c r="G207" s="39"/>
      <c r="H207" s="296"/>
      <c r="I207" s="297"/>
    </row>
    <row r="208" spans="1:15" x14ac:dyDescent="0.25">
      <c r="A208" s="186">
        <v>38</v>
      </c>
      <c r="B208" s="311"/>
      <c r="C208" s="311"/>
      <c r="D208" s="317" t="s">
        <v>1013</v>
      </c>
      <c r="E208" s="997">
        <v>0</v>
      </c>
      <c r="F208" s="964" t="s">
        <v>1014</v>
      </c>
      <c r="G208" s="39"/>
      <c r="H208" s="196"/>
      <c r="I208" s="297"/>
    </row>
    <row r="209" spans="1:254" x14ac:dyDescent="0.25">
      <c r="A209" s="186">
        <v>39</v>
      </c>
      <c r="B209" s="311"/>
      <c r="C209" s="311"/>
      <c r="D209" s="317" t="s">
        <v>1015</v>
      </c>
      <c r="E209" s="997">
        <v>0</v>
      </c>
      <c r="F209" s="64" t="str">
        <f>"= Line "&amp;A208&amp;"D * 30%"</f>
        <v>= Line 38D * 30%</v>
      </c>
      <c r="G209" s="39"/>
      <c r="H209" s="296"/>
      <c r="I209" s="297"/>
    </row>
    <row r="210" spans="1:254" x14ac:dyDescent="0.25">
      <c r="A210" s="186">
        <v>40</v>
      </c>
      <c r="B210" s="311"/>
      <c r="C210" s="311"/>
      <c r="D210" s="317" t="s">
        <v>1016</v>
      </c>
      <c r="E210" s="997">
        <v>0</v>
      </c>
      <c r="F210" s="64" t="str">
        <f>"= Line "&amp;A207&amp;"D + Line "&amp;A209&amp;"D"</f>
        <v>= Line 37D + Line 39D</v>
      </c>
      <c r="G210" s="292"/>
    </row>
    <row r="211" spans="1:254" x14ac:dyDescent="0.25">
      <c r="A211" s="186">
        <v>41</v>
      </c>
      <c r="B211" s="311"/>
      <c r="C211" s="311"/>
      <c r="D211" s="317" t="s">
        <v>1017</v>
      </c>
      <c r="E211" s="1007" t="s">
        <v>2690</v>
      </c>
      <c r="F211" s="963" t="s">
        <v>1008</v>
      </c>
      <c r="G211" s="292"/>
    </row>
    <row r="212" spans="1:254" x14ac:dyDescent="0.25">
      <c r="A212" s="186">
        <v>42</v>
      </c>
      <c r="B212" s="311"/>
      <c r="C212" s="311"/>
      <c r="D212" s="317" t="s">
        <v>1018</v>
      </c>
      <c r="E212" s="997">
        <v>0</v>
      </c>
      <c r="F212" s="64" t="str">
        <f>"= Line "&amp;A210&amp;"D * Line "&amp;A211&amp;"D"</f>
        <v>= Line 40D * Line 41D</v>
      </c>
      <c r="G212" s="292"/>
    </row>
    <row r="213" spans="1:254" ht="12.75" customHeight="1" x14ac:dyDescent="0.25">
      <c r="A213" s="186">
        <v>43</v>
      </c>
      <c r="B213" s="311"/>
      <c r="C213" s="311"/>
      <c r="D213" s="319" t="s">
        <v>2002</v>
      </c>
      <c r="E213" s="997">
        <v>0</v>
      </c>
      <c r="F213" s="64" t="str">
        <f>"= Line "&amp;A204&amp;"D + Line "&amp;A212&amp;"D"</f>
        <v>= Line 34D + Line 42D</v>
      </c>
      <c r="G213" s="292"/>
    </row>
    <row r="214" spans="1:254" x14ac:dyDescent="0.25">
      <c r="D214" s="292"/>
      <c r="E214" s="279"/>
      <c r="F214" s="316"/>
    </row>
    <row r="215" spans="1:254" x14ac:dyDescent="0.25">
      <c r="D215" s="205"/>
      <c r="E215" s="211" t="s">
        <v>194</v>
      </c>
      <c r="F215" s="211" t="s">
        <v>171</v>
      </c>
      <c r="G215" s="203"/>
      <c r="I215" s="206"/>
      <c r="J215" s="39"/>
      <c r="K215" s="206"/>
      <c r="L215" s="205"/>
      <c r="M215" s="211"/>
      <c r="N215" s="211"/>
      <c r="O215" s="203"/>
      <c r="P215" s="204"/>
      <c r="Q215" s="206"/>
      <c r="R215" s="205"/>
      <c r="S215" s="211"/>
      <c r="T215" s="211"/>
      <c r="U215" s="203"/>
      <c r="V215" s="204"/>
      <c r="W215" s="206"/>
      <c r="X215" s="39"/>
      <c r="Y215" s="206"/>
      <c r="Z215" s="205"/>
      <c r="AA215" s="211"/>
      <c r="AB215" s="211"/>
      <c r="AC215" s="203"/>
      <c r="AD215" s="204"/>
      <c r="AE215" s="206"/>
      <c r="AF215" s="39"/>
      <c r="AG215" s="206"/>
      <c r="AH215" s="205"/>
      <c r="AI215" s="211"/>
      <c r="AJ215" s="211"/>
      <c r="AK215" s="203"/>
      <c r="AL215" s="204"/>
      <c r="AM215" s="206"/>
      <c r="AN215" s="39"/>
      <c r="AO215" s="206"/>
      <c r="AP215" s="205"/>
      <c r="AQ215" s="211"/>
      <c r="AR215" s="211"/>
      <c r="AS215" s="203"/>
      <c r="AT215" s="204"/>
      <c r="AU215" s="206"/>
      <c r="AV215" s="39"/>
      <c r="AW215" s="206"/>
      <c r="AX215" s="205"/>
      <c r="AY215" s="211"/>
      <c r="AZ215" s="211"/>
      <c r="BA215" s="203"/>
      <c r="BB215" s="204"/>
      <c r="BC215" s="206"/>
      <c r="BD215" s="39"/>
      <c r="BE215" s="206"/>
      <c r="BF215" s="205"/>
      <c r="BG215" s="211"/>
      <c r="BH215" s="211"/>
      <c r="BI215" s="203"/>
      <c r="BJ215" s="204"/>
      <c r="BK215" s="206"/>
      <c r="BL215" s="39"/>
      <c r="BM215" s="206"/>
      <c r="BN215" s="205"/>
      <c r="BO215" s="211"/>
      <c r="BP215" s="211"/>
      <c r="BQ215" s="203"/>
      <c r="BR215" s="204"/>
      <c r="BS215" s="206"/>
      <c r="BT215" s="39"/>
      <c r="BU215" s="206"/>
      <c r="BV215" s="205"/>
      <c r="BW215" s="211"/>
      <c r="BX215" s="211"/>
      <c r="BY215" s="203"/>
      <c r="BZ215" s="204"/>
      <c r="CA215" s="206"/>
      <c r="CB215" s="39"/>
      <c r="CC215" s="206"/>
      <c r="CD215" s="205"/>
      <c r="CE215" s="211"/>
      <c r="CF215" s="211"/>
      <c r="CG215" s="203"/>
      <c r="CH215" s="204"/>
      <c r="CI215" s="206"/>
      <c r="CJ215" s="39"/>
      <c r="CK215" s="206"/>
      <c r="CL215" s="205"/>
      <c r="CM215" s="211"/>
      <c r="CN215" s="211"/>
      <c r="CO215" s="203"/>
      <c r="CP215" s="204"/>
      <c r="CQ215" s="206"/>
      <c r="CR215" s="39"/>
      <c r="CS215" s="206"/>
      <c r="CT215" s="205"/>
      <c r="CU215" s="211"/>
      <c r="CV215" s="211"/>
      <c r="CW215" s="203"/>
      <c r="CX215" s="204"/>
      <c r="CY215" s="206"/>
      <c r="CZ215" s="39"/>
      <c r="DA215" s="206"/>
      <c r="DB215" s="205"/>
      <c r="DC215" s="211"/>
      <c r="DD215" s="211"/>
      <c r="DE215" s="203"/>
      <c r="DF215" s="204"/>
      <c r="DG215" s="206"/>
      <c r="DH215" s="39"/>
      <c r="DI215" s="206"/>
      <c r="DJ215" s="205"/>
      <c r="DK215" s="211"/>
      <c r="DL215" s="211"/>
      <c r="DM215" s="203"/>
      <c r="DN215" s="204"/>
      <c r="DO215" s="206"/>
      <c r="DP215" s="39"/>
      <c r="DQ215" s="206"/>
      <c r="DR215" s="205"/>
      <c r="DS215" s="211"/>
      <c r="DT215" s="211"/>
      <c r="DU215" s="203"/>
      <c r="DV215" s="204"/>
      <c r="DW215" s="206"/>
      <c r="DX215" s="39"/>
      <c r="DY215" s="206"/>
      <c r="DZ215" s="205"/>
      <c r="EA215" s="211"/>
      <c r="EB215" s="211"/>
      <c r="EC215" s="203"/>
      <c r="ED215" s="204"/>
      <c r="EE215" s="206"/>
      <c r="EF215" s="39"/>
      <c r="EG215" s="206"/>
      <c r="EH215" s="205"/>
      <c r="EI215" s="211"/>
      <c r="EJ215" s="211"/>
      <c r="EK215" s="203"/>
      <c r="EL215" s="204"/>
      <c r="EM215" s="206"/>
      <c r="EN215" s="39"/>
      <c r="EO215" s="206"/>
      <c r="EP215" s="205"/>
      <c r="EQ215" s="211"/>
      <c r="ER215" s="211"/>
      <c r="ES215" s="203"/>
      <c r="ET215" s="204"/>
      <c r="EU215" s="206"/>
      <c r="EV215" s="39"/>
      <c r="EW215" s="206"/>
      <c r="EX215" s="205"/>
      <c r="EY215" s="211"/>
      <c r="EZ215" s="211"/>
      <c r="FA215" s="203"/>
      <c r="FB215" s="204"/>
      <c r="FC215" s="206"/>
      <c r="FD215" s="39"/>
      <c r="FE215" s="206"/>
      <c r="FF215" s="205"/>
      <c r="FG215" s="211"/>
      <c r="FH215" s="211"/>
      <c r="FI215" s="203"/>
      <c r="FJ215" s="204"/>
      <c r="FK215" s="206"/>
      <c r="FL215" s="39"/>
      <c r="FM215" s="206"/>
      <c r="FN215" s="205"/>
      <c r="FO215" s="211"/>
      <c r="FP215" s="211"/>
      <c r="FQ215" s="203"/>
      <c r="FR215" s="204"/>
      <c r="FS215" s="206"/>
      <c r="FT215" s="39"/>
      <c r="FU215" s="206"/>
      <c r="FV215" s="205"/>
      <c r="FW215" s="211"/>
      <c r="FX215" s="211"/>
      <c r="FY215" s="203"/>
      <c r="FZ215" s="204"/>
      <c r="GA215" s="206"/>
      <c r="GB215" s="39"/>
      <c r="GC215" s="206"/>
      <c r="GD215" s="205"/>
      <c r="GE215" s="211"/>
      <c r="GF215" s="211"/>
      <c r="GG215" s="203"/>
      <c r="GH215" s="204"/>
      <c r="GI215" s="206"/>
      <c r="GJ215" s="39"/>
      <c r="GK215" s="206"/>
      <c r="GL215" s="205"/>
      <c r="GM215" s="211"/>
      <c r="GN215" s="211"/>
      <c r="GO215" s="203"/>
      <c r="GP215" s="204"/>
      <c r="GQ215" s="206"/>
      <c r="GR215" s="39"/>
      <c r="GS215" s="206"/>
      <c r="GT215" s="205"/>
      <c r="GU215" s="211"/>
      <c r="GV215" s="211"/>
      <c r="GW215" s="203"/>
      <c r="GX215" s="204"/>
      <c r="GY215" s="206"/>
      <c r="GZ215" s="39"/>
      <c r="HA215" s="206"/>
      <c r="HB215" s="205"/>
      <c r="HC215" s="211"/>
      <c r="HD215" s="211"/>
      <c r="HE215" s="203"/>
      <c r="HF215" s="204"/>
      <c r="HG215" s="206"/>
      <c r="HH215" s="39"/>
      <c r="HI215" s="206"/>
      <c r="HJ215" s="205"/>
      <c r="HK215" s="211"/>
      <c r="HL215" s="211"/>
      <c r="HM215" s="203"/>
      <c r="HN215" s="204"/>
      <c r="HO215" s="206"/>
      <c r="HP215" s="39"/>
      <c r="HQ215" s="206"/>
      <c r="HR215" s="205"/>
      <c r="HS215" s="211"/>
      <c r="HT215" s="211"/>
      <c r="HU215" s="203"/>
      <c r="HV215" s="204"/>
      <c r="HW215" s="206"/>
      <c r="HX215" s="39"/>
      <c r="HY215" s="206"/>
      <c r="HZ215" s="205"/>
      <c r="IA215" s="211"/>
      <c r="IB215" s="211"/>
      <c r="IC215" s="203"/>
      <c r="ID215" s="204"/>
      <c r="IE215" s="206"/>
      <c r="IF215" s="39"/>
      <c r="IG215" s="206"/>
      <c r="IH215" s="205"/>
      <c r="II215" s="211"/>
      <c r="IJ215" s="211"/>
      <c r="IK215" s="203"/>
      <c r="IL215" s="204"/>
      <c r="IM215" s="206"/>
      <c r="IN215" s="39"/>
      <c r="IO215" s="206"/>
      <c r="IP215" s="205"/>
      <c r="IQ215" s="211"/>
      <c r="IR215" s="211"/>
      <c r="IS215" s="203"/>
      <c r="IT215" s="204"/>
    </row>
    <row r="216" spans="1:254" x14ac:dyDescent="0.25">
      <c r="A216" s="186">
        <v>44</v>
      </c>
      <c r="B216" s="38" t="s">
        <v>1041</v>
      </c>
      <c r="D216" s="205"/>
      <c r="E216" s="997">
        <v>0</v>
      </c>
      <c r="F216" s="730" t="s">
        <v>2534</v>
      </c>
      <c r="G216" s="203"/>
      <c r="J216" s="38"/>
      <c r="K216" s="206"/>
      <c r="L216" s="205"/>
      <c r="M216" s="210"/>
      <c r="N216" s="212"/>
      <c r="O216" s="203"/>
      <c r="P216" s="204"/>
      <c r="Q216" s="206"/>
      <c r="R216" s="205"/>
      <c r="S216" s="210"/>
      <c r="T216" s="212"/>
      <c r="U216" s="203"/>
      <c r="V216" s="204"/>
      <c r="W216" s="190"/>
      <c r="X216" s="38"/>
      <c r="Y216" s="206"/>
      <c r="Z216" s="205"/>
      <c r="AA216" s="210"/>
      <c r="AB216" s="212"/>
      <c r="AC216" s="203"/>
      <c r="AD216" s="204"/>
      <c r="AE216" s="190"/>
      <c r="AF216" s="38"/>
      <c r="AG216" s="206"/>
      <c r="AH216" s="205"/>
      <c r="AI216" s="210"/>
      <c r="AJ216" s="212"/>
      <c r="AK216" s="203"/>
      <c r="AL216" s="204"/>
      <c r="AM216" s="190"/>
      <c r="AN216" s="38"/>
      <c r="AO216" s="206"/>
      <c r="AP216" s="205"/>
      <c r="AQ216" s="210"/>
      <c r="AR216" s="212"/>
      <c r="AS216" s="203"/>
      <c r="AT216" s="204"/>
      <c r="AU216" s="190"/>
      <c r="AV216" s="38"/>
      <c r="AW216" s="206"/>
      <c r="AX216" s="205"/>
      <c r="AY216" s="210"/>
      <c r="AZ216" s="212"/>
      <c r="BA216" s="203"/>
      <c r="BB216" s="204"/>
      <c r="BC216" s="190"/>
      <c r="BD216" s="38"/>
      <c r="BE216" s="206"/>
      <c r="BF216" s="205"/>
      <c r="BG216" s="210"/>
      <c r="BH216" s="212"/>
      <c r="BI216" s="203"/>
      <c r="BJ216" s="204"/>
      <c r="BK216" s="190"/>
      <c r="BL216" s="38"/>
      <c r="BM216" s="206"/>
      <c r="BN216" s="205"/>
      <c r="BO216" s="210"/>
      <c r="BP216" s="212"/>
      <c r="BQ216" s="203"/>
      <c r="BR216" s="204"/>
      <c r="BS216" s="190"/>
      <c r="BT216" s="38"/>
      <c r="BU216" s="206"/>
      <c r="BV216" s="205"/>
      <c r="BW216" s="210"/>
      <c r="BX216" s="212"/>
      <c r="BY216" s="203"/>
      <c r="BZ216" s="204"/>
      <c r="CA216" s="190"/>
      <c r="CB216" s="38"/>
      <c r="CC216" s="206"/>
      <c r="CD216" s="205"/>
      <c r="CE216" s="210"/>
      <c r="CF216" s="212"/>
      <c r="CG216" s="203"/>
      <c r="CH216" s="204"/>
      <c r="CI216" s="190"/>
      <c r="CJ216" s="38"/>
      <c r="CK216" s="206"/>
      <c r="CL216" s="205"/>
      <c r="CM216" s="210"/>
      <c r="CN216" s="212"/>
      <c r="CO216" s="203"/>
      <c r="CP216" s="204"/>
      <c r="CQ216" s="190"/>
      <c r="CR216" s="38"/>
      <c r="CS216" s="206"/>
      <c r="CT216" s="205"/>
      <c r="CU216" s="210"/>
      <c r="CV216" s="212"/>
      <c r="CW216" s="203"/>
      <c r="CX216" s="204"/>
      <c r="CY216" s="190"/>
      <c r="CZ216" s="38"/>
      <c r="DA216" s="206"/>
      <c r="DB216" s="205"/>
      <c r="DC216" s="210"/>
      <c r="DD216" s="212"/>
      <c r="DE216" s="203"/>
      <c r="DF216" s="204"/>
      <c r="DG216" s="190"/>
      <c r="DH216" s="38"/>
      <c r="DI216" s="206"/>
      <c r="DJ216" s="205"/>
      <c r="DK216" s="210"/>
      <c r="DL216" s="212"/>
      <c r="DM216" s="203"/>
      <c r="DN216" s="204"/>
      <c r="DO216" s="190"/>
      <c r="DP216" s="38"/>
      <c r="DQ216" s="206"/>
      <c r="DR216" s="205"/>
      <c r="DS216" s="210"/>
      <c r="DT216" s="212"/>
      <c r="DU216" s="203"/>
      <c r="DV216" s="204"/>
      <c r="DW216" s="190"/>
      <c r="DX216" s="38"/>
      <c r="DY216" s="206"/>
      <c r="DZ216" s="205"/>
      <c r="EA216" s="210"/>
      <c r="EB216" s="212"/>
      <c r="EC216" s="203"/>
      <c r="ED216" s="204"/>
      <c r="EE216" s="190"/>
      <c r="EF216" s="38"/>
      <c r="EG216" s="206"/>
      <c r="EH216" s="205"/>
      <c r="EI216" s="210"/>
      <c r="EJ216" s="212"/>
      <c r="EK216" s="203"/>
      <c r="EL216" s="204"/>
      <c r="EM216" s="190"/>
      <c r="EN216" s="38"/>
      <c r="EO216" s="206"/>
      <c r="EP216" s="205"/>
      <c r="EQ216" s="210"/>
      <c r="ER216" s="212"/>
      <c r="ES216" s="203"/>
      <c r="ET216" s="204"/>
      <c r="EU216" s="190"/>
      <c r="EV216" s="38"/>
      <c r="EW216" s="206"/>
      <c r="EX216" s="205"/>
      <c r="EY216" s="210"/>
      <c r="EZ216" s="212"/>
      <c r="FA216" s="203"/>
      <c r="FB216" s="204"/>
      <c r="FC216" s="190"/>
      <c r="FD216" s="38"/>
      <c r="FE216" s="206"/>
      <c r="FF216" s="205"/>
      <c r="FG216" s="210"/>
      <c r="FH216" s="212"/>
      <c r="FI216" s="203"/>
      <c r="FJ216" s="204"/>
      <c r="FK216" s="190"/>
      <c r="FL216" s="38"/>
      <c r="FM216" s="206"/>
      <c r="FN216" s="205"/>
      <c r="FO216" s="210"/>
      <c r="FP216" s="212"/>
      <c r="FQ216" s="203"/>
      <c r="FR216" s="204"/>
      <c r="FS216" s="190"/>
      <c r="FT216" s="38"/>
      <c r="FU216" s="206"/>
      <c r="FV216" s="205"/>
      <c r="FW216" s="210"/>
      <c r="FX216" s="212"/>
      <c r="FY216" s="203"/>
      <c r="FZ216" s="204"/>
      <c r="GA216" s="190"/>
      <c r="GB216" s="38"/>
      <c r="GC216" s="206"/>
      <c r="GD216" s="205"/>
      <c r="GE216" s="210"/>
      <c r="GF216" s="212"/>
      <c r="GG216" s="203"/>
      <c r="GH216" s="204"/>
      <c r="GI216" s="190"/>
      <c r="GJ216" s="38"/>
      <c r="GK216" s="206"/>
      <c r="GL216" s="205"/>
      <c r="GM216" s="210"/>
      <c r="GN216" s="212"/>
      <c r="GO216" s="203"/>
      <c r="GP216" s="204"/>
      <c r="GQ216" s="190"/>
      <c r="GR216" s="38"/>
      <c r="GS216" s="206"/>
      <c r="GT216" s="205"/>
      <c r="GU216" s="210"/>
      <c r="GV216" s="212"/>
      <c r="GW216" s="203"/>
      <c r="GX216" s="204"/>
      <c r="GY216" s="190"/>
      <c r="GZ216" s="38"/>
      <c r="HA216" s="206"/>
      <c r="HB216" s="205"/>
      <c r="HC216" s="210"/>
      <c r="HD216" s="212"/>
      <c r="HE216" s="203"/>
      <c r="HF216" s="204"/>
      <c r="HG216" s="190"/>
      <c r="HH216" s="38"/>
      <c r="HI216" s="206"/>
      <c r="HJ216" s="205"/>
      <c r="HK216" s="210"/>
      <c r="HL216" s="212"/>
      <c r="HM216" s="203"/>
      <c r="HN216" s="204"/>
      <c r="HO216" s="190"/>
      <c r="HP216" s="38"/>
      <c r="HQ216" s="206"/>
      <c r="HR216" s="205"/>
      <c r="HS216" s="210"/>
      <c r="HT216" s="212"/>
      <c r="HU216" s="203"/>
      <c r="HV216" s="204"/>
      <c r="HW216" s="190"/>
      <c r="HX216" s="38"/>
      <c r="HY216" s="206"/>
      <c r="HZ216" s="205"/>
      <c r="IA216" s="210"/>
      <c r="IB216" s="212"/>
      <c r="IC216" s="203"/>
      <c r="ID216" s="204"/>
      <c r="IE216" s="190"/>
      <c r="IF216" s="38"/>
      <c r="IG216" s="206"/>
      <c r="IH216" s="205"/>
      <c r="II216" s="210"/>
      <c r="IJ216" s="212"/>
      <c r="IK216" s="203"/>
      <c r="IL216" s="204"/>
      <c r="IM216" s="190"/>
      <c r="IN216" s="38"/>
      <c r="IO216" s="206"/>
      <c r="IP216" s="205"/>
      <c r="IQ216" s="210"/>
      <c r="IR216" s="212"/>
      <c r="IS216" s="203"/>
      <c r="IT216" s="204"/>
    </row>
    <row r="218" spans="1:254" x14ac:dyDescent="0.25">
      <c r="A218" s="206" t="s">
        <v>256</v>
      </c>
    </row>
    <row r="219" spans="1:254" ht="12.75" customHeight="1" x14ac:dyDescent="0.25">
      <c r="A219" s="86" t="s">
        <v>1019</v>
      </c>
      <c r="B219" s="1140" t="s">
        <v>1667</v>
      </c>
      <c r="C219" s="1141"/>
      <c r="D219" s="1141"/>
    </row>
    <row r="220" spans="1:254" ht="77.25" customHeight="1" x14ac:dyDescent="0.25">
      <c r="A220" s="86" t="s">
        <v>1020</v>
      </c>
      <c r="B220" s="1124" t="s">
        <v>2184</v>
      </c>
      <c r="C220" s="1125"/>
      <c r="D220" s="1125"/>
      <c r="E220" s="1133"/>
      <c r="F220" s="1133"/>
    </row>
    <row r="221" spans="1:254" ht="12.75" customHeight="1" x14ac:dyDescent="0.25">
      <c r="A221" s="86" t="s">
        <v>1021</v>
      </c>
      <c r="B221" s="1130" t="s">
        <v>1022</v>
      </c>
      <c r="C221" s="1131"/>
      <c r="D221" s="1131"/>
      <c r="E221" s="1132"/>
      <c r="F221" s="1132"/>
    </row>
    <row r="222" spans="1:254" ht="12.75" customHeight="1" x14ac:dyDescent="0.25">
      <c r="A222" s="73" t="s">
        <v>1023</v>
      </c>
      <c r="B222" s="1124" t="s">
        <v>1712</v>
      </c>
      <c r="C222" s="1131"/>
      <c r="D222" s="1131"/>
      <c r="E222" s="1132"/>
      <c r="F222" s="1132"/>
    </row>
    <row r="223" spans="1:254" ht="12.75" customHeight="1" x14ac:dyDescent="0.25">
      <c r="A223" s="86" t="s">
        <v>1024</v>
      </c>
      <c r="B223" s="1130" t="s">
        <v>1025</v>
      </c>
      <c r="C223" s="1131"/>
      <c r="D223" s="1131"/>
      <c r="E223" s="1132"/>
      <c r="F223" s="1132"/>
    </row>
    <row r="224" spans="1:254" ht="12.75" customHeight="1" x14ac:dyDescent="0.25">
      <c r="A224" s="73" t="s">
        <v>1026</v>
      </c>
      <c r="B224" s="1130" t="s">
        <v>1027</v>
      </c>
      <c r="C224" s="1131"/>
      <c r="D224" s="1131"/>
      <c r="E224" s="1132"/>
      <c r="F224" s="1132"/>
    </row>
    <row r="225" spans="1:8" ht="12.75" customHeight="1" x14ac:dyDescent="0.25">
      <c r="A225" s="73" t="s">
        <v>1028</v>
      </c>
      <c r="B225" s="1124" t="s">
        <v>1965</v>
      </c>
      <c r="C225" s="1125"/>
      <c r="D225" s="1125"/>
      <c r="E225" s="1126"/>
      <c r="F225" s="1126"/>
    </row>
    <row r="226" spans="1:8" ht="12.75" customHeight="1" x14ac:dyDescent="0.25">
      <c r="A226" s="73"/>
      <c r="B226" s="1126"/>
      <c r="C226" s="1126"/>
      <c r="D226" s="1126"/>
      <c r="E226" s="1126"/>
      <c r="F226" s="1126"/>
    </row>
    <row r="227" spans="1:8" ht="12.75" customHeight="1" x14ac:dyDescent="0.25">
      <c r="A227" s="73"/>
      <c r="B227" s="1130" t="s">
        <v>1029</v>
      </c>
      <c r="C227" s="1131"/>
      <c r="D227" s="1013" t="s">
        <v>2690</v>
      </c>
      <c r="E227" s="965" t="s">
        <v>1998</v>
      </c>
      <c r="F227" s="1011" t="s">
        <v>86</v>
      </c>
      <c r="G227" s="593"/>
    </row>
    <row r="228" spans="1:8" ht="26.25" customHeight="1" x14ac:dyDescent="0.25">
      <c r="A228" s="73" t="s">
        <v>1030</v>
      </c>
      <c r="B228" s="1130" t="s">
        <v>1031</v>
      </c>
      <c r="C228" s="1131"/>
      <c r="D228" s="1131"/>
      <c r="E228" s="1132"/>
      <c r="F228" s="1132"/>
    </row>
    <row r="229" spans="1:8" ht="27.75" customHeight="1" x14ac:dyDescent="0.25">
      <c r="A229" s="73" t="s">
        <v>1032</v>
      </c>
      <c r="B229" s="1130" t="s">
        <v>1033</v>
      </c>
      <c r="C229" s="1131"/>
      <c r="D229" s="1131"/>
      <c r="E229" s="1132"/>
      <c r="F229" s="1132"/>
    </row>
    <row r="230" spans="1:8" ht="25.5" customHeight="1" x14ac:dyDescent="0.25">
      <c r="A230" s="86" t="s">
        <v>1034</v>
      </c>
      <c r="B230" s="1130" t="s">
        <v>1035</v>
      </c>
      <c r="C230" s="1131"/>
      <c r="D230" s="1131"/>
      <c r="E230" s="1132"/>
      <c r="F230" s="1132"/>
    </row>
    <row r="231" spans="1:8" ht="39.9" customHeight="1" x14ac:dyDescent="0.25">
      <c r="A231" s="73" t="s">
        <v>1036</v>
      </c>
      <c r="B231" s="1124" t="s">
        <v>1999</v>
      </c>
      <c r="C231" s="1125"/>
      <c r="D231" s="1125"/>
      <c r="E231" s="1133"/>
      <c r="F231" s="1133"/>
      <c r="G231" s="292"/>
    </row>
    <row r="232" spans="1:8" ht="26.1" customHeight="1" x14ac:dyDescent="0.25">
      <c r="A232" s="73" t="s">
        <v>1037</v>
      </c>
      <c r="B232" s="1124" t="s">
        <v>1966</v>
      </c>
      <c r="C232" s="1125"/>
      <c r="D232" s="1125"/>
      <c r="E232" s="1126"/>
      <c r="F232" s="1126"/>
      <c r="G232" s="1126"/>
    </row>
    <row r="233" spans="1:8" ht="12.75" customHeight="1" x14ac:dyDescent="0.25">
      <c r="A233" s="73"/>
      <c r="B233" s="1130" t="s">
        <v>1029</v>
      </c>
      <c r="C233" s="1131"/>
      <c r="D233" s="1013" t="s">
        <v>2690</v>
      </c>
      <c r="E233" s="965" t="s">
        <v>1998</v>
      </c>
      <c r="F233" s="1010" t="s">
        <v>86</v>
      </c>
      <c r="G233" s="593"/>
    </row>
    <row r="234" spans="1:8" ht="12.75" customHeight="1" x14ac:dyDescent="0.25">
      <c r="A234" s="73" t="s">
        <v>1038</v>
      </c>
      <c r="B234" s="1124" t="s">
        <v>2529</v>
      </c>
      <c r="C234" s="1125"/>
      <c r="D234" s="1125"/>
      <c r="E234" s="1126"/>
      <c r="F234" s="1126"/>
      <c r="G234" s="1126"/>
      <c r="H234" s="1126"/>
    </row>
    <row r="235" spans="1:8" ht="12.75" customHeight="1" x14ac:dyDescent="0.25">
      <c r="A235" s="73" t="s">
        <v>1039</v>
      </c>
      <c r="B235" s="1124" t="s">
        <v>2530</v>
      </c>
      <c r="C235" s="1125"/>
      <c r="D235" s="1125"/>
      <c r="E235" s="1126"/>
      <c r="F235" s="1126"/>
      <c r="G235" s="1126"/>
    </row>
    <row r="236" spans="1:8" ht="25.5" customHeight="1" x14ac:dyDescent="0.25">
      <c r="A236" s="570" t="s">
        <v>1904</v>
      </c>
      <c r="B236" s="1124" t="s">
        <v>2023</v>
      </c>
      <c r="C236" s="1125"/>
      <c r="D236" s="1125"/>
      <c r="E236" s="1133"/>
      <c r="F236" s="1133"/>
      <c r="G236" s="292"/>
    </row>
    <row r="237" spans="1:8" x14ac:dyDescent="0.25">
      <c r="A237" s="570" t="s">
        <v>2000</v>
      </c>
      <c r="B237" s="548" t="s">
        <v>2063</v>
      </c>
      <c r="C237" s="39"/>
      <c r="E237" s="39"/>
      <c r="F237" s="39"/>
      <c r="G237" s="292"/>
    </row>
    <row r="238" spans="1:8" x14ac:dyDescent="0.25">
      <c r="A238" s="570" t="s">
        <v>2029</v>
      </c>
      <c r="B238" s="548" t="s">
        <v>2158</v>
      </c>
      <c r="C238" s="39"/>
      <c r="E238" s="292"/>
      <c r="F238" s="292"/>
      <c r="G238" s="292"/>
    </row>
    <row r="239" spans="1:8" x14ac:dyDescent="0.25">
      <c r="A239" s="39"/>
      <c r="B239" s="548" t="s">
        <v>2159</v>
      </c>
      <c r="C239" s="39"/>
      <c r="E239" s="292"/>
      <c r="F239" s="292"/>
      <c r="G239" s="292"/>
    </row>
    <row r="240" spans="1:8" x14ac:dyDescent="0.25">
      <c r="A240" s="39"/>
      <c r="B240" s="548" t="s">
        <v>2160</v>
      </c>
      <c r="C240" s="39"/>
      <c r="E240" s="292"/>
      <c r="F240" s="292"/>
      <c r="G240" s="292"/>
    </row>
    <row r="241" spans="1:7" x14ac:dyDescent="0.25">
      <c r="A241" s="39"/>
      <c r="B241" s="548" t="s">
        <v>2161</v>
      </c>
      <c r="C241" s="39"/>
      <c r="E241" s="292"/>
      <c r="F241" s="292"/>
      <c r="G241" s="292"/>
    </row>
  </sheetData>
  <autoFilter ref="A1:O237"/>
  <mergeCells count="46">
    <mergeCell ref="B236:F236"/>
    <mergeCell ref="J2:M2"/>
    <mergeCell ref="G2:I2"/>
    <mergeCell ref="B185:D185"/>
    <mergeCell ref="B153:D153"/>
    <mergeCell ref="B68:D68"/>
    <mergeCell ref="B37:D37"/>
    <mergeCell ref="B29:D29"/>
    <mergeCell ref="B184:D184"/>
    <mergeCell ref="B162:D162"/>
    <mergeCell ref="B9:D9"/>
    <mergeCell ref="B10:D10"/>
    <mergeCell ref="B36:D36"/>
    <mergeCell ref="B28:D28"/>
    <mergeCell ref="B67:D67"/>
    <mergeCell ref="B129:D129"/>
    <mergeCell ref="B229:F229"/>
    <mergeCell ref="B220:F220"/>
    <mergeCell ref="B188:C188"/>
    <mergeCell ref="B189:C189"/>
    <mergeCell ref="B191:C191"/>
    <mergeCell ref="B196:D196"/>
    <mergeCell ref="B198:D198"/>
    <mergeCell ref="B197:D197"/>
    <mergeCell ref="B190:C190"/>
    <mergeCell ref="B221:F221"/>
    <mergeCell ref="B222:F222"/>
    <mergeCell ref="B224:F224"/>
    <mergeCell ref="B223:F223"/>
    <mergeCell ref="B228:F228"/>
    <mergeCell ref="B234:H234"/>
    <mergeCell ref="B235:G235"/>
    <mergeCell ref="B128:D128"/>
    <mergeCell ref="B230:F230"/>
    <mergeCell ref="B231:F231"/>
    <mergeCell ref="B233:C233"/>
    <mergeCell ref="B232:G232"/>
    <mergeCell ref="B158:D158"/>
    <mergeCell ref="B183:D183"/>
    <mergeCell ref="B163:D163"/>
    <mergeCell ref="B192:C192"/>
    <mergeCell ref="B219:D219"/>
    <mergeCell ref="B157:D157"/>
    <mergeCell ref="B152:D152"/>
    <mergeCell ref="B227:C227"/>
    <mergeCell ref="B225:F226"/>
  </mergeCells>
  <conditionalFormatting sqref="A223:A224 C159:C161 C130:C151 D73 C2:C8 C154:C156 C238:C65547 A228:A229 C163:C172 A231:A234 C30:C35 C38:C66 C69:C127 C200:C214 A236:A237 C11:C27 C217:C218">
    <cfRule type="cellIs" dxfId="5" priority="6" stopIfTrue="1" operator="between">
      <formula>4990000</formula>
      <formula>4999999</formula>
    </cfRule>
  </conditionalFormatting>
  <conditionalFormatting sqref="A235">
    <cfRule type="cellIs" dxfId="4" priority="5" stopIfTrue="1" operator="between">
      <formula>4990000</formula>
      <formula>4999999</formula>
    </cfRule>
  </conditionalFormatting>
  <conditionalFormatting sqref="A225:A227">
    <cfRule type="cellIs" dxfId="3" priority="4" stopIfTrue="1" operator="between">
      <formula>4990000</formula>
      <formula>4999999</formula>
    </cfRule>
  </conditionalFormatting>
  <conditionalFormatting sqref="K215:K216 Q215:Q216 Y215:Y216 AG215:AG216 AO215:AO216 AW215:AW216 BE215:BE216 BM215:BM216 BU215:BU216 CC215:CC216 CK215:CK216 CS215:CS216 DA215:DA216 DI215:DI216 DQ215:DQ216 DY215:DY216 EG215:EG216 EO215:EO216 EW215:EW216 FE215:FE216 FM215:FM216 FU215:FU216 GC215:GC216 GK215:GK216 GS215:GS216 HA215:HA216 HI215:HI216 HQ215:HQ216 HY215:HY216 IG215:IG216 IO215:IO216">
    <cfRule type="cellIs" dxfId="2" priority="3" stopIfTrue="1" operator="between">
      <formula>4990000</formula>
      <formula>4999999</formula>
    </cfRule>
  </conditionalFormatting>
  <conditionalFormatting sqref="C215:C216">
    <cfRule type="cellIs" dxfId="1" priority="2" stopIfTrue="1" operator="between">
      <formula>4990000</formula>
      <formula>4999999</formula>
    </cfRule>
  </conditionalFormatting>
  <conditionalFormatting sqref="A238">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 xml:space="preserve">&amp;C&amp;"Arial,Bold"Schedule 21
Revenue Credits
</oddHeader>
    <oddFooter>&amp;R21-RevenueCredits</oddFooter>
  </headerFooter>
  <rowBreaks count="3" manualBreakCount="3">
    <brk id="68" max="16383" man="1"/>
    <brk id="129" max="16383" man="1"/>
    <brk id="185"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85" zoomScaleNormal="85" workbookViewId="0"/>
  </sheetViews>
  <sheetFormatPr defaultRowHeight="13.2" x14ac:dyDescent="0.25"/>
  <cols>
    <col min="1" max="1" width="4.6640625" style="59" customWidth="1"/>
    <col min="2" max="2" width="14" customWidth="1"/>
    <col min="3" max="3" width="26.88671875" customWidth="1"/>
    <col min="4" max="4" width="28.5546875" customWidth="1"/>
    <col min="5" max="5" width="16.33203125" bestFit="1" customWidth="1"/>
    <col min="6" max="6" width="20.6640625" style="355" customWidth="1"/>
    <col min="7" max="7" width="9.6640625" customWidth="1"/>
  </cols>
  <sheetData>
    <row r="1" spans="1:7" x14ac:dyDescent="0.25">
      <c r="A1" s="83" t="s">
        <v>1184</v>
      </c>
      <c r="C1" s="83"/>
      <c r="D1" s="83"/>
      <c r="E1" s="83"/>
    </row>
    <row r="2" spans="1:7" x14ac:dyDescent="0.25">
      <c r="A2" s="83"/>
      <c r="C2" s="83"/>
      <c r="D2" s="83"/>
      <c r="E2" s="885" t="s">
        <v>1975</v>
      </c>
      <c r="F2" s="233" t="s">
        <v>1562</v>
      </c>
    </row>
    <row r="3" spans="1:7" x14ac:dyDescent="0.25">
      <c r="B3" s="83" t="s">
        <v>1221</v>
      </c>
      <c r="C3" s="83"/>
      <c r="D3" s="83"/>
      <c r="E3" s="83"/>
    </row>
    <row r="4" spans="1:7" ht="14.4" x14ac:dyDescent="0.3">
      <c r="A4" s="49" t="s">
        <v>360</v>
      </c>
      <c r="C4" s="83"/>
      <c r="E4" s="3" t="s">
        <v>1054</v>
      </c>
      <c r="F4" s="356" t="s">
        <v>187</v>
      </c>
    </row>
    <row r="5" spans="1:7" ht="14.4" x14ac:dyDescent="0.3">
      <c r="A5" s="225">
        <v>1</v>
      </c>
      <c r="B5" s="48" t="s">
        <v>1185</v>
      </c>
      <c r="C5" s="48"/>
      <c r="D5" s="357"/>
      <c r="E5" s="977">
        <v>0</v>
      </c>
      <c r="F5" s="1019" t="s">
        <v>236</v>
      </c>
    </row>
    <row r="6" spans="1:7" ht="15.6" x14ac:dyDescent="0.4">
      <c r="A6" s="225">
        <v>2</v>
      </c>
      <c r="B6" s="357" t="s">
        <v>1186</v>
      </c>
      <c r="C6" s="357"/>
      <c r="D6" s="357"/>
      <c r="E6" s="978">
        <v>0</v>
      </c>
      <c r="F6" s="1019" t="s">
        <v>33</v>
      </c>
    </row>
    <row r="7" spans="1:7" ht="14.4" x14ac:dyDescent="0.3">
      <c r="A7" s="225">
        <v>3</v>
      </c>
      <c r="B7" s="48" t="s">
        <v>1187</v>
      </c>
      <c r="C7" s="48"/>
      <c r="D7" s="48"/>
      <c r="E7" s="986">
        <v>0</v>
      </c>
      <c r="F7" s="470" t="str">
        <f>"Line "&amp;A5&amp;" + Line "&amp;A6&amp;""</f>
        <v>Line 1 + Line 2</v>
      </c>
    </row>
    <row r="8" spans="1:7" ht="15" x14ac:dyDescent="0.3">
      <c r="A8" s="358">
        <v>4</v>
      </c>
      <c r="B8" s="1153" t="s">
        <v>1188</v>
      </c>
      <c r="C8" s="1154"/>
      <c r="D8" s="1154"/>
      <c r="E8" s="977">
        <v>0</v>
      </c>
      <c r="F8" s="1019" t="s">
        <v>1365</v>
      </c>
      <c r="G8" s="346"/>
    </row>
    <row r="9" spans="1:7" ht="14.4" x14ac:dyDescent="0.3">
      <c r="A9" s="358"/>
      <c r="B9" s="359"/>
      <c r="C9" s="360"/>
      <c r="D9" s="360"/>
      <c r="E9" s="361"/>
      <c r="F9" s="1021"/>
      <c r="G9" s="346"/>
    </row>
    <row r="10" spans="1:7" ht="14.4" x14ac:dyDescent="0.3">
      <c r="A10" s="358"/>
      <c r="B10" s="83" t="s">
        <v>1222</v>
      </c>
      <c r="C10" s="360"/>
      <c r="D10" s="360"/>
      <c r="E10" s="361"/>
      <c r="F10" s="1020"/>
      <c r="G10" s="346"/>
    </row>
    <row r="11" spans="1:7" ht="14.4" x14ac:dyDescent="0.3">
      <c r="A11" s="362"/>
      <c r="B11" s="48"/>
      <c r="C11" s="48"/>
      <c r="D11" s="48"/>
      <c r="E11" s="56"/>
      <c r="F11" s="1020"/>
      <c r="G11" s="346"/>
    </row>
    <row r="12" spans="1:7" ht="14.4" x14ac:dyDescent="0.3">
      <c r="A12" s="362">
        <v>5</v>
      </c>
      <c r="B12" s="48" t="s">
        <v>1185</v>
      </c>
      <c r="C12" s="48"/>
      <c r="D12" s="48"/>
      <c r="E12" s="977">
        <v>0</v>
      </c>
      <c r="F12" s="1019" t="s">
        <v>311</v>
      </c>
      <c r="G12" s="346"/>
    </row>
    <row r="13" spans="1:7" ht="15.6" x14ac:dyDescent="0.4">
      <c r="A13" s="362">
        <v>6</v>
      </c>
      <c r="B13" s="48" t="s">
        <v>1186</v>
      </c>
      <c r="C13" s="48"/>
      <c r="D13" s="48"/>
      <c r="E13" s="978">
        <v>0</v>
      </c>
      <c r="F13" s="1019" t="s">
        <v>33</v>
      </c>
      <c r="G13" s="346"/>
    </row>
    <row r="14" spans="1:7" ht="14.4" x14ac:dyDescent="0.3">
      <c r="A14" s="362">
        <v>7</v>
      </c>
      <c r="B14" s="48" t="s">
        <v>1187</v>
      </c>
      <c r="C14" s="48"/>
      <c r="D14" s="48"/>
      <c r="E14" s="986">
        <v>0</v>
      </c>
      <c r="F14" s="470" t="str">
        <f>"Line "&amp;A12&amp;" + Line "&amp;A13&amp;""</f>
        <v>Line 5 + Line 6</v>
      </c>
      <c r="G14" s="346"/>
    </row>
    <row r="15" spans="1:7" ht="15" x14ac:dyDescent="0.3">
      <c r="A15" s="358">
        <v>8</v>
      </c>
      <c r="B15" s="1153" t="s">
        <v>1189</v>
      </c>
      <c r="C15" s="1154"/>
      <c r="D15" s="1154"/>
      <c r="E15" s="977">
        <v>0</v>
      </c>
      <c r="F15" s="1019" t="s">
        <v>1190</v>
      </c>
      <c r="G15" s="346"/>
    </row>
    <row r="16" spans="1:7" ht="14.4" x14ac:dyDescent="0.3">
      <c r="A16" s="225"/>
      <c r="B16" s="48"/>
      <c r="C16" s="48"/>
      <c r="D16" s="48"/>
      <c r="E16" s="56"/>
      <c r="F16" s="1019"/>
    </row>
    <row r="17" spans="1:7" ht="14.4" x14ac:dyDescent="0.3">
      <c r="A17" s="225">
        <v>9</v>
      </c>
      <c r="B17" s="48" t="s">
        <v>1191</v>
      </c>
      <c r="C17" s="48"/>
      <c r="D17" s="48"/>
      <c r="E17" s="56">
        <f>(E5+E12)/2</f>
        <v>0</v>
      </c>
      <c r="F17" s="470" t="str">
        <f>"(Line "&amp;A5&amp;" + Line "&amp;A12&amp;") / 2"</f>
        <v>(Line 1 + Line 5) / 2</v>
      </c>
      <c r="G17" s="363"/>
    </row>
    <row r="18" spans="1:7" ht="14.4" x14ac:dyDescent="0.3">
      <c r="A18" s="225"/>
      <c r="B18" s="357"/>
      <c r="C18" s="364"/>
      <c r="D18" s="365"/>
      <c r="E18" s="366"/>
      <c r="F18" s="1019"/>
    </row>
    <row r="19" spans="1:7" ht="14.4" x14ac:dyDescent="0.3">
      <c r="A19" s="225">
        <v>10</v>
      </c>
      <c r="B19" s="357" t="s">
        <v>1192</v>
      </c>
      <c r="C19" s="364"/>
      <c r="D19" s="364"/>
      <c r="E19" s="977">
        <v>0</v>
      </c>
      <c r="F19" s="1019" t="s">
        <v>1045</v>
      </c>
    </row>
    <row r="20" spans="1:7" ht="15.6" x14ac:dyDescent="0.4">
      <c r="A20" s="225">
        <v>11</v>
      </c>
      <c r="B20" s="357" t="s">
        <v>1193</v>
      </c>
      <c r="C20" s="364"/>
      <c r="D20" s="364"/>
      <c r="E20" s="978">
        <v>0</v>
      </c>
      <c r="F20" s="1019" t="s">
        <v>33</v>
      </c>
    </row>
    <row r="21" spans="1:7" ht="14.4" x14ac:dyDescent="0.3">
      <c r="A21" s="225">
        <v>12</v>
      </c>
      <c r="B21" s="357" t="s">
        <v>1194</v>
      </c>
      <c r="C21" s="364"/>
      <c r="D21" s="364"/>
      <c r="E21" s="986">
        <v>0</v>
      </c>
      <c r="F21" s="470" t="str">
        <f>"Line "&amp;A19&amp;" + Line "&amp;A20&amp;""</f>
        <v>Line 10 + Line 11</v>
      </c>
    </row>
    <row r="22" spans="1:7" ht="14.4" x14ac:dyDescent="0.3">
      <c r="A22" s="225">
        <v>13</v>
      </c>
      <c r="B22" s="1153" t="s">
        <v>1195</v>
      </c>
      <c r="C22" s="1154"/>
      <c r="D22" s="1154"/>
      <c r="E22" s="977">
        <v>0</v>
      </c>
      <c r="F22" s="1019" t="s">
        <v>1196</v>
      </c>
    </row>
    <row r="23" spans="1:7" x14ac:dyDescent="0.25">
      <c r="C23" s="58"/>
      <c r="D23" s="58"/>
    </row>
    <row r="24" spans="1:7" x14ac:dyDescent="0.25">
      <c r="C24" s="58"/>
      <c r="D24" s="58"/>
    </row>
    <row r="25" spans="1:7" x14ac:dyDescent="0.25">
      <c r="A25" s="49" t="s">
        <v>256</v>
      </c>
    </row>
    <row r="26" spans="1:7" x14ac:dyDescent="0.25">
      <c r="A26" s="59">
        <v>1</v>
      </c>
      <c r="B26" s="11" t="s">
        <v>1220</v>
      </c>
    </row>
    <row r="27" spans="1:7" x14ac:dyDescent="0.25">
      <c r="A27" s="59">
        <v>2</v>
      </c>
      <c r="B27" s="11" t="s">
        <v>1223</v>
      </c>
    </row>
    <row r="28" spans="1:7" x14ac:dyDescent="0.25">
      <c r="A28" s="59">
        <v>3</v>
      </c>
      <c r="B28" t="s">
        <v>1901</v>
      </c>
    </row>
    <row r="29" spans="1:7" x14ac:dyDescent="0.25">
      <c r="A29" s="59">
        <v>4</v>
      </c>
      <c r="B29" t="s">
        <v>2455</v>
      </c>
      <c r="E29" s="367"/>
    </row>
    <row r="30" spans="1:7" x14ac:dyDescent="0.25">
      <c r="B30" t="s">
        <v>2454</v>
      </c>
      <c r="E30" s="367"/>
    </row>
    <row r="31" spans="1:7" x14ac:dyDescent="0.25">
      <c r="E31" s="367"/>
    </row>
    <row r="32" spans="1:7" x14ac:dyDescent="0.25">
      <c r="A32"/>
      <c r="E32" s="367"/>
    </row>
    <row r="33" spans="1:5" x14ac:dyDescent="0.25">
      <c r="A33"/>
      <c r="E33" s="367"/>
    </row>
    <row r="34" spans="1:5" x14ac:dyDescent="0.25">
      <c r="A34"/>
      <c r="E34" s="367"/>
    </row>
    <row r="35" spans="1:5" x14ac:dyDescent="0.25">
      <c r="A35"/>
      <c r="E35" s="367"/>
    </row>
    <row r="39" spans="1:5" x14ac:dyDescent="0.25">
      <c r="A39"/>
      <c r="C39" s="97"/>
      <c r="D39" s="97"/>
      <c r="E39" s="97"/>
    </row>
    <row r="40" spans="1:5" x14ac:dyDescent="0.25">
      <c r="A40"/>
      <c r="C40" s="97"/>
      <c r="D40" s="97"/>
      <c r="E40" s="97"/>
    </row>
    <row r="41" spans="1:5" x14ac:dyDescent="0.25">
      <c r="A41"/>
      <c r="C41" s="97"/>
      <c r="D41" s="97"/>
      <c r="E41" s="97"/>
    </row>
    <row r="42" spans="1:5" x14ac:dyDescent="0.25">
      <c r="A42"/>
      <c r="C42" s="97"/>
      <c r="D42" s="97"/>
      <c r="E42" s="97"/>
    </row>
    <row r="43" spans="1:5" x14ac:dyDescent="0.25">
      <c r="A43"/>
      <c r="C43" s="97"/>
      <c r="D43" s="97"/>
      <c r="E43" s="97"/>
    </row>
    <row r="44" spans="1:5" x14ac:dyDescent="0.25">
      <c r="A44"/>
      <c r="C44" s="97"/>
      <c r="D44" s="97"/>
      <c r="E44" s="97"/>
    </row>
    <row r="45" spans="1:5" x14ac:dyDescent="0.25">
      <c r="A45"/>
      <c r="C45" s="97"/>
      <c r="D45" s="97"/>
      <c r="E45" s="97"/>
    </row>
    <row r="46" spans="1:5" x14ac:dyDescent="0.25">
      <c r="A46"/>
      <c r="C46" s="97"/>
      <c r="D46" s="97"/>
      <c r="E46" s="97"/>
    </row>
    <row r="47" spans="1:5" x14ac:dyDescent="0.25">
      <c r="A47"/>
      <c r="C47" s="97"/>
      <c r="D47" s="97"/>
      <c r="E47" s="97"/>
    </row>
    <row r="48" spans="1:5" x14ac:dyDescent="0.25">
      <c r="A48"/>
      <c r="C48" s="97"/>
      <c r="D48" s="97"/>
      <c r="E48" s="97"/>
    </row>
    <row r="49" spans="1:5" x14ac:dyDescent="0.25">
      <c r="A49"/>
      <c r="C49" s="97"/>
      <c r="D49" s="97"/>
      <c r="E49" s="97"/>
    </row>
    <row r="50" spans="1:5" x14ac:dyDescent="0.25">
      <c r="A50"/>
      <c r="C50" s="97"/>
      <c r="D50" s="97"/>
      <c r="E50" s="97"/>
    </row>
    <row r="51" spans="1:5" x14ac:dyDescent="0.25">
      <c r="A51"/>
      <c r="C51" s="97"/>
      <c r="D51" s="97"/>
      <c r="E51" s="97"/>
    </row>
    <row r="54" spans="1:5" x14ac:dyDescent="0.25">
      <c r="A54"/>
      <c r="E54" s="97"/>
    </row>
  </sheetData>
  <mergeCells count="3">
    <mergeCell ref="B8:D8"/>
    <mergeCell ref="B15:D15"/>
    <mergeCell ref="B22:D22"/>
  </mergeCells>
  <pageMargins left="0.7" right="0.7" top="0.75" bottom="0.75" header="0.3" footer="0.3"/>
  <pageSetup scale="75" orientation="portrait" cellComments="asDisplayed" r:id="rId1"/>
  <headerFooter>
    <oddHeader xml:space="preserve">&amp;C&amp;"Arial,Bold"Schedule 22
Network Upgrade Credits and Interest Expense&amp;"Arial,Regular"
</oddHeader>
    <oddFooter>&amp;R22-NUCs</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defaultRowHeight="13.2" x14ac:dyDescent="0.25"/>
  <cols>
    <col min="1" max="1" width="4.6640625" customWidth="1"/>
    <col min="2" max="2" width="30.6640625" customWidth="1"/>
    <col min="3" max="5" width="15.6640625" customWidth="1"/>
    <col min="6" max="6" width="3.6640625" customWidth="1"/>
    <col min="7" max="8" width="10.6640625" customWidth="1"/>
  </cols>
  <sheetData>
    <row r="1" spans="1:9" x14ac:dyDescent="0.25">
      <c r="A1" s="706" t="s">
        <v>1953</v>
      </c>
      <c r="B1" s="707"/>
      <c r="C1" s="707"/>
      <c r="D1" s="707"/>
      <c r="E1" s="707"/>
      <c r="F1" s="707"/>
      <c r="G1" s="707"/>
      <c r="H1" s="13"/>
      <c r="I1" s="13"/>
    </row>
    <row r="2" spans="1:9" x14ac:dyDescent="0.25">
      <c r="A2" s="13"/>
      <c r="B2" s="13"/>
      <c r="C2" s="13"/>
      <c r="D2" s="13"/>
      <c r="E2" s="13"/>
      <c r="F2" s="13"/>
      <c r="G2" s="13"/>
      <c r="H2" s="13"/>
      <c r="I2" s="13"/>
    </row>
    <row r="3" spans="1:9" x14ac:dyDescent="0.25">
      <c r="A3" s="708" t="s">
        <v>360</v>
      </c>
      <c r="B3" s="707"/>
      <c r="C3" s="707"/>
      <c r="D3" s="707"/>
      <c r="E3" s="707"/>
      <c r="F3" s="707"/>
      <c r="G3" s="707"/>
      <c r="H3" s="13"/>
      <c r="I3" s="13"/>
    </row>
    <row r="4" spans="1:9" x14ac:dyDescent="0.25">
      <c r="A4" s="709">
        <v>1</v>
      </c>
      <c r="B4" s="590" t="s">
        <v>1942</v>
      </c>
      <c r="C4" s="707"/>
      <c r="D4" s="707"/>
      <c r="E4" s="707"/>
      <c r="F4" s="707"/>
      <c r="G4" s="707"/>
      <c r="H4" s="13"/>
      <c r="I4" s="13"/>
    </row>
    <row r="5" spans="1:9" x14ac:dyDescent="0.25">
      <c r="A5" s="709">
        <v>2</v>
      </c>
      <c r="B5" s="590" t="s">
        <v>1943</v>
      </c>
      <c r="C5" s="707"/>
      <c r="D5" s="707"/>
      <c r="E5" s="707"/>
      <c r="F5" s="707"/>
      <c r="G5" s="707"/>
      <c r="H5" s="13"/>
      <c r="I5" s="13"/>
    </row>
    <row r="6" spans="1:9" x14ac:dyDescent="0.25">
      <c r="A6" s="709">
        <v>3</v>
      </c>
      <c r="B6" s="590" t="s">
        <v>1944</v>
      </c>
      <c r="C6" s="707"/>
      <c r="D6" s="707"/>
      <c r="E6" s="707"/>
      <c r="F6" s="707"/>
      <c r="G6" s="707"/>
      <c r="H6" s="13"/>
      <c r="I6" s="13"/>
    </row>
    <row r="7" spans="1:9" x14ac:dyDescent="0.25">
      <c r="A7" s="709">
        <v>4</v>
      </c>
      <c r="B7" s="707"/>
      <c r="C7" s="707"/>
      <c r="D7" s="707"/>
      <c r="E7" s="707"/>
      <c r="F7" s="707"/>
      <c r="G7" s="707"/>
      <c r="H7" s="13"/>
      <c r="I7" s="13"/>
    </row>
    <row r="8" spans="1:9" x14ac:dyDescent="0.25">
      <c r="A8" s="709">
        <v>5</v>
      </c>
      <c r="B8" s="590" t="s">
        <v>456</v>
      </c>
      <c r="C8" s="707"/>
      <c r="D8" s="707"/>
      <c r="E8" s="707"/>
      <c r="F8" s="707"/>
      <c r="G8" s="707"/>
      <c r="H8" s="13"/>
      <c r="I8" s="13"/>
    </row>
    <row r="9" spans="1:9" x14ac:dyDescent="0.25">
      <c r="A9" s="709">
        <v>6</v>
      </c>
      <c r="B9" s="590" t="s">
        <v>455</v>
      </c>
      <c r="C9" s="707"/>
      <c r="D9" s="707"/>
      <c r="E9" s="707"/>
      <c r="F9" s="707"/>
      <c r="G9" s="707"/>
      <c r="H9" s="13"/>
      <c r="I9" s="13"/>
    </row>
    <row r="10" spans="1:9" x14ac:dyDescent="0.25">
      <c r="A10" s="709">
        <v>7</v>
      </c>
      <c r="B10" s="707"/>
      <c r="C10" s="707"/>
      <c r="D10" s="707"/>
      <c r="E10" s="707"/>
      <c r="F10" s="707"/>
      <c r="G10" s="707"/>
      <c r="H10" s="13"/>
      <c r="I10" s="13"/>
    </row>
    <row r="11" spans="1:9" x14ac:dyDescent="0.25">
      <c r="A11" s="709">
        <v>8</v>
      </c>
      <c r="B11" s="590" t="s">
        <v>1945</v>
      </c>
      <c r="C11" s="707"/>
      <c r="D11" s="707"/>
      <c r="E11" s="707"/>
      <c r="F11" s="707"/>
      <c r="G11" s="707"/>
      <c r="H11" s="13"/>
      <c r="I11" s="13"/>
    </row>
    <row r="12" spans="1:9" x14ac:dyDescent="0.25">
      <c r="A12" s="709">
        <v>9</v>
      </c>
      <c r="B12" s="590" t="s">
        <v>1946</v>
      </c>
      <c r="C12" s="707"/>
      <c r="D12" s="707"/>
      <c r="E12" s="707"/>
      <c r="F12" s="707"/>
      <c r="G12" s="707"/>
      <c r="H12" s="13"/>
      <c r="I12" s="13"/>
    </row>
    <row r="13" spans="1:9" x14ac:dyDescent="0.25">
      <c r="A13" s="709">
        <v>10</v>
      </c>
      <c r="B13" s="590" t="s">
        <v>1947</v>
      </c>
      <c r="C13" s="707"/>
      <c r="D13" s="707"/>
      <c r="E13" s="707"/>
      <c r="F13" s="707"/>
      <c r="G13" s="707"/>
      <c r="H13" s="13"/>
      <c r="I13" s="13"/>
    </row>
    <row r="14" spans="1:9" x14ac:dyDescent="0.25">
      <c r="A14" s="709">
        <v>11</v>
      </c>
      <c r="B14" s="707"/>
      <c r="C14" s="707"/>
      <c r="D14" s="707"/>
      <c r="E14" s="707"/>
      <c r="F14" s="707"/>
      <c r="G14" s="707"/>
      <c r="H14" s="13"/>
      <c r="I14" s="13"/>
    </row>
    <row r="15" spans="1:9" x14ac:dyDescent="0.25">
      <c r="A15" s="709">
        <v>12</v>
      </c>
      <c r="B15" s="590"/>
      <c r="C15" s="707"/>
      <c r="D15" s="707"/>
      <c r="E15" s="709" t="s">
        <v>73</v>
      </c>
      <c r="F15" s="707"/>
      <c r="G15" s="707"/>
      <c r="H15" s="13"/>
      <c r="I15" s="13"/>
    </row>
    <row r="16" spans="1:9" x14ac:dyDescent="0.25">
      <c r="A16" s="709">
        <v>13</v>
      </c>
      <c r="B16" s="707"/>
      <c r="C16" s="707"/>
      <c r="D16" s="707"/>
      <c r="E16" s="886" t="s">
        <v>194</v>
      </c>
      <c r="F16" s="707"/>
      <c r="G16" s="887" t="s">
        <v>2253</v>
      </c>
      <c r="H16" s="13"/>
      <c r="I16" s="13"/>
    </row>
    <row r="17" spans="1:10" x14ac:dyDescent="0.25">
      <c r="A17" s="709">
        <v>14</v>
      </c>
      <c r="B17" s="590" t="s">
        <v>457</v>
      </c>
      <c r="C17" s="707"/>
      <c r="D17" s="707"/>
      <c r="E17" s="986">
        <v>0</v>
      </c>
      <c r="F17" s="707"/>
      <c r="G17" s="590" t="s">
        <v>556</v>
      </c>
      <c r="H17" s="13"/>
      <c r="I17" s="13"/>
    </row>
    <row r="18" spans="1:10" x14ac:dyDescent="0.25">
      <c r="A18" s="709">
        <v>15</v>
      </c>
      <c r="B18" s="590" t="s">
        <v>1851</v>
      </c>
      <c r="C18" s="707"/>
      <c r="D18" s="707"/>
      <c r="E18" s="986">
        <v>0</v>
      </c>
      <c r="F18" s="707"/>
      <c r="G18" s="590" t="s">
        <v>2254</v>
      </c>
      <c r="H18" s="13"/>
      <c r="I18" s="13"/>
      <c r="J18" s="13"/>
    </row>
    <row r="19" spans="1:10" x14ac:dyDescent="0.25">
      <c r="A19" s="709">
        <v>16</v>
      </c>
      <c r="B19" s="590" t="s">
        <v>1948</v>
      </c>
      <c r="C19" s="707"/>
      <c r="D19" s="707"/>
      <c r="E19" s="986">
        <v>0</v>
      </c>
      <c r="F19" s="707"/>
      <c r="G19" s="590" t="s">
        <v>2255</v>
      </c>
      <c r="H19" s="13"/>
      <c r="I19" s="13"/>
    </row>
    <row r="20" spans="1:10" x14ac:dyDescent="0.25">
      <c r="A20" s="584"/>
      <c r="B20" s="585"/>
      <c r="C20" s="582"/>
      <c r="D20" s="582"/>
      <c r="E20" s="588"/>
      <c r="F20" s="582"/>
      <c r="G20" s="582"/>
    </row>
    <row r="21" spans="1:10" x14ac:dyDescent="0.25">
      <c r="A21" s="584"/>
      <c r="B21" s="582"/>
      <c r="C21" s="714" t="s">
        <v>394</v>
      </c>
      <c r="D21" s="714" t="s">
        <v>378</v>
      </c>
      <c r="E21" s="714" t="s">
        <v>379</v>
      </c>
      <c r="F21" s="707"/>
      <c r="G21" s="707"/>
      <c r="H21" s="13"/>
    </row>
    <row r="22" spans="1:10" x14ac:dyDescent="0.25">
      <c r="A22" s="584"/>
      <c r="B22" s="582"/>
      <c r="C22" s="709" t="s">
        <v>73</v>
      </c>
      <c r="D22" s="709" t="s">
        <v>73</v>
      </c>
      <c r="E22" s="709" t="s">
        <v>73</v>
      </c>
      <c r="F22" s="707"/>
      <c r="G22" s="707"/>
      <c r="H22" s="13"/>
    </row>
    <row r="23" spans="1:10" ht="14.4" x14ac:dyDescent="0.3">
      <c r="A23" s="584"/>
      <c r="B23" s="584" t="s">
        <v>458</v>
      </c>
      <c r="C23" s="709" t="s">
        <v>423</v>
      </c>
      <c r="D23" s="709" t="s">
        <v>330</v>
      </c>
      <c r="E23" s="888" t="s">
        <v>1949</v>
      </c>
      <c r="F23" s="707"/>
      <c r="G23" s="889" t="s">
        <v>2256</v>
      </c>
      <c r="H23" s="890"/>
    </row>
    <row r="24" spans="1:10" x14ac:dyDescent="0.25">
      <c r="A24" s="584"/>
      <c r="B24" s="584" t="s">
        <v>459</v>
      </c>
      <c r="C24" s="709" t="s">
        <v>464</v>
      </c>
      <c r="D24" s="709" t="s">
        <v>464</v>
      </c>
      <c r="E24" s="709" t="s">
        <v>465</v>
      </c>
      <c r="F24" s="707"/>
      <c r="G24" s="889" t="s">
        <v>2257</v>
      </c>
      <c r="H24" s="890"/>
    </row>
    <row r="25" spans="1:10" x14ac:dyDescent="0.25">
      <c r="A25" s="584"/>
      <c r="B25" s="586" t="s">
        <v>460</v>
      </c>
      <c r="C25" s="886" t="s">
        <v>460</v>
      </c>
      <c r="D25" s="886" t="s">
        <v>460</v>
      </c>
      <c r="E25" s="886" t="s">
        <v>1950</v>
      </c>
      <c r="F25" s="707"/>
      <c r="G25" s="891" t="s">
        <v>2258</v>
      </c>
      <c r="H25" s="890"/>
    </row>
    <row r="26" spans="1:10" x14ac:dyDescent="0.25">
      <c r="A26" s="584">
        <v>17</v>
      </c>
      <c r="B26" s="589" t="s">
        <v>461</v>
      </c>
      <c r="C26" s="977">
        <v>0</v>
      </c>
      <c r="D26" s="977">
        <v>0</v>
      </c>
      <c r="E26" s="977">
        <v>0</v>
      </c>
      <c r="F26" s="582"/>
      <c r="G26" s="998" t="s">
        <v>86</v>
      </c>
      <c r="H26" s="94"/>
    </row>
    <row r="27" spans="1:10" x14ac:dyDescent="0.25">
      <c r="A27" s="584">
        <v>18</v>
      </c>
      <c r="B27" s="589" t="s">
        <v>462</v>
      </c>
      <c r="C27" s="977">
        <v>0</v>
      </c>
      <c r="D27" s="977">
        <v>0</v>
      </c>
      <c r="E27" s="977">
        <v>0</v>
      </c>
      <c r="F27" s="582"/>
      <c r="G27" s="998" t="s">
        <v>86</v>
      </c>
      <c r="H27" s="94"/>
    </row>
    <row r="28" spans="1:10" ht="15" x14ac:dyDescent="0.4">
      <c r="A28" s="584">
        <v>19</v>
      </c>
      <c r="B28" s="589" t="s">
        <v>463</v>
      </c>
      <c r="C28" s="978">
        <v>0</v>
      </c>
      <c r="D28" s="978">
        <v>0</v>
      </c>
      <c r="E28" s="978">
        <v>0</v>
      </c>
      <c r="F28" s="582"/>
      <c r="G28" s="998" t="s">
        <v>86</v>
      </c>
      <c r="H28" s="94"/>
    </row>
    <row r="29" spans="1:10" x14ac:dyDescent="0.25">
      <c r="A29" s="584">
        <v>20</v>
      </c>
      <c r="B29" s="585" t="s">
        <v>216</v>
      </c>
      <c r="C29" s="986">
        <v>0</v>
      </c>
      <c r="D29" s="986">
        <v>0</v>
      </c>
      <c r="E29" s="986">
        <v>0</v>
      </c>
      <c r="F29" s="582"/>
      <c r="G29" s="585" t="s">
        <v>356</v>
      </c>
    </row>
    <row r="30" spans="1:10" x14ac:dyDescent="0.25">
      <c r="A30" s="584"/>
      <c r="B30" s="582"/>
      <c r="C30" s="582"/>
      <c r="D30" s="582"/>
      <c r="E30" s="582"/>
      <c r="F30" s="582"/>
      <c r="G30" s="582"/>
    </row>
    <row r="31" spans="1:10" x14ac:dyDescent="0.25">
      <c r="A31" s="584"/>
      <c r="B31" s="581" t="s">
        <v>420</v>
      </c>
      <c r="C31" s="582"/>
      <c r="D31" s="582"/>
      <c r="E31" s="582"/>
      <c r="F31" s="582"/>
      <c r="G31" s="582"/>
    </row>
    <row r="32" spans="1:10" x14ac:dyDescent="0.25">
      <c r="A32" s="584"/>
      <c r="B32" s="590" t="s">
        <v>1951</v>
      </c>
      <c r="C32" s="707"/>
      <c r="D32" s="707"/>
      <c r="E32" s="707"/>
      <c r="F32" s="707"/>
      <c r="G32" s="707"/>
      <c r="H32" s="13"/>
    </row>
    <row r="33" spans="1:8" x14ac:dyDescent="0.25">
      <c r="A33" s="584"/>
      <c r="B33" s="590" t="s">
        <v>466</v>
      </c>
      <c r="C33" s="13"/>
      <c r="D33" s="13"/>
      <c r="E33" s="13"/>
      <c r="F33" s="13"/>
      <c r="G33" s="13"/>
      <c r="H33" s="13"/>
    </row>
    <row r="34" spans="1:8" x14ac:dyDescent="0.25">
      <c r="A34" s="584"/>
      <c r="B34" s="892" t="s">
        <v>557</v>
      </c>
      <c r="C34" s="13"/>
      <c r="D34" s="13"/>
      <c r="E34" s="13"/>
      <c r="F34" s="13"/>
      <c r="G34" s="13"/>
      <c r="H34" s="13"/>
    </row>
    <row r="35" spans="1:8" x14ac:dyDescent="0.25">
      <c r="A35" s="584"/>
      <c r="B35" s="892" t="s">
        <v>558</v>
      </c>
      <c r="C35" s="13"/>
      <c r="D35" s="13"/>
      <c r="E35" s="890"/>
      <c r="F35" s="13"/>
      <c r="G35" s="13"/>
      <c r="H35" s="13"/>
    </row>
    <row r="36" spans="1:8" x14ac:dyDescent="0.25">
      <c r="A36" s="584"/>
      <c r="B36" s="590" t="s">
        <v>467</v>
      </c>
      <c r="C36" s="13"/>
      <c r="D36" s="13"/>
      <c r="E36" s="13"/>
      <c r="F36" s="13"/>
      <c r="G36" s="13"/>
      <c r="H36" s="13"/>
    </row>
    <row r="37" spans="1:8" x14ac:dyDescent="0.25">
      <c r="A37" s="584"/>
    </row>
    <row r="38" spans="1:8" x14ac:dyDescent="0.25">
      <c r="A38" s="584"/>
      <c r="B38" s="582"/>
    </row>
    <row r="39" spans="1:8" x14ac:dyDescent="0.25">
      <c r="A39" s="584"/>
      <c r="B39" s="582"/>
    </row>
  </sheetData>
  <pageMargins left="0.7" right="0.7" top="0.75" bottom="0.75" header="0.3" footer="0.3"/>
  <pageSetup orientation="landscape" cellComments="asDisplayed" r:id="rId1"/>
  <headerFooter>
    <oddHeader xml:space="preserve">&amp;C&amp;"Arial,Bold"Schedule 23
Regulatory Assets and Liabilities&amp;"Arial,Regular"
</oddHeader>
    <oddFooter>&amp;R23-RegAssets</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5"/>
  <sheetViews>
    <sheetView zoomScale="85" zoomScaleNormal="85" workbookViewId="0"/>
  </sheetViews>
  <sheetFormatPr defaultRowHeight="13.2" x14ac:dyDescent="0.25"/>
  <cols>
    <col min="1" max="2" width="4.6640625" customWidth="1"/>
    <col min="3" max="3" width="28.6640625" customWidth="1"/>
    <col min="4" max="8" width="14.6640625" customWidth="1"/>
  </cols>
  <sheetData>
    <row r="1" spans="1:9" ht="14.4" x14ac:dyDescent="0.3">
      <c r="A1" s="1" t="s">
        <v>1380</v>
      </c>
      <c r="I1" s="344"/>
    </row>
    <row r="3" spans="1:9" x14ac:dyDescent="0.25">
      <c r="B3" s="1" t="s">
        <v>1700</v>
      </c>
    </row>
    <row r="4" spans="1:9" x14ac:dyDescent="0.25">
      <c r="B4" s="1"/>
    </row>
    <row r="5" spans="1:9" x14ac:dyDescent="0.25">
      <c r="B5" s="1"/>
      <c r="C5" s="1" t="s">
        <v>1576</v>
      </c>
      <c r="D5" s="84" t="s">
        <v>394</v>
      </c>
      <c r="E5" s="84" t="s">
        <v>378</v>
      </c>
      <c r="F5" s="84" t="s">
        <v>379</v>
      </c>
    </row>
    <row r="6" spans="1:9" ht="14.4" x14ac:dyDescent="0.3">
      <c r="D6" s="225" t="s">
        <v>73</v>
      </c>
      <c r="E6" s="225" t="s">
        <v>73</v>
      </c>
      <c r="F6" s="225" t="s">
        <v>217</v>
      </c>
    </row>
    <row r="7" spans="1:9" ht="14.4" x14ac:dyDescent="0.3">
      <c r="C7" s="1"/>
      <c r="D7" s="225" t="s">
        <v>330</v>
      </c>
      <c r="E7" s="225" t="s">
        <v>255</v>
      </c>
      <c r="F7" s="225" t="s">
        <v>218</v>
      </c>
    </row>
    <row r="8" spans="1:9" x14ac:dyDescent="0.25">
      <c r="A8" s="3" t="s">
        <v>360</v>
      </c>
      <c r="C8" s="3" t="s">
        <v>250</v>
      </c>
      <c r="D8" s="3" t="s">
        <v>194</v>
      </c>
      <c r="E8" s="3" t="s">
        <v>194</v>
      </c>
      <c r="F8" s="3" t="s">
        <v>194</v>
      </c>
      <c r="G8" s="3" t="s">
        <v>198</v>
      </c>
    </row>
    <row r="9" spans="1:9" x14ac:dyDescent="0.25">
      <c r="A9" s="2">
        <v>1</v>
      </c>
      <c r="C9" s="91" t="s">
        <v>1393</v>
      </c>
      <c r="D9" s="986">
        <v>0</v>
      </c>
      <c r="E9" s="986">
        <v>0</v>
      </c>
      <c r="F9" s="986">
        <v>0</v>
      </c>
      <c r="G9" s="45" t="str">
        <f>"10-CWIP, Lines "&amp;'10-CWIP'!A25&amp;", "&amp;'10-CWIP'!A26&amp;", "&amp;'10-CWIP'!A113&amp;""</f>
        <v>10-CWIP, Lines 13, 14, 80</v>
      </c>
    </row>
    <row r="10" spans="1:9" x14ac:dyDescent="0.25">
      <c r="A10" s="2">
        <f>A9+1</f>
        <v>2</v>
      </c>
      <c r="C10" s="91" t="s">
        <v>1394</v>
      </c>
      <c r="D10" s="986">
        <v>0</v>
      </c>
      <c r="E10" s="986">
        <v>0</v>
      </c>
      <c r="F10" s="986">
        <v>0</v>
      </c>
      <c r="G10" s="45" t="str">
        <f>"10-CWIP, Lines "&amp;'10-CWIP'!A25&amp;", "&amp;'10-CWIP'!A26&amp;", "&amp;'10-CWIP'!A146&amp;""</f>
        <v>10-CWIP, Lines 13, 14, 106</v>
      </c>
    </row>
    <row r="11" spans="1:9" x14ac:dyDescent="0.25">
      <c r="A11" s="2">
        <f t="shared" ref="A11:A20" si="0">A10+1</f>
        <v>3</v>
      </c>
      <c r="C11" s="91" t="s">
        <v>1395</v>
      </c>
      <c r="D11" s="986">
        <v>0</v>
      </c>
      <c r="E11" s="986">
        <v>0</v>
      </c>
      <c r="F11" s="986">
        <v>0</v>
      </c>
      <c r="G11" s="45" t="str">
        <f>"10-CWIP, Lines "&amp;'10-CWIP'!A25&amp;", "&amp;'10-CWIP'!A26&amp;", "&amp;'10-CWIP'!A177&amp;""</f>
        <v>10-CWIP, Lines 13, 14, 132</v>
      </c>
    </row>
    <row r="12" spans="1:9" x14ac:dyDescent="0.25">
      <c r="A12" s="2">
        <f t="shared" si="0"/>
        <v>4</v>
      </c>
      <c r="C12" s="91" t="s">
        <v>1396</v>
      </c>
      <c r="D12" s="986">
        <v>0</v>
      </c>
      <c r="E12" s="986">
        <v>0</v>
      </c>
      <c r="F12" s="986">
        <v>0</v>
      </c>
      <c r="G12" s="45" t="str">
        <f>"10-CWIP, Lines "&amp;'10-CWIP'!A25&amp;", "&amp;'10-CWIP'!A26&amp;", "&amp;'10-CWIP'!A210&amp;""</f>
        <v>10-CWIP, Lines 13, 14, 158</v>
      </c>
    </row>
    <row r="13" spans="1:9" x14ac:dyDescent="0.25">
      <c r="A13" s="2">
        <f t="shared" si="0"/>
        <v>5</v>
      </c>
      <c r="C13" s="91" t="s">
        <v>1397</v>
      </c>
      <c r="D13" s="986">
        <v>0</v>
      </c>
      <c r="E13" s="986">
        <v>0</v>
      </c>
      <c r="F13" s="986">
        <v>0</v>
      </c>
      <c r="G13" s="45" t="str">
        <f>"10-CWIP, Lines "&amp;'10-CWIP'!A25&amp;", "&amp;'10-CWIP'!A26&amp;", "&amp;'10-CWIP'!A241&amp;""</f>
        <v>10-CWIP, Lines 13, 14, 184</v>
      </c>
    </row>
    <row r="14" spans="1:9" x14ac:dyDescent="0.25">
      <c r="A14" s="2">
        <f t="shared" si="0"/>
        <v>6</v>
      </c>
      <c r="C14" s="91" t="s">
        <v>1398</v>
      </c>
      <c r="D14" s="986">
        <v>0</v>
      </c>
      <c r="E14" s="986">
        <v>0</v>
      </c>
      <c r="F14" s="986">
        <v>0</v>
      </c>
      <c r="G14" s="45" t="str">
        <f>"10-CWIP, Lines "&amp;'10-CWIP'!A45&amp;", "&amp;'10-CWIP'!A46&amp;", "&amp;'10-CWIP'!A274&amp;""</f>
        <v>10-CWIP, Lines 27, 28, 210</v>
      </c>
    </row>
    <row r="15" spans="1:9" x14ac:dyDescent="0.25">
      <c r="A15" s="2">
        <f t="shared" si="0"/>
        <v>7</v>
      </c>
      <c r="C15" s="91" t="s">
        <v>1399</v>
      </c>
      <c r="D15" s="986">
        <v>0</v>
      </c>
      <c r="E15" s="986">
        <v>0</v>
      </c>
      <c r="F15" s="986">
        <v>0</v>
      </c>
      <c r="G15" s="45" t="str">
        <f>"10-CWIP, Lines "&amp;'10-CWIP'!A45&amp;", "&amp;'10-CWIP'!A46&amp;", "&amp;'10-CWIP'!A305&amp;""</f>
        <v>10-CWIP, Lines 27, 28, 236</v>
      </c>
    </row>
    <row r="16" spans="1:9" x14ac:dyDescent="0.25">
      <c r="A16" s="2">
        <f t="shared" si="0"/>
        <v>8</v>
      </c>
      <c r="C16" s="91" t="s">
        <v>1400</v>
      </c>
      <c r="D16" s="986">
        <v>0</v>
      </c>
      <c r="E16" s="986">
        <v>0</v>
      </c>
      <c r="F16" s="986">
        <v>0</v>
      </c>
      <c r="G16" s="45" t="str">
        <f>"10-CWIP, Lines "&amp;'10-CWIP'!A45&amp;", "&amp;'10-CWIP'!A46&amp;", "&amp;'10-CWIP'!A338&amp;""</f>
        <v>10-CWIP, Lines 27, 28, 262</v>
      </c>
    </row>
    <row r="17" spans="1:7" x14ac:dyDescent="0.25">
      <c r="A17" s="2">
        <f t="shared" si="0"/>
        <v>9</v>
      </c>
      <c r="C17" s="91" t="s">
        <v>1401</v>
      </c>
      <c r="D17" s="986">
        <v>0</v>
      </c>
      <c r="E17" s="986">
        <v>0</v>
      </c>
      <c r="F17" s="986">
        <v>0</v>
      </c>
      <c r="G17" s="45" t="str">
        <f>"10-CWIP, Lines "&amp;'10-CWIP'!A45&amp;", "&amp;'10-CWIP'!A46&amp;", "&amp;'10-CWIP'!A369&amp;""</f>
        <v>10-CWIP, Lines 27, 28, 288</v>
      </c>
    </row>
    <row r="18" spans="1:7" x14ac:dyDescent="0.25">
      <c r="A18" s="2">
        <f t="shared" si="0"/>
        <v>10</v>
      </c>
      <c r="C18" s="396"/>
      <c r="D18" s="986">
        <v>0</v>
      </c>
      <c r="E18" s="986">
        <v>0</v>
      </c>
      <c r="F18" s="986">
        <v>0</v>
      </c>
      <c r="G18" s="45" t="str">
        <f>"10-CWIP, Lines "&amp;'10-CWIP'!A45&amp;", "&amp;'10-CWIP'!A46&amp;", "&amp;'10-CWIP'!A402&amp;""</f>
        <v>10-CWIP, Lines 27, 28, 314</v>
      </c>
    </row>
    <row r="19" spans="1:7" ht="15" x14ac:dyDescent="0.4">
      <c r="A19" s="2">
        <f t="shared" si="0"/>
        <v>11</v>
      </c>
      <c r="C19" s="396"/>
      <c r="D19" s="987">
        <v>0</v>
      </c>
      <c r="E19" s="987">
        <v>0</v>
      </c>
      <c r="F19" s="987">
        <v>0</v>
      </c>
      <c r="G19" s="45" t="str">
        <f>"10-CWIP, Lines "&amp;'10-CWIP'!A45&amp;", "&amp;'10-CWIP'!A46&amp;", 304"</f>
        <v>10-CWIP, Lines 27, 28, 304</v>
      </c>
    </row>
    <row r="20" spans="1:7" x14ac:dyDescent="0.25">
      <c r="A20" s="2">
        <f t="shared" si="0"/>
        <v>12</v>
      </c>
      <c r="C20" s="91" t="s">
        <v>216</v>
      </c>
      <c r="D20" s="986">
        <v>0</v>
      </c>
      <c r="E20" s="986">
        <v>0</v>
      </c>
      <c r="F20" s="986">
        <v>0</v>
      </c>
      <c r="G20" s="12" t="str">
        <f>"Sum of Lines "&amp;A9&amp;" to "&amp;A19&amp;""</f>
        <v>Sum of Lines 1 to 11</v>
      </c>
    </row>
    <row r="21" spans="1:7" x14ac:dyDescent="0.25">
      <c r="A21" s="2"/>
      <c r="C21" s="1"/>
    </row>
    <row r="22" spans="1:7" ht="14.4" x14ac:dyDescent="0.3">
      <c r="A22" s="2"/>
      <c r="C22" s="1" t="s">
        <v>1392</v>
      </c>
      <c r="D22" s="225" t="s">
        <v>330</v>
      </c>
      <c r="E22" s="225" t="s">
        <v>255</v>
      </c>
      <c r="F22" s="12"/>
    </row>
    <row r="23" spans="1:7" x14ac:dyDescent="0.25">
      <c r="D23" s="3" t="s">
        <v>194</v>
      </c>
      <c r="E23" s="3" t="s">
        <v>194</v>
      </c>
      <c r="F23" s="3" t="s">
        <v>198</v>
      </c>
    </row>
    <row r="24" spans="1:7" x14ac:dyDescent="0.25">
      <c r="A24" s="2">
        <f>A20+1</f>
        <v>13</v>
      </c>
      <c r="C24" s="91" t="s">
        <v>1577</v>
      </c>
      <c r="D24" s="986">
        <v>0</v>
      </c>
      <c r="E24" s="986">
        <v>0</v>
      </c>
      <c r="F24" s="15" t="str">
        <f>"Line "&amp;A20&amp;""</f>
        <v>Line 12</v>
      </c>
    </row>
    <row r="25" spans="1:7" x14ac:dyDescent="0.25">
      <c r="A25" s="2">
        <f>A24+1</f>
        <v>14</v>
      </c>
      <c r="C25" s="91" t="s">
        <v>1381</v>
      </c>
      <c r="D25" s="971" t="s">
        <v>2690</v>
      </c>
      <c r="E25" s="971" t="s">
        <v>2690</v>
      </c>
      <c r="F25" s="105" t="str">
        <f>"1-BaseTRR, Line "&amp;'1-BaseTRR'!A91&amp;""</f>
        <v>1-BaseTRR, Line 53</v>
      </c>
    </row>
    <row r="26" spans="1:7" x14ac:dyDescent="0.25">
      <c r="A26" s="2">
        <f>A25+1</f>
        <v>15</v>
      </c>
      <c r="C26" s="35" t="s">
        <v>1578</v>
      </c>
      <c r="D26" s="986">
        <v>0</v>
      </c>
      <c r="E26" s="986">
        <v>0</v>
      </c>
      <c r="F26" s="15" t="str">
        <f>"Line "&amp;A24&amp;" * Line "&amp;A25&amp;""</f>
        <v>Line 13 * Line 14</v>
      </c>
    </row>
    <row r="28" spans="1:7" x14ac:dyDescent="0.25">
      <c r="C28" s="1" t="s">
        <v>96</v>
      </c>
    </row>
    <row r="29" spans="1:7" ht="14.4" x14ac:dyDescent="0.3">
      <c r="D29" s="225" t="s">
        <v>330</v>
      </c>
      <c r="E29" s="225" t="s">
        <v>255</v>
      </c>
    </row>
    <row r="30" spans="1:7" x14ac:dyDescent="0.25">
      <c r="D30" s="3" t="s">
        <v>194</v>
      </c>
      <c r="E30" s="3" t="s">
        <v>194</v>
      </c>
      <c r="F30" s="3" t="s">
        <v>198</v>
      </c>
    </row>
    <row r="31" spans="1:7" ht="14.4" x14ac:dyDescent="0.3">
      <c r="A31" s="225">
        <f>A26+1</f>
        <v>16</v>
      </c>
      <c r="C31" s="91" t="s">
        <v>1577</v>
      </c>
      <c r="D31" s="986">
        <v>0</v>
      </c>
      <c r="E31" s="986">
        <v>0</v>
      </c>
      <c r="F31" s="15" t="str">
        <f>"Line "&amp;A20&amp;""</f>
        <v>Line 12</v>
      </c>
    </row>
    <row r="32" spans="1:7" x14ac:dyDescent="0.25">
      <c r="A32" s="2">
        <f t="shared" ref="A32:A38" si="1">A31+1</f>
        <v>17</v>
      </c>
      <c r="C32" s="340" t="s">
        <v>1579</v>
      </c>
      <c r="D32" s="970" t="s">
        <v>2690</v>
      </c>
      <c r="E32" s="970" t="s">
        <v>2690</v>
      </c>
      <c r="F32" s="105" t="str">
        <f>"1-BaseTRR, Line "&amp;'1-BaseTRR'!A93&amp;""</f>
        <v>1-BaseTRR, Line 54</v>
      </c>
      <c r="G32" s="13"/>
    </row>
    <row r="33" spans="1:7" x14ac:dyDescent="0.25">
      <c r="A33" s="2">
        <f t="shared" si="1"/>
        <v>18</v>
      </c>
      <c r="C33" s="340" t="s">
        <v>1141</v>
      </c>
      <c r="D33" s="970" t="s">
        <v>2690</v>
      </c>
      <c r="E33" s="970" t="s">
        <v>2690</v>
      </c>
      <c r="F33" s="105" t="str">
        <f>"1-BaseTRR, Line "&amp;'1-BaseTRR'!A102&amp;""</f>
        <v>1-BaseTRR, Line 58</v>
      </c>
      <c r="G33" s="13"/>
    </row>
    <row r="34" spans="1:7" x14ac:dyDescent="0.25">
      <c r="A34" s="2">
        <f t="shared" si="1"/>
        <v>19</v>
      </c>
      <c r="C34" s="340" t="s">
        <v>288</v>
      </c>
      <c r="D34" s="986">
        <v>0</v>
      </c>
      <c r="E34" s="986">
        <v>0</v>
      </c>
      <c r="F34" s="465" t="str">
        <f>"Formula on Line "&amp;A36&amp;""</f>
        <v>Formula on Line 21</v>
      </c>
      <c r="G34" s="13"/>
    </row>
    <row r="35" spans="1:7" x14ac:dyDescent="0.25">
      <c r="A35" s="2">
        <f t="shared" si="1"/>
        <v>20</v>
      </c>
      <c r="C35" s="13"/>
      <c r="D35" s="13"/>
      <c r="E35" s="13"/>
      <c r="F35" s="13"/>
      <c r="G35" s="13"/>
    </row>
    <row r="36" spans="1:7" x14ac:dyDescent="0.25">
      <c r="A36" s="2">
        <f t="shared" si="1"/>
        <v>21</v>
      </c>
      <c r="C36" s="45" t="str">
        <f>"Income Taxes = [(RB * ER) * (CTR/(1 – CTR)], or [(L"&amp;A24&amp;" * L"&amp;A32&amp;") * (L"&amp;A33&amp;" / (1 - L"&amp;A33&amp;")]"</f>
        <v>Income Taxes = [(RB * ER) * (CTR/(1 – CTR)], or [(L13 * L17) * (L18 / (1 - L18)]</v>
      </c>
      <c r="D36" s="13"/>
      <c r="E36" s="61"/>
      <c r="F36" s="14"/>
      <c r="G36" s="13"/>
    </row>
    <row r="37" spans="1:7" x14ac:dyDescent="0.25">
      <c r="A37" s="2">
        <f t="shared" si="1"/>
        <v>22</v>
      </c>
      <c r="C37" s="465" t="s">
        <v>2048</v>
      </c>
      <c r="D37" s="13"/>
      <c r="E37" s="61"/>
      <c r="F37" s="14"/>
      <c r="G37" s="13"/>
    </row>
    <row r="38" spans="1:7" x14ac:dyDescent="0.25">
      <c r="A38" s="2">
        <f t="shared" si="1"/>
        <v>23</v>
      </c>
      <c r="D38" s="12"/>
      <c r="E38" s="6"/>
      <c r="F38" s="11"/>
      <c r="G38" s="12"/>
    </row>
    <row r="39" spans="1:7" x14ac:dyDescent="0.25">
      <c r="C39" s="1" t="s">
        <v>1389</v>
      </c>
    </row>
    <row r="40" spans="1:7" x14ac:dyDescent="0.25">
      <c r="D40" s="3" t="s">
        <v>190</v>
      </c>
      <c r="E40" s="3" t="s">
        <v>198</v>
      </c>
    </row>
    <row r="41" spans="1:7" x14ac:dyDescent="0.25">
      <c r="A41" s="2">
        <f>A38+1</f>
        <v>24</v>
      </c>
      <c r="C41" s="91" t="s">
        <v>544</v>
      </c>
      <c r="D41" s="986">
        <v>0</v>
      </c>
      <c r="E41" s="105" t="str">
        <f>"15-IncentiveAdder, Line "&amp;'15-IncentiveAdder'!A17&amp;""</f>
        <v>15-IncentiveAdder, Line 3</v>
      </c>
    </row>
    <row r="43" spans="1:7" x14ac:dyDescent="0.25">
      <c r="C43" s="53" t="s">
        <v>369</v>
      </c>
    </row>
    <row r="44" spans="1:7" ht="14.4" x14ac:dyDescent="0.3">
      <c r="D44" s="225" t="s">
        <v>330</v>
      </c>
      <c r="E44" s="225" t="s">
        <v>255</v>
      </c>
    </row>
    <row r="45" spans="1:7" x14ac:dyDescent="0.25">
      <c r="D45" s="3" t="s">
        <v>194</v>
      </c>
      <c r="E45" s="3" t="s">
        <v>194</v>
      </c>
    </row>
    <row r="46" spans="1:7" x14ac:dyDescent="0.25">
      <c r="A46" s="2">
        <f>A41+1</f>
        <v>25</v>
      </c>
      <c r="C46" s="91" t="s">
        <v>1580</v>
      </c>
      <c r="D46" s="986">
        <v>0</v>
      </c>
      <c r="E46" s="986">
        <v>0</v>
      </c>
      <c r="F46" s="105" t="str">
        <f>"Line "&amp;A9&amp;""</f>
        <v>Line 1</v>
      </c>
      <c r="G46" s="13"/>
    </row>
    <row r="47" spans="1:7" x14ac:dyDescent="0.25">
      <c r="A47" s="2">
        <f>A46+1</f>
        <v>26</v>
      </c>
      <c r="C47" s="91" t="s">
        <v>1383</v>
      </c>
      <c r="D47" s="970" t="s">
        <v>2690</v>
      </c>
      <c r="E47" s="970" t="s">
        <v>2690</v>
      </c>
      <c r="F47" s="105" t="str">
        <f>"15-IncentiveAdder, Line "&amp;'15-IncentiveAdder'!A26&amp;""</f>
        <v>15-IncentiveAdder, Line 5</v>
      </c>
      <c r="G47" s="13"/>
    </row>
    <row r="48" spans="1:7" x14ac:dyDescent="0.25">
      <c r="A48" s="2">
        <f>A47+1</f>
        <v>27</v>
      </c>
      <c r="C48" s="91" t="s">
        <v>1581</v>
      </c>
      <c r="D48" s="986">
        <v>0</v>
      </c>
      <c r="E48" s="986">
        <v>0</v>
      </c>
      <c r="F48" s="465" t="str">
        <f>"Formula on Line "&amp;A57&amp;""</f>
        <v>Formula on Line 32</v>
      </c>
      <c r="G48" s="13"/>
    </row>
    <row r="49" spans="1:7" x14ac:dyDescent="0.25">
      <c r="C49" s="57"/>
    </row>
    <row r="50" spans="1:7" x14ac:dyDescent="0.25">
      <c r="C50" s="53" t="s">
        <v>1390</v>
      </c>
      <c r="E50" s="3"/>
      <c r="F50" s="3"/>
    </row>
    <row r="51" spans="1:7" ht="14.4" x14ac:dyDescent="0.3">
      <c r="D51" s="225" t="s">
        <v>330</v>
      </c>
      <c r="E51" s="225" t="s">
        <v>255</v>
      </c>
    </row>
    <row r="52" spans="1:7" x14ac:dyDescent="0.25">
      <c r="C52" s="13"/>
      <c r="D52" s="113" t="s">
        <v>194</v>
      </c>
      <c r="E52" s="113" t="s">
        <v>194</v>
      </c>
      <c r="F52" s="13"/>
      <c r="G52" s="13"/>
    </row>
    <row r="53" spans="1:7" x14ac:dyDescent="0.25">
      <c r="A53" s="2">
        <f>A48+1</f>
        <v>28</v>
      </c>
      <c r="C53" s="893" t="s">
        <v>1602</v>
      </c>
      <c r="D53" s="986">
        <v>0</v>
      </c>
      <c r="E53" s="986">
        <v>0</v>
      </c>
      <c r="F53" s="105" t="str">
        <f>"Line "&amp;A10&amp;""</f>
        <v>Line 2</v>
      </c>
      <c r="G53" s="13"/>
    </row>
    <row r="54" spans="1:7" x14ac:dyDescent="0.25">
      <c r="A54" s="2">
        <f>A53+1</f>
        <v>29</v>
      </c>
      <c r="C54" s="340" t="s">
        <v>1383</v>
      </c>
      <c r="D54" s="970" t="s">
        <v>2690</v>
      </c>
      <c r="E54" s="970" t="s">
        <v>2690</v>
      </c>
      <c r="F54" s="105" t="str">
        <f>"15-IncentiveAdder, Line "&amp;'15-IncentiveAdder'!A27&amp;""</f>
        <v>15-IncentiveAdder, Line 6</v>
      </c>
      <c r="G54" s="13"/>
    </row>
    <row r="55" spans="1:7" x14ac:dyDescent="0.25">
      <c r="A55" s="2">
        <f>A54+1</f>
        <v>30</v>
      </c>
      <c r="C55" s="340" t="s">
        <v>1581</v>
      </c>
      <c r="D55" s="986">
        <v>0</v>
      </c>
      <c r="E55" s="986">
        <v>0</v>
      </c>
      <c r="F55" s="465" t="str">
        <f>"Formula on Line "&amp;A57&amp;""</f>
        <v>Formula on Line 32</v>
      </c>
      <c r="G55" s="13"/>
    </row>
    <row r="56" spans="1:7" x14ac:dyDescent="0.25">
      <c r="A56" s="2">
        <f>A55+1</f>
        <v>31</v>
      </c>
      <c r="C56" s="13"/>
      <c r="D56" s="102"/>
      <c r="E56" s="61"/>
      <c r="F56" s="45"/>
      <c r="G56" s="13"/>
    </row>
    <row r="57" spans="1:7" x14ac:dyDescent="0.25">
      <c r="A57" s="2">
        <f>A56+1</f>
        <v>32</v>
      </c>
      <c r="C57" s="894" t="s">
        <v>2216</v>
      </c>
      <c r="D57" s="61"/>
      <c r="E57" s="45"/>
      <c r="F57" s="13"/>
      <c r="G57" s="13"/>
    </row>
    <row r="59" spans="1:7" x14ac:dyDescent="0.25">
      <c r="C59" s="1" t="s">
        <v>1701</v>
      </c>
    </row>
    <row r="60" spans="1:7" x14ac:dyDescent="0.25">
      <c r="C60" s="1"/>
    </row>
    <row r="61" spans="1:7" ht="14.4" x14ac:dyDescent="0.3">
      <c r="C61" s="1"/>
      <c r="E61" s="225" t="s">
        <v>307</v>
      </c>
    </row>
    <row r="62" spans="1:7" ht="14.4" x14ac:dyDescent="0.3">
      <c r="C62" s="1"/>
      <c r="D62" s="225" t="s">
        <v>1583</v>
      </c>
      <c r="E62" s="225" t="s">
        <v>1050</v>
      </c>
    </row>
    <row r="63" spans="1:7" x14ac:dyDescent="0.25">
      <c r="D63" s="3" t="s">
        <v>194</v>
      </c>
      <c r="E63" s="3" t="s">
        <v>194</v>
      </c>
      <c r="F63" s="3" t="s">
        <v>198</v>
      </c>
    </row>
    <row r="64" spans="1:7" x14ac:dyDescent="0.25">
      <c r="A64" s="2">
        <f>A57+1</f>
        <v>33</v>
      </c>
      <c r="C64" s="91" t="s">
        <v>1382</v>
      </c>
      <c r="D64" s="986">
        <v>0</v>
      </c>
      <c r="E64" s="986">
        <v>0</v>
      </c>
      <c r="F64" s="15" t="str">
        <f>"Line "&amp;A26&amp;""</f>
        <v>Line 15</v>
      </c>
    </row>
    <row r="65" spans="1:9" x14ac:dyDescent="0.25">
      <c r="A65" s="2">
        <f>A64+1</f>
        <v>34</v>
      </c>
      <c r="C65" s="91" t="s">
        <v>288</v>
      </c>
      <c r="D65" s="986">
        <v>0</v>
      </c>
      <c r="E65" s="986">
        <v>0</v>
      </c>
      <c r="F65" s="15" t="str">
        <f>"Line "&amp;A34&amp;""</f>
        <v>Line 19</v>
      </c>
    </row>
    <row r="66" spans="1:9" x14ac:dyDescent="0.25">
      <c r="A66" s="2">
        <f>A65+1</f>
        <v>35</v>
      </c>
      <c r="C66" s="91" t="s">
        <v>1384</v>
      </c>
      <c r="D66" s="986">
        <v>0</v>
      </c>
      <c r="E66" s="986">
        <v>0</v>
      </c>
      <c r="F66" s="15" t="str">
        <f>"Line "&amp;A48&amp;""</f>
        <v>Line 27</v>
      </c>
    </row>
    <row r="67" spans="1:9" x14ac:dyDescent="0.25">
      <c r="A67" s="2">
        <f>A66+1</f>
        <v>36</v>
      </c>
      <c r="C67" s="91" t="s">
        <v>1385</v>
      </c>
      <c r="D67" s="986">
        <v>0</v>
      </c>
      <c r="E67" s="986">
        <v>0</v>
      </c>
      <c r="F67" s="15" t="str">
        <f>"Line "&amp;A55&amp;""</f>
        <v>Line 30</v>
      </c>
    </row>
    <row r="68" spans="1:9" ht="15" x14ac:dyDescent="0.4">
      <c r="A68" s="458">
        <f t="shared" ref="A68:A69" si="2">A67+1</f>
        <v>37</v>
      </c>
      <c r="C68" s="91" t="s">
        <v>1634</v>
      </c>
      <c r="D68" s="987">
        <v>0</v>
      </c>
      <c r="E68" s="987">
        <v>0</v>
      </c>
      <c r="F68" s="12" t="s">
        <v>395</v>
      </c>
    </row>
    <row r="69" spans="1:9" x14ac:dyDescent="0.25">
      <c r="A69" s="458">
        <f t="shared" si="2"/>
        <v>38</v>
      </c>
      <c r="C69" s="91" t="s">
        <v>4</v>
      </c>
      <c r="D69" s="986">
        <v>0</v>
      </c>
      <c r="E69" s="986">
        <v>0</v>
      </c>
      <c r="F69" s="12" t="str">
        <f>"Sum Lines "&amp;A64&amp;" to "&amp;A68&amp;""</f>
        <v>Sum Lines 33 to 37</v>
      </c>
    </row>
    <row r="70" spans="1:9" x14ac:dyDescent="0.25">
      <c r="A70" s="2"/>
      <c r="D70" s="91"/>
      <c r="E70" s="6"/>
      <c r="F70" s="12"/>
    </row>
    <row r="71" spans="1:9" ht="12.75" customHeight="1" x14ac:dyDescent="0.3">
      <c r="A71" s="2"/>
      <c r="C71" s="344" t="s">
        <v>1702</v>
      </c>
      <c r="D71" s="91"/>
      <c r="E71" s="6"/>
      <c r="F71" s="12"/>
    </row>
    <row r="72" spans="1:9" x14ac:dyDescent="0.25">
      <c r="A72" s="2"/>
      <c r="D72" s="91"/>
      <c r="E72" s="6"/>
      <c r="F72" s="12"/>
    </row>
    <row r="73" spans="1:9" ht="12.75" customHeight="1" x14ac:dyDescent="0.3">
      <c r="A73" s="2"/>
      <c r="C73" s="344" t="s">
        <v>1584</v>
      </c>
      <c r="D73" s="91"/>
      <c r="E73" s="6"/>
      <c r="F73" s="12"/>
    </row>
    <row r="74" spans="1:9" ht="14.4" x14ac:dyDescent="0.3">
      <c r="A74" s="2"/>
      <c r="C74" s="344"/>
      <c r="D74" s="84" t="s">
        <v>394</v>
      </c>
      <c r="E74" s="84" t="s">
        <v>378</v>
      </c>
      <c r="F74" s="84" t="s">
        <v>379</v>
      </c>
      <c r="G74" s="84" t="s">
        <v>380</v>
      </c>
      <c r="H74" s="84" t="s">
        <v>381</v>
      </c>
    </row>
    <row r="75" spans="1:9" ht="14.4" x14ac:dyDescent="0.3">
      <c r="A75" s="2"/>
      <c r="C75" s="344"/>
      <c r="D75" s="2" t="s">
        <v>1585</v>
      </c>
      <c r="E75" s="452" t="s">
        <v>1586</v>
      </c>
      <c r="F75" s="2"/>
      <c r="H75" s="93" t="s">
        <v>1643</v>
      </c>
    </row>
    <row r="76" spans="1:9" ht="14.4" x14ac:dyDescent="0.3">
      <c r="A76" s="2"/>
      <c r="C76" s="3" t="s">
        <v>250</v>
      </c>
      <c r="D76" s="3" t="s">
        <v>1587</v>
      </c>
      <c r="E76" s="391" t="s">
        <v>1588</v>
      </c>
      <c r="F76" s="3" t="s">
        <v>9</v>
      </c>
      <c r="G76" s="3" t="s">
        <v>1592</v>
      </c>
      <c r="H76" s="3" t="s">
        <v>215</v>
      </c>
      <c r="I76" s="3" t="s">
        <v>198</v>
      </c>
    </row>
    <row r="77" spans="1:9" x14ac:dyDescent="0.25">
      <c r="A77" s="2">
        <f>A69+1</f>
        <v>39</v>
      </c>
      <c r="C77" s="91" t="s">
        <v>1393</v>
      </c>
      <c r="D77" s="986">
        <v>0</v>
      </c>
      <c r="E77" s="986">
        <v>0</v>
      </c>
      <c r="F77" s="986">
        <v>0</v>
      </c>
      <c r="G77" s="986">
        <v>0</v>
      </c>
      <c r="H77" s="986">
        <v>0</v>
      </c>
      <c r="I77" s="12" t="s">
        <v>396</v>
      </c>
    </row>
    <row r="78" spans="1:9" x14ac:dyDescent="0.25">
      <c r="A78" s="2">
        <f t="shared" ref="A78:A88" si="3">A77+1</f>
        <v>40</v>
      </c>
      <c r="C78" s="91" t="s">
        <v>1394</v>
      </c>
      <c r="D78" s="986">
        <v>0</v>
      </c>
      <c r="E78" s="986">
        <v>0</v>
      </c>
      <c r="F78" s="986">
        <v>0</v>
      </c>
      <c r="G78" s="986">
        <v>0</v>
      </c>
      <c r="H78" s="986">
        <v>0</v>
      </c>
      <c r="I78" s="12" t="s">
        <v>396</v>
      </c>
    </row>
    <row r="79" spans="1:9" x14ac:dyDescent="0.25">
      <c r="A79" s="2">
        <f t="shared" si="3"/>
        <v>41</v>
      </c>
      <c r="C79" s="91" t="s">
        <v>1395</v>
      </c>
      <c r="D79" s="986">
        <v>0</v>
      </c>
      <c r="E79" s="986">
        <v>0</v>
      </c>
      <c r="F79" s="986">
        <v>0</v>
      </c>
      <c r="G79" s="986">
        <v>0</v>
      </c>
      <c r="H79" s="986">
        <v>0</v>
      </c>
      <c r="I79" s="12" t="s">
        <v>396</v>
      </c>
    </row>
    <row r="80" spans="1:9" x14ac:dyDescent="0.25">
      <c r="A80" s="2">
        <f t="shared" si="3"/>
        <v>42</v>
      </c>
      <c r="C80" s="91" t="s">
        <v>1396</v>
      </c>
      <c r="D80" s="986">
        <v>0</v>
      </c>
      <c r="E80" s="986">
        <v>0</v>
      </c>
      <c r="F80" s="986">
        <v>0</v>
      </c>
      <c r="G80" s="986">
        <v>0</v>
      </c>
      <c r="H80" s="986">
        <v>0</v>
      </c>
      <c r="I80" s="12" t="s">
        <v>396</v>
      </c>
    </row>
    <row r="81" spans="1:9" x14ac:dyDescent="0.25">
      <c r="A81" s="2">
        <f t="shared" si="3"/>
        <v>43</v>
      </c>
      <c r="C81" s="91" t="s">
        <v>1397</v>
      </c>
      <c r="D81" s="986">
        <v>0</v>
      </c>
      <c r="E81" s="986">
        <v>0</v>
      </c>
      <c r="F81" s="986">
        <v>0</v>
      </c>
      <c r="G81" s="986">
        <v>0</v>
      </c>
      <c r="H81" s="986">
        <v>0</v>
      </c>
      <c r="I81" s="12" t="s">
        <v>396</v>
      </c>
    </row>
    <row r="82" spans="1:9" x14ac:dyDescent="0.25">
      <c r="A82" s="2">
        <f t="shared" si="3"/>
        <v>44</v>
      </c>
      <c r="C82" s="91" t="s">
        <v>1398</v>
      </c>
      <c r="D82" s="986">
        <v>0</v>
      </c>
      <c r="E82" s="986">
        <v>0</v>
      </c>
      <c r="F82" s="986">
        <v>0</v>
      </c>
      <c r="G82" s="986">
        <v>0</v>
      </c>
      <c r="H82" s="986">
        <v>0</v>
      </c>
      <c r="I82" s="12" t="s">
        <v>396</v>
      </c>
    </row>
    <row r="83" spans="1:9" x14ac:dyDescent="0.25">
      <c r="A83" s="2">
        <f t="shared" si="3"/>
        <v>45</v>
      </c>
      <c r="C83" s="91" t="s">
        <v>1399</v>
      </c>
      <c r="D83" s="986">
        <v>0</v>
      </c>
      <c r="E83" s="986">
        <v>0</v>
      </c>
      <c r="F83" s="986">
        <v>0</v>
      </c>
      <c r="G83" s="986">
        <v>0</v>
      </c>
      <c r="H83" s="986">
        <v>0</v>
      </c>
      <c r="I83" s="12" t="s">
        <v>396</v>
      </c>
    </row>
    <row r="84" spans="1:9" x14ac:dyDescent="0.25">
      <c r="A84" s="2">
        <f t="shared" si="3"/>
        <v>46</v>
      </c>
      <c r="C84" s="91" t="s">
        <v>1400</v>
      </c>
      <c r="D84" s="986">
        <v>0</v>
      </c>
      <c r="E84" s="986">
        <v>0</v>
      </c>
      <c r="F84" s="986">
        <v>0</v>
      </c>
      <c r="G84" s="986">
        <v>0</v>
      </c>
      <c r="H84" s="986">
        <v>0</v>
      </c>
      <c r="I84" s="12" t="s">
        <v>396</v>
      </c>
    </row>
    <row r="85" spans="1:9" x14ac:dyDescent="0.25">
      <c r="A85" s="2">
        <f t="shared" si="3"/>
        <v>47</v>
      </c>
      <c r="C85" s="91" t="s">
        <v>1401</v>
      </c>
      <c r="D85" s="986">
        <v>0</v>
      </c>
      <c r="E85" s="986">
        <v>0</v>
      </c>
      <c r="F85" s="986">
        <v>0</v>
      </c>
      <c r="G85" s="986">
        <v>0</v>
      </c>
      <c r="H85" s="986">
        <v>0</v>
      </c>
      <c r="I85" s="12" t="s">
        <v>396</v>
      </c>
    </row>
    <row r="86" spans="1:9" x14ac:dyDescent="0.25">
      <c r="A86" s="2">
        <f t="shared" si="3"/>
        <v>48</v>
      </c>
      <c r="C86" s="396"/>
      <c r="D86" s="986">
        <v>0</v>
      </c>
      <c r="E86" s="986">
        <v>0</v>
      </c>
      <c r="F86" s="986">
        <v>0</v>
      </c>
      <c r="G86" s="986">
        <v>0</v>
      </c>
      <c r="H86" s="986">
        <v>0</v>
      </c>
      <c r="I86" s="12" t="s">
        <v>396</v>
      </c>
    </row>
    <row r="87" spans="1:9" ht="15" x14ac:dyDescent="0.4">
      <c r="A87" s="2">
        <f t="shared" si="3"/>
        <v>49</v>
      </c>
      <c r="C87" s="396"/>
      <c r="D87" s="987">
        <v>0</v>
      </c>
      <c r="E87" s="987">
        <v>0</v>
      </c>
      <c r="F87" s="987">
        <v>0</v>
      </c>
      <c r="G87" s="987">
        <v>0</v>
      </c>
      <c r="H87" s="987">
        <v>0</v>
      </c>
      <c r="I87" s="12" t="s">
        <v>396</v>
      </c>
    </row>
    <row r="88" spans="1:9" x14ac:dyDescent="0.25">
      <c r="A88" s="2">
        <f t="shared" si="3"/>
        <v>50</v>
      </c>
      <c r="C88" s="91" t="s">
        <v>216</v>
      </c>
      <c r="D88" s="986">
        <v>0</v>
      </c>
      <c r="E88" s="986">
        <v>0</v>
      </c>
      <c r="F88" s="986">
        <v>0</v>
      </c>
      <c r="G88" s="986">
        <v>0</v>
      </c>
      <c r="H88" s="986">
        <v>0</v>
      </c>
      <c r="I88" s="12" t="str">
        <f>"Sum L "&amp;A77&amp;" to L "&amp;A87&amp;""</f>
        <v>Sum L 39 to L 49</v>
      </c>
    </row>
    <row r="89" spans="1:9" x14ac:dyDescent="0.25">
      <c r="A89" s="2"/>
      <c r="C89" s="91"/>
      <c r="D89" s="91"/>
      <c r="E89" s="6"/>
      <c r="F89" s="12"/>
    </row>
    <row r="90" spans="1:9" ht="14.4" x14ac:dyDescent="0.3">
      <c r="A90" s="2"/>
      <c r="C90" s="344" t="s">
        <v>1703</v>
      </c>
      <c r="D90" s="91"/>
      <c r="E90" s="6"/>
      <c r="F90" s="12"/>
    </row>
    <row r="91" spans="1:9" ht="14.4" x14ac:dyDescent="0.3">
      <c r="A91" s="2"/>
      <c r="C91" s="344"/>
      <c r="D91" s="84" t="s">
        <v>394</v>
      </c>
      <c r="E91" s="84" t="s">
        <v>378</v>
      </c>
      <c r="F91" s="84" t="s">
        <v>379</v>
      </c>
      <c r="G91" s="84" t="s">
        <v>380</v>
      </c>
      <c r="H91" s="84" t="s">
        <v>381</v>
      </c>
    </row>
    <row r="92" spans="1:9" ht="14.4" x14ac:dyDescent="0.3">
      <c r="A92" s="2"/>
      <c r="C92" s="344"/>
      <c r="D92" s="2" t="s">
        <v>1585</v>
      </c>
      <c r="E92" s="452" t="s">
        <v>1586</v>
      </c>
      <c r="F92" s="2"/>
      <c r="H92" s="93" t="s">
        <v>1643</v>
      </c>
    </row>
    <row r="93" spans="1:9" ht="14.4" x14ac:dyDescent="0.3">
      <c r="A93" s="2"/>
      <c r="C93" s="3" t="s">
        <v>250</v>
      </c>
      <c r="D93" s="3" t="s">
        <v>1587</v>
      </c>
      <c r="E93" s="391" t="s">
        <v>1588</v>
      </c>
      <c r="F93" s="3" t="s">
        <v>9</v>
      </c>
      <c r="G93" s="3" t="s">
        <v>1642</v>
      </c>
      <c r="H93" s="3" t="s">
        <v>215</v>
      </c>
      <c r="I93" s="3" t="s">
        <v>198</v>
      </c>
    </row>
    <row r="94" spans="1:9" x14ac:dyDescent="0.25">
      <c r="A94" s="2">
        <f>A88+1</f>
        <v>51</v>
      </c>
      <c r="C94" s="91" t="s">
        <v>1393</v>
      </c>
      <c r="D94" s="986">
        <v>0</v>
      </c>
      <c r="E94" s="986">
        <v>0</v>
      </c>
      <c r="F94" s="986">
        <v>0</v>
      </c>
      <c r="G94" s="986">
        <v>0</v>
      </c>
      <c r="H94" s="986">
        <v>0</v>
      </c>
      <c r="I94" s="12" t="s">
        <v>1291</v>
      </c>
    </row>
    <row r="95" spans="1:9" x14ac:dyDescent="0.25">
      <c r="A95" s="2">
        <f t="shared" ref="A95:A105" si="4">A94+1</f>
        <v>52</v>
      </c>
      <c r="C95" s="91" t="s">
        <v>1394</v>
      </c>
      <c r="D95" s="986">
        <v>0</v>
      </c>
      <c r="E95" s="986">
        <v>0</v>
      </c>
      <c r="F95" s="986">
        <v>0</v>
      </c>
      <c r="G95" s="986">
        <v>0</v>
      </c>
      <c r="H95" s="986">
        <v>0</v>
      </c>
      <c r="I95" s="12" t="s">
        <v>1291</v>
      </c>
    </row>
    <row r="96" spans="1:9" x14ac:dyDescent="0.25">
      <c r="A96" s="2">
        <f t="shared" si="4"/>
        <v>53</v>
      </c>
      <c r="C96" s="91" t="s">
        <v>1395</v>
      </c>
      <c r="D96" s="986">
        <v>0</v>
      </c>
      <c r="E96" s="986">
        <v>0</v>
      </c>
      <c r="F96" s="986">
        <v>0</v>
      </c>
      <c r="G96" s="986">
        <v>0</v>
      </c>
      <c r="H96" s="986">
        <v>0</v>
      </c>
      <c r="I96" s="12" t="s">
        <v>1291</v>
      </c>
    </row>
    <row r="97" spans="1:9" x14ac:dyDescent="0.25">
      <c r="A97" s="2">
        <f t="shared" si="4"/>
        <v>54</v>
      </c>
      <c r="C97" s="91" t="s">
        <v>1396</v>
      </c>
      <c r="D97" s="986">
        <v>0</v>
      </c>
      <c r="E97" s="986">
        <v>0</v>
      </c>
      <c r="F97" s="986">
        <v>0</v>
      </c>
      <c r="G97" s="986">
        <v>0</v>
      </c>
      <c r="H97" s="986">
        <v>0</v>
      </c>
      <c r="I97" s="12" t="s">
        <v>1291</v>
      </c>
    </row>
    <row r="98" spans="1:9" x14ac:dyDescent="0.25">
      <c r="A98" s="2">
        <f t="shared" si="4"/>
        <v>55</v>
      </c>
      <c r="C98" s="91" t="s">
        <v>1397</v>
      </c>
      <c r="D98" s="986">
        <v>0</v>
      </c>
      <c r="E98" s="986">
        <v>0</v>
      </c>
      <c r="F98" s="986">
        <v>0</v>
      </c>
      <c r="G98" s="986">
        <v>0</v>
      </c>
      <c r="H98" s="986">
        <v>0</v>
      </c>
      <c r="I98" s="12" t="s">
        <v>1291</v>
      </c>
    </row>
    <row r="99" spans="1:9" x14ac:dyDescent="0.25">
      <c r="A99" s="2">
        <f t="shared" si="4"/>
        <v>56</v>
      </c>
      <c r="C99" s="91" t="s">
        <v>1398</v>
      </c>
      <c r="D99" s="986">
        <v>0</v>
      </c>
      <c r="E99" s="986">
        <v>0</v>
      </c>
      <c r="F99" s="986">
        <v>0</v>
      </c>
      <c r="G99" s="986">
        <v>0</v>
      </c>
      <c r="H99" s="986">
        <v>0</v>
      </c>
      <c r="I99" s="12" t="s">
        <v>1291</v>
      </c>
    </row>
    <row r="100" spans="1:9" x14ac:dyDescent="0.25">
      <c r="A100" s="2">
        <f t="shared" si="4"/>
        <v>57</v>
      </c>
      <c r="C100" s="91" t="s">
        <v>1399</v>
      </c>
      <c r="D100" s="986">
        <v>0</v>
      </c>
      <c r="E100" s="986">
        <v>0</v>
      </c>
      <c r="F100" s="986">
        <v>0</v>
      </c>
      <c r="G100" s="986">
        <v>0</v>
      </c>
      <c r="H100" s="986">
        <v>0</v>
      </c>
      <c r="I100" s="12" t="s">
        <v>1291</v>
      </c>
    </row>
    <row r="101" spans="1:9" x14ac:dyDescent="0.25">
      <c r="A101" s="2">
        <f t="shared" si="4"/>
        <v>58</v>
      </c>
      <c r="C101" s="91" t="s">
        <v>1400</v>
      </c>
      <c r="D101" s="986">
        <v>0</v>
      </c>
      <c r="E101" s="986">
        <v>0</v>
      </c>
      <c r="F101" s="986">
        <v>0</v>
      </c>
      <c r="G101" s="986">
        <v>0</v>
      </c>
      <c r="H101" s="986">
        <v>0</v>
      </c>
      <c r="I101" s="12" t="s">
        <v>1291</v>
      </c>
    </row>
    <row r="102" spans="1:9" x14ac:dyDescent="0.25">
      <c r="A102" s="2">
        <f t="shared" si="4"/>
        <v>59</v>
      </c>
      <c r="C102" s="91" t="s">
        <v>1401</v>
      </c>
      <c r="D102" s="986">
        <v>0</v>
      </c>
      <c r="E102" s="986">
        <v>0</v>
      </c>
      <c r="F102" s="986">
        <v>0</v>
      </c>
      <c r="G102" s="986">
        <v>0</v>
      </c>
      <c r="H102" s="986">
        <v>0</v>
      </c>
      <c r="I102" s="12" t="s">
        <v>1291</v>
      </c>
    </row>
    <row r="103" spans="1:9" x14ac:dyDescent="0.25">
      <c r="A103" s="2">
        <f t="shared" si="4"/>
        <v>60</v>
      </c>
      <c r="C103" s="396"/>
      <c r="D103" s="986">
        <v>0</v>
      </c>
      <c r="E103" s="986">
        <v>0</v>
      </c>
      <c r="F103" s="986">
        <v>0</v>
      </c>
      <c r="G103" s="986">
        <v>0</v>
      </c>
      <c r="H103" s="986">
        <v>0</v>
      </c>
      <c r="I103" s="12" t="s">
        <v>1291</v>
      </c>
    </row>
    <row r="104" spans="1:9" ht="15" x14ac:dyDescent="0.4">
      <c r="A104" s="2">
        <f t="shared" si="4"/>
        <v>61</v>
      </c>
      <c r="C104" s="396"/>
      <c r="D104" s="987">
        <v>0</v>
      </c>
      <c r="E104" s="987">
        <v>0</v>
      </c>
      <c r="F104" s="987">
        <v>0</v>
      </c>
      <c r="G104" s="987">
        <v>0</v>
      </c>
      <c r="H104" s="987">
        <v>0</v>
      </c>
      <c r="I104" s="12" t="s">
        <v>1291</v>
      </c>
    </row>
    <row r="105" spans="1:9" x14ac:dyDescent="0.25">
      <c r="A105" s="2">
        <f t="shared" si="4"/>
        <v>62</v>
      </c>
      <c r="C105" s="91" t="s">
        <v>216</v>
      </c>
      <c r="D105" s="986">
        <v>0</v>
      </c>
      <c r="E105" s="986">
        <v>0</v>
      </c>
      <c r="F105" s="986">
        <v>0</v>
      </c>
      <c r="G105" s="986">
        <v>0</v>
      </c>
      <c r="H105" s="986">
        <v>0</v>
      </c>
      <c r="I105" s="12" t="str">
        <f>"Sum of L "&amp;A94&amp;" to "&amp;A104&amp;""</f>
        <v>Sum of L 51 to 61</v>
      </c>
    </row>
    <row r="106" spans="1:9" x14ac:dyDescent="0.25">
      <c r="C106" s="91"/>
    </row>
    <row r="107" spans="1:9" x14ac:dyDescent="0.25">
      <c r="B107" s="1" t="s">
        <v>1391</v>
      </c>
    </row>
    <row r="108" spans="1:9" x14ac:dyDescent="0.25">
      <c r="B108" s="1"/>
    </row>
    <row r="109" spans="1:9" ht="14.4" x14ac:dyDescent="0.3">
      <c r="B109" s="1"/>
      <c r="C109" s="344" t="s">
        <v>1589</v>
      </c>
    </row>
    <row r="110" spans="1:9" x14ac:dyDescent="0.25">
      <c r="E110" s="3" t="s">
        <v>190</v>
      </c>
      <c r="F110" s="3" t="s">
        <v>198</v>
      </c>
    </row>
    <row r="111" spans="1:9" x14ac:dyDescent="0.25">
      <c r="A111" s="2">
        <f>A105+1</f>
        <v>63</v>
      </c>
      <c r="D111" s="91" t="s">
        <v>389</v>
      </c>
      <c r="E111" s="986">
        <v>0</v>
      </c>
      <c r="F111" s="15" t="str">
        <f>"Line "&amp;A20&amp;", Col 3"</f>
        <v>Line 12, Col 3</v>
      </c>
    </row>
    <row r="112" spans="1:9" x14ac:dyDescent="0.25">
      <c r="A112" s="2">
        <f>A111+1</f>
        <v>64</v>
      </c>
      <c r="D112" s="91" t="s">
        <v>387</v>
      </c>
      <c r="E112" s="970" t="s">
        <v>2690</v>
      </c>
      <c r="F112" s="45" t="str">
        <f>"2-IFPTRR, Line "&amp;'2-IFPTRR'!A25&amp;""</f>
        <v>2-IFPTRR, Line 16</v>
      </c>
      <c r="G112" s="13"/>
      <c r="H112" s="13"/>
    </row>
    <row r="113" spans="1:8" x14ac:dyDescent="0.25">
      <c r="A113" s="2">
        <f>A112+1</f>
        <v>65</v>
      </c>
      <c r="D113" s="91" t="s">
        <v>1635</v>
      </c>
      <c r="E113" s="986">
        <v>0</v>
      </c>
      <c r="F113" s="105" t="str">
        <f>"Line "&amp;A111&amp;" * Line "&amp;A112&amp;""</f>
        <v>Line 63 * Line 64</v>
      </c>
      <c r="G113" s="13"/>
      <c r="H113" s="13"/>
    </row>
    <row r="114" spans="1:8" ht="15" x14ac:dyDescent="0.4">
      <c r="A114" s="458">
        <f>A113+1</f>
        <v>66</v>
      </c>
      <c r="D114" s="91" t="s">
        <v>1634</v>
      </c>
      <c r="E114" s="987">
        <v>0</v>
      </c>
      <c r="F114" s="465" t="str">
        <f>"Line "&amp;A113&amp;" * (28-FFU, L"&amp;'28-FFU'!A22&amp;" FF Factor + U Factor)"</f>
        <v>Line 65 * (28-FFU, L5 FF Factor + U Factor)</v>
      </c>
      <c r="G114" s="13"/>
      <c r="H114" s="13"/>
    </row>
    <row r="115" spans="1:8" x14ac:dyDescent="0.25">
      <c r="A115" s="462">
        <f>A114+1</f>
        <v>67</v>
      </c>
      <c r="D115" s="91" t="s">
        <v>1636</v>
      </c>
      <c r="E115" s="986">
        <v>0</v>
      </c>
      <c r="F115" s="105" t="str">
        <f>"Line "&amp;A113&amp;" + Line "&amp;A114&amp;""</f>
        <v>Line 65 + Line 66</v>
      </c>
      <c r="G115" s="13"/>
      <c r="H115" s="13"/>
    </row>
    <row r="116" spans="1:8" x14ac:dyDescent="0.25">
      <c r="A116" s="458"/>
      <c r="D116" s="91"/>
      <c r="E116" s="6"/>
    </row>
    <row r="117" spans="1:8" ht="14.4" x14ac:dyDescent="0.3">
      <c r="A117" s="2"/>
      <c r="C117" s="344" t="s">
        <v>1590</v>
      </c>
      <c r="D117" s="91"/>
      <c r="E117" s="6"/>
      <c r="F117" s="15"/>
    </row>
    <row r="118" spans="1:8" x14ac:dyDescent="0.25">
      <c r="A118" s="2"/>
      <c r="D118" s="486" t="s">
        <v>194</v>
      </c>
      <c r="E118" s="486" t="s">
        <v>194</v>
      </c>
    </row>
    <row r="119" spans="1:8" x14ac:dyDescent="0.25">
      <c r="A119" s="2"/>
      <c r="C119" s="3" t="s">
        <v>250</v>
      </c>
      <c r="D119" s="3" t="s">
        <v>1670</v>
      </c>
      <c r="E119" s="3" t="s">
        <v>1671</v>
      </c>
      <c r="F119" s="3" t="s">
        <v>198</v>
      </c>
    </row>
    <row r="120" spans="1:8" x14ac:dyDescent="0.25">
      <c r="A120" s="2">
        <f>A115+1</f>
        <v>68</v>
      </c>
      <c r="C120" s="91" t="s">
        <v>1393</v>
      </c>
      <c r="D120" s="986">
        <v>0</v>
      </c>
      <c r="E120" s="986">
        <v>0</v>
      </c>
      <c r="F120" s="12" t="s">
        <v>1306</v>
      </c>
    </row>
    <row r="121" spans="1:8" x14ac:dyDescent="0.25">
      <c r="A121" s="2">
        <f t="shared" ref="A121:A131" si="5">A120+1</f>
        <v>69</v>
      </c>
      <c r="C121" s="91" t="s">
        <v>1394</v>
      </c>
      <c r="D121" s="986">
        <v>0</v>
      </c>
      <c r="E121" s="986">
        <v>0</v>
      </c>
      <c r="F121" s="12" t="s">
        <v>1306</v>
      </c>
    </row>
    <row r="122" spans="1:8" x14ac:dyDescent="0.25">
      <c r="A122" s="2">
        <f t="shared" si="5"/>
        <v>70</v>
      </c>
      <c r="C122" s="91" t="s">
        <v>1395</v>
      </c>
      <c r="D122" s="986">
        <v>0</v>
      </c>
      <c r="E122" s="986">
        <v>0</v>
      </c>
      <c r="F122" s="12" t="s">
        <v>1306</v>
      </c>
    </row>
    <row r="123" spans="1:8" x14ac:dyDescent="0.25">
      <c r="A123" s="2">
        <f t="shared" si="5"/>
        <v>71</v>
      </c>
      <c r="C123" s="91" t="s">
        <v>1396</v>
      </c>
      <c r="D123" s="986">
        <v>0</v>
      </c>
      <c r="E123" s="986">
        <v>0</v>
      </c>
      <c r="F123" s="12" t="s">
        <v>1306</v>
      </c>
    </row>
    <row r="124" spans="1:8" x14ac:dyDescent="0.25">
      <c r="A124" s="2">
        <f t="shared" si="5"/>
        <v>72</v>
      </c>
      <c r="C124" s="91" t="s">
        <v>1397</v>
      </c>
      <c r="D124" s="986">
        <v>0</v>
      </c>
      <c r="E124" s="986">
        <v>0</v>
      </c>
      <c r="F124" s="12" t="s">
        <v>1306</v>
      </c>
    </row>
    <row r="125" spans="1:8" x14ac:dyDescent="0.25">
      <c r="A125" s="2">
        <f t="shared" si="5"/>
        <v>73</v>
      </c>
      <c r="C125" s="91" t="s">
        <v>1398</v>
      </c>
      <c r="D125" s="986">
        <v>0</v>
      </c>
      <c r="E125" s="986">
        <v>0</v>
      </c>
      <c r="F125" s="12" t="s">
        <v>1306</v>
      </c>
    </row>
    <row r="126" spans="1:8" x14ac:dyDescent="0.25">
      <c r="A126" s="2">
        <f t="shared" si="5"/>
        <v>74</v>
      </c>
      <c r="C126" s="91" t="s">
        <v>1399</v>
      </c>
      <c r="D126" s="986">
        <v>0</v>
      </c>
      <c r="E126" s="986">
        <v>0</v>
      </c>
      <c r="F126" s="12" t="s">
        <v>1306</v>
      </c>
    </row>
    <row r="127" spans="1:8" x14ac:dyDescent="0.25">
      <c r="A127" s="2">
        <f t="shared" si="5"/>
        <v>75</v>
      </c>
      <c r="C127" s="91" t="s">
        <v>1400</v>
      </c>
      <c r="D127" s="986">
        <v>0</v>
      </c>
      <c r="E127" s="986">
        <v>0</v>
      </c>
      <c r="F127" s="12" t="s">
        <v>1306</v>
      </c>
    </row>
    <row r="128" spans="1:8" x14ac:dyDescent="0.25">
      <c r="A128" s="2">
        <f t="shared" si="5"/>
        <v>76</v>
      </c>
      <c r="C128" s="91" t="s">
        <v>1401</v>
      </c>
      <c r="D128" s="986">
        <v>0</v>
      </c>
      <c r="E128" s="986">
        <v>0</v>
      </c>
      <c r="F128" s="12" t="s">
        <v>1306</v>
      </c>
    </row>
    <row r="129" spans="1:8" x14ac:dyDescent="0.25">
      <c r="A129" s="2">
        <f t="shared" si="5"/>
        <v>77</v>
      </c>
      <c r="C129" s="396"/>
      <c r="D129" s="986">
        <v>0</v>
      </c>
      <c r="E129" s="986">
        <v>0</v>
      </c>
      <c r="F129" s="12" t="s">
        <v>1306</v>
      </c>
    </row>
    <row r="130" spans="1:8" ht="15" x14ac:dyDescent="0.4">
      <c r="A130" s="2">
        <f t="shared" si="5"/>
        <v>78</v>
      </c>
      <c r="C130" s="396"/>
      <c r="D130" s="987">
        <v>0</v>
      </c>
      <c r="E130" s="987">
        <v>0</v>
      </c>
      <c r="F130" s="12" t="s">
        <v>1306</v>
      </c>
    </row>
    <row r="131" spans="1:8" x14ac:dyDescent="0.25">
      <c r="A131" s="2">
        <f t="shared" si="5"/>
        <v>79</v>
      </c>
      <c r="C131" s="91" t="s">
        <v>216</v>
      </c>
      <c r="D131" s="986">
        <v>0</v>
      </c>
      <c r="E131" s="986">
        <v>0</v>
      </c>
      <c r="F131" s="12" t="str">
        <f>"Sum of Lines "&amp;A120&amp;" to "&amp;A130&amp;""</f>
        <v>Sum of Lines 68 to 78</v>
      </c>
    </row>
    <row r="133" spans="1:8" x14ac:dyDescent="0.25">
      <c r="B133" s="1" t="s">
        <v>1676</v>
      </c>
    </row>
    <row r="134" spans="1:8" x14ac:dyDescent="0.25">
      <c r="B134" s="1"/>
    </row>
    <row r="135" spans="1:8" ht="14.4" x14ac:dyDescent="0.3">
      <c r="C135" s="344" t="s">
        <v>1589</v>
      </c>
    </row>
    <row r="136" spans="1:8" x14ac:dyDescent="0.25">
      <c r="E136" s="3" t="s">
        <v>190</v>
      </c>
      <c r="F136" s="3" t="s">
        <v>198</v>
      </c>
      <c r="H136" s="1"/>
    </row>
    <row r="137" spans="1:8" x14ac:dyDescent="0.25">
      <c r="A137" s="2">
        <f>A131+1</f>
        <v>80</v>
      </c>
      <c r="D137" s="91" t="s">
        <v>1402</v>
      </c>
      <c r="E137" s="986">
        <v>0</v>
      </c>
      <c r="F137" s="15" t="str">
        <f>"Sum Line "&amp;A64&amp;" to "&amp;A67&amp;""</f>
        <v>Sum Line 33 to 36</v>
      </c>
    </row>
    <row r="138" spans="1:8" x14ac:dyDescent="0.25">
      <c r="A138" s="2">
        <f t="shared" ref="A138:A145" si="6">A137+1</f>
        <v>81</v>
      </c>
      <c r="D138" s="464" t="s">
        <v>1668</v>
      </c>
      <c r="E138" s="986">
        <v>0</v>
      </c>
      <c r="F138" s="15" t="str">
        <f>"Line "&amp;A113&amp;""</f>
        <v>Line 65</v>
      </c>
    </row>
    <row r="139" spans="1:8" x14ac:dyDescent="0.25">
      <c r="A139" s="2">
        <f t="shared" si="6"/>
        <v>82</v>
      </c>
      <c r="D139" s="91" t="s">
        <v>1403</v>
      </c>
      <c r="E139" s="986">
        <v>0</v>
      </c>
      <c r="F139" s="15" t="str">
        <f>"Line "&amp;A137&amp;" + Line "&amp;A138&amp;""</f>
        <v>Line 80 + Line 81</v>
      </c>
    </row>
    <row r="140" spans="1:8" x14ac:dyDescent="0.25">
      <c r="A140" s="2">
        <f t="shared" si="6"/>
        <v>83</v>
      </c>
      <c r="D140" s="91" t="s">
        <v>1386</v>
      </c>
      <c r="E140" s="970" t="s">
        <v>2690</v>
      </c>
      <c r="F140" s="45" t="str">
        <f>"28-FFU, Line "&amp;'28-FFU'!A22&amp;""</f>
        <v>28-FFU, Line 5</v>
      </c>
    </row>
    <row r="141" spans="1:8" x14ac:dyDescent="0.25">
      <c r="A141" s="2">
        <f t="shared" si="6"/>
        <v>84</v>
      </c>
      <c r="D141" s="91" t="s">
        <v>1387</v>
      </c>
      <c r="E141" s="970" t="s">
        <v>2690</v>
      </c>
      <c r="F141" s="45" t="str">
        <f>"28-FFU, Line "&amp;'28-FFU'!A22&amp;""</f>
        <v>28-FFU, Line 5</v>
      </c>
    </row>
    <row r="142" spans="1:8" x14ac:dyDescent="0.25">
      <c r="A142" s="2">
        <f t="shared" si="6"/>
        <v>85</v>
      </c>
      <c r="D142" s="464" t="s">
        <v>1674</v>
      </c>
      <c r="E142" s="986">
        <v>0</v>
      </c>
      <c r="F142" s="15" t="str">
        <f>"Line "&amp;A139&amp;" * Line "&amp;A140&amp;""</f>
        <v>Line 82 * Line 83</v>
      </c>
    </row>
    <row r="143" spans="1:8" x14ac:dyDescent="0.25">
      <c r="A143" s="487">
        <f t="shared" si="6"/>
        <v>86</v>
      </c>
      <c r="D143" s="464" t="s">
        <v>1675</v>
      </c>
      <c r="E143" s="986">
        <v>0</v>
      </c>
      <c r="F143" s="15" t="str">
        <f>"Line "&amp;A139&amp;" * Line "&amp;A141&amp;""</f>
        <v>Line 82 * Line 84</v>
      </c>
    </row>
    <row r="144" spans="1:8" x14ac:dyDescent="0.25">
      <c r="A144" s="487">
        <f t="shared" si="6"/>
        <v>87</v>
      </c>
      <c r="D144" s="91" t="s">
        <v>1404</v>
      </c>
      <c r="E144" s="986">
        <v>0</v>
      </c>
      <c r="F144" s="12" t="str">
        <f>"Line "&amp;A139&amp;" + Line "&amp;A142&amp;" + Line "&amp;A143&amp;""</f>
        <v>Line 82 + Line 85 + Line 86</v>
      </c>
    </row>
    <row r="145" spans="1:8" x14ac:dyDescent="0.25">
      <c r="A145" s="487">
        <f t="shared" si="6"/>
        <v>88</v>
      </c>
      <c r="D145" s="464" t="s">
        <v>1673</v>
      </c>
      <c r="E145" s="986">
        <v>0</v>
      </c>
      <c r="F145" s="12" t="str">
        <f>"Line "&amp;A139&amp;" + Line "&amp;A142&amp;""</f>
        <v>Line 82 + Line 85</v>
      </c>
    </row>
    <row r="147" spans="1:8" ht="14.4" x14ac:dyDescent="0.3">
      <c r="C147" s="344" t="s">
        <v>1591</v>
      </c>
    </row>
    <row r="148" spans="1:8" ht="14.4" x14ac:dyDescent="0.3">
      <c r="C148" s="344"/>
      <c r="D148" s="84" t="s">
        <v>394</v>
      </c>
      <c r="E148" s="84" t="s">
        <v>378</v>
      </c>
      <c r="F148" s="84" t="s">
        <v>379</v>
      </c>
      <c r="G148" s="84" t="s">
        <v>380</v>
      </c>
    </row>
    <row r="149" spans="1:8" ht="12.75" customHeight="1" x14ac:dyDescent="0.3">
      <c r="D149" s="225" t="s">
        <v>1583</v>
      </c>
      <c r="E149" s="225" t="s">
        <v>1212</v>
      </c>
    </row>
    <row r="150" spans="1:8" ht="12.75" customHeight="1" x14ac:dyDescent="0.3">
      <c r="D150" s="3" t="s">
        <v>1670</v>
      </c>
      <c r="E150" s="3" t="s">
        <v>1670</v>
      </c>
      <c r="F150" s="3" t="s">
        <v>1592</v>
      </c>
      <c r="G150" s="227" t="s">
        <v>215</v>
      </c>
      <c r="H150" s="3" t="s">
        <v>198</v>
      </c>
    </row>
    <row r="151" spans="1:8" x14ac:dyDescent="0.25">
      <c r="A151" s="487">
        <f>A145+1</f>
        <v>89</v>
      </c>
      <c r="C151" s="91" t="s">
        <v>1393</v>
      </c>
      <c r="D151" s="986">
        <v>0</v>
      </c>
      <c r="E151" s="986">
        <v>0</v>
      </c>
      <c r="F151" s="986">
        <v>0</v>
      </c>
      <c r="G151" s="986">
        <v>0</v>
      </c>
      <c r="H151" s="12" t="s">
        <v>1308</v>
      </c>
    </row>
    <row r="152" spans="1:8" x14ac:dyDescent="0.25">
      <c r="A152" s="487">
        <f t="shared" ref="A152:A162" si="7">A151+1</f>
        <v>90</v>
      </c>
      <c r="C152" s="91" t="s">
        <v>1394</v>
      </c>
      <c r="D152" s="986">
        <v>0</v>
      </c>
      <c r="E152" s="986">
        <v>0</v>
      </c>
      <c r="F152" s="986">
        <v>0</v>
      </c>
      <c r="G152" s="986">
        <v>0</v>
      </c>
      <c r="H152" s="12" t="s">
        <v>1308</v>
      </c>
    </row>
    <row r="153" spans="1:8" x14ac:dyDescent="0.25">
      <c r="A153" s="487">
        <f t="shared" si="7"/>
        <v>91</v>
      </c>
      <c r="C153" s="91" t="s">
        <v>1395</v>
      </c>
      <c r="D153" s="986">
        <v>0</v>
      </c>
      <c r="E153" s="986">
        <v>0</v>
      </c>
      <c r="F153" s="986">
        <v>0</v>
      </c>
      <c r="G153" s="986">
        <v>0</v>
      </c>
      <c r="H153" s="12" t="s">
        <v>1308</v>
      </c>
    </row>
    <row r="154" spans="1:8" x14ac:dyDescent="0.25">
      <c r="A154" s="487">
        <f t="shared" si="7"/>
        <v>92</v>
      </c>
      <c r="C154" s="91" t="s">
        <v>1396</v>
      </c>
      <c r="D154" s="986">
        <v>0</v>
      </c>
      <c r="E154" s="986">
        <v>0</v>
      </c>
      <c r="F154" s="986">
        <v>0</v>
      </c>
      <c r="G154" s="986">
        <v>0</v>
      </c>
      <c r="H154" s="12" t="s">
        <v>1308</v>
      </c>
    </row>
    <row r="155" spans="1:8" x14ac:dyDescent="0.25">
      <c r="A155" s="487">
        <f t="shared" si="7"/>
        <v>93</v>
      </c>
      <c r="C155" s="91" t="s">
        <v>1397</v>
      </c>
      <c r="D155" s="986">
        <v>0</v>
      </c>
      <c r="E155" s="986">
        <v>0</v>
      </c>
      <c r="F155" s="986">
        <v>0</v>
      </c>
      <c r="G155" s="986">
        <v>0</v>
      </c>
      <c r="H155" s="12" t="s">
        <v>1308</v>
      </c>
    </row>
    <row r="156" spans="1:8" x14ac:dyDescent="0.25">
      <c r="A156" s="487">
        <f t="shared" si="7"/>
        <v>94</v>
      </c>
      <c r="C156" s="91" t="s">
        <v>1398</v>
      </c>
      <c r="D156" s="986">
        <v>0</v>
      </c>
      <c r="E156" s="986">
        <v>0</v>
      </c>
      <c r="F156" s="986">
        <v>0</v>
      </c>
      <c r="G156" s="986">
        <v>0</v>
      </c>
      <c r="H156" s="12" t="s">
        <v>1308</v>
      </c>
    </row>
    <row r="157" spans="1:8" x14ac:dyDescent="0.25">
      <c r="A157" s="487">
        <f t="shared" si="7"/>
        <v>95</v>
      </c>
      <c r="C157" s="91" t="s">
        <v>1399</v>
      </c>
      <c r="D157" s="986">
        <v>0</v>
      </c>
      <c r="E157" s="986">
        <v>0</v>
      </c>
      <c r="F157" s="986">
        <v>0</v>
      </c>
      <c r="G157" s="986">
        <v>0</v>
      </c>
      <c r="H157" s="12" t="s">
        <v>1308</v>
      </c>
    </row>
    <row r="158" spans="1:8" x14ac:dyDescent="0.25">
      <c r="A158" s="487">
        <f t="shared" si="7"/>
        <v>96</v>
      </c>
      <c r="C158" s="91" t="s">
        <v>1400</v>
      </c>
      <c r="D158" s="986">
        <v>0</v>
      </c>
      <c r="E158" s="986">
        <v>0</v>
      </c>
      <c r="F158" s="986">
        <v>0</v>
      </c>
      <c r="G158" s="986">
        <v>0</v>
      </c>
      <c r="H158" s="12" t="s">
        <v>1308</v>
      </c>
    </row>
    <row r="159" spans="1:8" x14ac:dyDescent="0.25">
      <c r="A159" s="487">
        <f t="shared" si="7"/>
        <v>97</v>
      </c>
      <c r="C159" s="91" t="s">
        <v>1401</v>
      </c>
      <c r="D159" s="986">
        <v>0</v>
      </c>
      <c r="E159" s="986">
        <v>0</v>
      </c>
      <c r="F159" s="986">
        <v>0</v>
      </c>
      <c r="G159" s="986">
        <v>0</v>
      </c>
      <c r="H159" s="12" t="s">
        <v>1308</v>
      </c>
    </row>
    <row r="160" spans="1:8" x14ac:dyDescent="0.25">
      <c r="A160" s="487">
        <f t="shared" si="7"/>
        <v>98</v>
      </c>
      <c r="C160" s="396"/>
      <c r="D160" s="986">
        <v>0</v>
      </c>
      <c r="E160" s="986">
        <v>0</v>
      </c>
      <c r="F160" s="986">
        <v>0</v>
      </c>
      <c r="G160" s="986">
        <v>0</v>
      </c>
      <c r="H160" s="12" t="s">
        <v>1308</v>
      </c>
    </row>
    <row r="161" spans="1:8" ht="15" x14ac:dyDescent="0.4">
      <c r="A161" s="487">
        <f t="shared" si="7"/>
        <v>99</v>
      </c>
      <c r="C161" s="396"/>
      <c r="D161" s="987">
        <v>0</v>
      </c>
      <c r="E161" s="987">
        <v>0</v>
      </c>
      <c r="F161" s="987">
        <v>0</v>
      </c>
      <c r="G161" s="987">
        <v>0</v>
      </c>
      <c r="H161" s="12" t="s">
        <v>1308</v>
      </c>
    </row>
    <row r="162" spans="1:8" x14ac:dyDescent="0.25">
      <c r="A162" s="487">
        <f t="shared" si="7"/>
        <v>100</v>
      </c>
      <c r="C162" s="91" t="s">
        <v>216</v>
      </c>
      <c r="D162" s="986">
        <v>0</v>
      </c>
      <c r="E162" s="986">
        <v>0</v>
      </c>
      <c r="F162" s="986">
        <v>0</v>
      </c>
      <c r="G162" s="986">
        <v>0</v>
      </c>
    </row>
    <row r="164" spans="1:8" ht="14.4" x14ac:dyDescent="0.3">
      <c r="C164" s="344" t="s">
        <v>1669</v>
      </c>
    </row>
    <row r="165" spans="1:8" ht="14.4" x14ac:dyDescent="0.3">
      <c r="C165" s="344"/>
    </row>
    <row r="166" spans="1:8" x14ac:dyDescent="0.25">
      <c r="D166" s="84" t="s">
        <v>394</v>
      </c>
      <c r="E166" s="84" t="s">
        <v>378</v>
      </c>
      <c r="F166" s="84" t="s">
        <v>379</v>
      </c>
      <c r="G166" s="84" t="s">
        <v>380</v>
      </c>
    </row>
    <row r="167" spans="1:8" ht="12.75" customHeight="1" x14ac:dyDescent="0.3">
      <c r="D167" s="225" t="s">
        <v>1583</v>
      </c>
      <c r="E167" s="225" t="s">
        <v>1212</v>
      </c>
      <c r="F167" s="84"/>
      <c r="G167" s="84"/>
    </row>
    <row r="168" spans="1:8" ht="12.75" customHeight="1" x14ac:dyDescent="0.3">
      <c r="D168" s="3" t="s">
        <v>1670</v>
      </c>
      <c r="E168" s="3" t="s">
        <v>1670</v>
      </c>
      <c r="F168" s="3" t="s">
        <v>1642</v>
      </c>
      <c r="G168" s="227" t="s">
        <v>215</v>
      </c>
      <c r="H168" s="3" t="s">
        <v>198</v>
      </c>
    </row>
    <row r="169" spans="1:8" x14ac:dyDescent="0.25">
      <c r="A169" s="487">
        <f>A162+1</f>
        <v>101</v>
      </c>
      <c r="C169" s="91" t="s">
        <v>1393</v>
      </c>
      <c r="D169" s="986">
        <v>0</v>
      </c>
      <c r="E169" s="986">
        <v>0</v>
      </c>
      <c r="F169" s="986">
        <v>0</v>
      </c>
      <c r="G169" s="986">
        <v>0</v>
      </c>
      <c r="H169" s="470" t="s">
        <v>1309</v>
      </c>
    </row>
    <row r="170" spans="1:8" x14ac:dyDescent="0.25">
      <c r="A170" s="487">
        <f t="shared" ref="A170:A180" si="8">A169+1</f>
        <v>102</v>
      </c>
      <c r="C170" s="91" t="s">
        <v>1394</v>
      </c>
      <c r="D170" s="986">
        <v>0</v>
      </c>
      <c r="E170" s="986">
        <v>0</v>
      </c>
      <c r="F170" s="986">
        <v>0</v>
      </c>
      <c r="G170" s="986">
        <v>0</v>
      </c>
      <c r="H170" s="470" t="s">
        <v>1309</v>
      </c>
    </row>
    <row r="171" spans="1:8" x14ac:dyDescent="0.25">
      <c r="A171" s="487">
        <f t="shared" si="8"/>
        <v>103</v>
      </c>
      <c r="C171" s="91" t="s">
        <v>1395</v>
      </c>
      <c r="D171" s="986">
        <v>0</v>
      </c>
      <c r="E171" s="986">
        <v>0</v>
      </c>
      <c r="F171" s="986">
        <v>0</v>
      </c>
      <c r="G171" s="986">
        <v>0</v>
      </c>
      <c r="H171" s="470" t="s">
        <v>1309</v>
      </c>
    </row>
    <row r="172" spans="1:8" x14ac:dyDescent="0.25">
      <c r="A172" s="487">
        <f t="shared" si="8"/>
        <v>104</v>
      </c>
      <c r="C172" s="91" t="s">
        <v>1396</v>
      </c>
      <c r="D172" s="986">
        <v>0</v>
      </c>
      <c r="E172" s="986">
        <v>0</v>
      </c>
      <c r="F172" s="986">
        <v>0</v>
      </c>
      <c r="G172" s="986">
        <v>0</v>
      </c>
      <c r="H172" s="470" t="s">
        <v>1309</v>
      </c>
    </row>
    <row r="173" spans="1:8" x14ac:dyDescent="0.25">
      <c r="A173" s="487">
        <f t="shared" si="8"/>
        <v>105</v>
      </c>
      <c r="C173" s="91" t="s">
        <v>1397</v>
      </c>
      <c r="D173" s="986">
        <v>0</v>
      </c>
      <c r="E173" s="986">
        <v>0</v>
      </c>
      <c r="F173" s="986">
        <v>0</v>
      </c>
      <c r="G173" s="986">
        <v>0</v>
      </c>
      <c r="H173" s="470" t="s">
        <v>1309</v>
      </c>
    </row>
    <row r="174" spans="1:8" x14ac:dyDescent="0.25">
      <c r="A174" s="487">
        <f t="shared" si="8"/>
        <v>106</v>
      </c>
      <c r="C174" s="91" t="s">
        <v>1398</v>
      </c>
      <c r="D174" s="986">
        <v>0</v>
      </c>
      <c r="E174" s="986">
        <v>0</v>
      </c>
      <c r="F174" s="986">
        <v>0</v>
      </c>
      <c r="G174" s="986">
        <v>0</v>
      </c>
      <c r="H174" s="470" t="s">
        <v>1309</v>
      </c>
    </row>
    <row r="175" spans="1:8" x14ac:dyDescent="0.25">
      <c r="A175" s="487">
        <f t="shared" si="8"/>
        <v>107</v>
      </c>
      <c r="C175" s="91" t="s">
        <v>1399</v>
      </c>
      <c r="D175" s="986">
        <v>0</v>
      </c>
      <c r="E175" s="986">
        <v>0</v>
      </c>
      <c r="F175" s="986">
        <v>0</v>
      </c>
      <c r="G175" s="986">
        <v>0</v>
      </c>
      <c r="H175" s="470" t="s">
        <v>1309</v>
      </c>
    </row>
    <row r="176" spans="1:8" x14ac:dyDescent="0.25">
      <c r="A176" s="487">
        <f t="shared" si="8"/>
        <v>108</v>
      </c>
      <c r="C176" s="91" t="s">
        <v>1400</v>
      </c>
      <c r="D176" s="986">
        <v>0</v>
      </c>
      <c r="E176" s="986">
        <v>0</v>
      </c>
      <c r="F176" s="986">
        <v>0</v>
      </c>
      <c r="G176" s="986">
        <v>0</v>
      </c>
      <c r="H176" s="470" t="s">
        <v>1309</v>
      </c>
    </row>
    <row r="177" spans="1:8" x14ac:dyDescent="0.25">
      <c r="A177" s="487">
        <f t="shared" si="8"/>
        <v>109</v>
      </c>
      <c r="C177" s="91" t="s">
        <v>1401</v>
      </c>
      <c r="D177" s="986">
        <v>0</v>
      </c>
      <c r="E177" s="986">
        <v>0</v>
      </c>
      <c r="F177" s="986">
        <v>0</v>
      </c>
      <c r="G177" s="986">
        <v>0</v>
      </c>
      <c r="H177" s="470" t="s">
        <v>1309</v>
      </c>
    </row>
    <row r="178" spans="1:8" x14ac:dyDescent="0.25">
      <c r="A178" s="487">
        <f t="shared" si="8"/>
        <v>110</v>
      </c>
      <c r="C178" s="396"/>
      <c r="D178" s="986">
        <v>0</v>
      </c>
      <c r="E178" s="986">
        <v>0</v>
      </c>
      <c r="F178" s="986">
        <v>0</v>
      </c>
      <c r="G178" s="986">
        <v>0</v>
      </c>
      <c r="H178" s="470" t="s">
        <v>1309</v>
      </c>
    </row>
    <row r="179" spans="1:8" ht="15" x14ac:dyDescent="0.4">
      <c r="A179" s="487">
        <f t="shared" si="8"/>
        <v>111</v>
      </c>
      <c r="C179" s="396"/>
      <c r="D179" s="987">
        <v>0</v>
      </c>
      <c r="E179" s="987">
        <v>0</v>
      </c>
      <c r="F179" s="987">
        <v>0</v>
      </c>
      <c r="G179" s="987">
        <v>0</v>
      </c>
      <c r="H179" s="470" t="s">
        <v>1309</v>
      </c>
    </row>
    <row r="180" spans="1:8" x14ac:dyDescent="0.25">
      <c r="A180" s="487">
        <f t="shared" si="8"/>
        <v>112</v>
      </c>
      <c r="C180" s="91" t="s">
        <v>216</v>
      </c>
      <c r="D180" s="986">
        <v>0</v>
      </c>
      <c r="E180" s="986">
        <v>0</v>
      </c>
      <c r="F180" s="986">
        <v>0</v>
      </c>
      <c r="G180" s="986">
        <v>0</v>
      </c>
    </row>
    <row r="182" spans="1:8" x14ac:dyDescent="0.25">
      <c r="B182" s="1" t="s">
        <v>256</v>
      </c>
    </row>
    <row r="183" spans="1:8" x14ac:dyDescent="0.25">
      <c r="B183" s="48" t="str">
        <f>"1) (Sum Lines "&amp;A64&amp;" to "&amp;A67&amp;") * (FF + U Factors from 28-FFU) for Prior Year TRR"</f>
        <v>1) (Sum Lines 33 to 36) * (FF + U Factors from 28-FFU) for Prior Year TRR</v>
      </c>
      <c r="D183" s="13"/>
      <c r="E183" s="13"/>
      <c r="F183" s="13"/>
    </row>
    <row r="184" spans="1:8" x14ac:dyDescent="0.25">
      <c r="B184" s="12" t="str">
        <f>"(Sum Lines "&amp;A65&amp;" to "&amp;A68&amp;") * (FF Factor from 28-FFU) for True Up TRR"</f>
        <v>(Sum Lines 34 to 37) * (FF Factor from 28-FFU) for True Up TRR</v>
      </c>
      <c r="D184" s="13"/>
      <c r="E184" s="13"/>
      <c r="F184" s="13"/>
    </row>
    <row r="185" spans="1:8" x14ac:dyDescent="0.25">
      <c r="B185" s="11" t="str">
        <f>"2) Project Cost of capital is a fraction of total Cost of Capital on Line "&amp;A26&amp;" based on fraction of project CWIP Balances on Lines "&amp;A9&amp;" to "&amp;A20&amp;", Col 1."</f>
        <v>2) Project Cost of capital is a fraction of total Cost of Capital on Line 15 based on fraction of project CWIP Balances on Lines 1 to 12, Col 1.</v>
      </c>
      <c r="D185" s="13"/>
      <c r="E185" s="13"/>
      <c r="F185" s="13"/>
    </row>
    <row r="186" spans="1:8" x14ac:dyDescent="0.25">
      <c r="B186" s="12" t="str">
        <f>"Project Income Taxes is a fraction of total Income on Line "&amp;A34&amp;" based on fraction of project CWIP Balances on Lines "&amp;A9&amp;" to "&amp;A20&amp;", Col 1."</f>
        <v>Project Income Taxes is a fraction of total Income on Line 19 based on fraction of project CWIP Balances on Lines 1 to 12, Col 1.</v>
      </c>
      <c r="D186" s="13"/>
      <c r="E186" s="13"/>
      <c r="F186" s="13"/>
    </row>
    <row r="187" spans="1:8" x14ac:dyDescent="0.25">
      <c r="B187" s="15" t="str">
        <f>"ROE Adder is from Lines "&amp;A66&amp;" and "&amp;A67&amp;".  FF&amp;U Expenses are based on FF&amp;U Factors on 28-FFU."</f>
        <v>ROE Adder is from Lines 35 and 36.  FF&amp;U Expenses are based on FF&amp;U Factors on 28-FFU.</v>
      </c>
      <c r="D187" s="13"/>
      <c r="E187" s="13"/>
      <c r="F187" s="13"/>
    </row>
    <row r="188" spans="1:8" x14ac:dyDescent="0.25">
      <c r="B188" s="11" t="str">
        <f>"3) Project Cost of capital is a fraction of total Cost of Capital on Line "&amp;A26&amp;" based on fraction of project CWIP Balances on Lines "&amp;A9&amp;" to "&amp;A20&amp;", Col 2."</f>
        <v>3) Project Cost of capital is a fraction of total Cost of Capital on Line 15 based on fraction of project CWIP Balances on Lines 1 to 12, Col 2.</v>
      </c>
      <c r="D188" s="13"/>
      <c r="E188" s="13"/>
      <c r="F188" s="13"/>
    </row>
    <row r="189" spans="1:8" x14ac:dyDescent="0.25">
      <c r="B189" s="12" t="str">
        <f>"Project Income Taxes is a fraction of total Income on Line "&amp;A34&amp;" based on fraction of project CWIP Balances on Lines "&amp;A9&amp;" to "&amp;A20&amp;", Col 2."</f>
        <v>Project Income Taxes is a fraction of total Income on Line 19 based on fraction of project CWIP Balances on Lines 1 to 12, Col 2.</v>
      </c>
      <c r="D189" s="13"/>
      <c r="E189" s="13"/>
      <c r="F189" s="13"/>
    </row>
    <row r="190" spans="1:8" x14ac:dyDescent="0.25">
      <c r="B190" s="15" t="str">
        <f>"ROE Adder is from Lines "&amp;A66&amp;" and "&amp;A67&amp;".  FF Expenses is based on FF Factor on 28-FFU."</f>
        <v>ROE Adder is from Lines 35 and 36.  FF Expenses is based on FF Factor on 28-FFU.</v>
      </c>
      <c r="D190" s="13"/>
      <c r="E190" s="13"/>
      <c r="F190" s="13"/>
    </row>
    <row r="191" spans="1:8" x14ac:dyDescent="0.25">
      <c r="B191" s="11" t="str">
        <f>"4) Project contribution to total IFPTRR is based on fraction of Forecast Period CWIP Balances on Lines "&amp;A9&amp;" to "&amp;A20&amp;", Col 3."</f>
        <v>4) Project contribution to total IFPTRR is based on fraction of Forecast Period CWIP Balances on Lines 1 to 12, Col 3.</v>
      </c>
    </row>
    <row r="192" spans="1:8" x14ac:dyDescent="0.25">
      <c r="B192" s="11" t="str">
        <f>"5) Column 1 is from Lines "&amp;A77&amp;" to "&amp;A87&amp;", Sum of Column 1-3 (no FF&amp;U)."</f>
        <v>5) Column 1 is from Lines 39 to 49, Sum of Column 1-3 (no FF&amp;U).</v>
      </c>
    </row>
    <row r="193" spans="2:6" x14ac:dyDescent="0.25">
      <c r="B193" s="12" t="str">
        <f>"Column 2 is from Lines "&amp;A120&amp;" to "&amp;A130&amp;" (no FF&amp;U)."</f>
        <v>Column 2 is from Lines 68 to 78 (no FF&amp;U).</v>
      </c>
    </row>
    <row r="194" spans="2:6" x14ac:dyDescent="0.25">
      <c r="B194" s="465" t="str">
        <f>"Column 3 is the product of (C1 + C2) and the sum of FF and U factors (28-FFU, L"&amp;'28-FFU'!A22&amp;")"</f>
        <v>Column 3 is the product of (C1 + C2) and the sum of FF and U factors (28-FFU, L5)</v>
      </c>
      <c r="C194" s="13"/>
      <c r="D194" s="13"/>
      <c r="E194" s="13"/>
      <c r="F194" s="13"/>
    </row>
    <row r="195" spans="2:6" x14ac:dyDescent="0.25">
      <c r="B195" s="466" t="s">
        <v>1672</v>
      </c>
    </row>
  </sheetData>
  <pageMargins left="0.7" right="0.7" top="0.75" bottom="0.75" header="0.3" footer="0.3"/>
  <pageSetup scale="70" orientation="portrait" cellComments="asDisplayed" r:id="rId1"/>
  <headerFooter>
    <oddHeader xml:space="preserve">&amp;C&amp;"Arial,Bold"Schedule 24
CWIP TRR&amp;"Arial,Regular"
</oddHeader>
    <oddFooter>&amp;R24-CWIPTRR</oddFooter>
  </headerFooter>
  <rowBreaks count="2" manualBreakCount="2">
    <brk id="70" max="16383" man="1"/>
    <brk id="132"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zoomScale="85" zoomScaleNormal="85" zoomScaleSheetLayoutView="90" workbookViewId="0"/>
  </sheetViews>
  <sheetFormatPr defaultRowHeight="13.2" x14ac:dyDescent="0.25"/>
  <cols>
    <col min="1" max="1" width="4.6640625" customWidth="1"/>
    <col min="6" max="6" width="11.6640625" customWidth="1"/>
    <col min="7" max="7" width="21.6640625" customWidth="1"/>
    <col min="8" max="9" width="14.6640625" customWidth="1"/>
  </cols>
  <sheetData>
    <row r="1" spans="1:12" x14ac:dyDescent="0.25">
      <c r="A1" s="1" t="s">
        <v>1508</v>
      </c>
      <c r="B1" s="213"/>
      <c r="C1" s="213"/>
      <c r="D1" s="213"/>
      <c r="E1" s="213"/>
      <c r="F1" s="213"/>
      <c r="G1" s="213"/>
      <c r="H1" s="213"/>
      <c r="I1" s="213"/>
      <c r="J1" s="213"/>
      <c r="K1" s="213"/>
      <c r="L1" s="213"/>
    </row>
    <row r="2" spans="1:12" x14ac:dyDescent="0.25">
      <c r="A2" s="1"/>
      <c r="B2" s="213"/>
      <c r="C2" s="213"/>
      <c r="D2" s="213"/>
      <c r="E2" s="213"/>
      <c r="F2" s="213"/>
      <c r="G2" s="213"/>
      <c r="H2" s="439" t="s">
        <v>17</v>
      </c>
      <c r="I2" s="383"/>
      <c r="J2" s="213"/>
      <c r="K2" s="213"/>
      <c r="L2" s="213"/>
    </row>
    <row r="3" spans="1:12" x14ac:dyDescent="0.25">
      <c r="A3" s="1"/>
      <c r="B3" s="213" t="s">
        <v>1509</v>
      </c>
      <c r="C3" s="213"/>
      <c r="D3" s="213"/>
      <c r="E3" s="213"/>
      <c r="F3" s="213"/>
      <c r="G3" s="213"/>
      <c r="H3" s="222"/>
      <c r="I3" s="222"/>
      <c r="J3" s="213"/>
      <c r="K3" s="213"/>
      <c r="L3" s="213"/>
    </row>
    <row r="4" spans="1:12" x14ac:dyDescent="0.25">
      <c r="A4" s="1"/>
      <c r="B4" s="222" t="s">
        <v>2178</v>
      </c>
      <c r="C4" s="222"/>
      <c r="D4" s="222"/>
      <c r="E4" s="222"/>
      <c r="F4" s="222"/>
      <c r="G4" s="222"/>
      <c r="H4" s="222"/>
      <c r="I4" s="222"/>
      <c r="J4" s="213"/>
      <c r="K4" s="213"/>
      <c r="L4" s="213"/>
    </row>
    <row r="5" spans="1:12" ht="13.8" x14ac:dyDescent="0.3">
      <c r="A5" s="1"/>
      <c r="B5" s="222" t="s">
        <v>1988</v>
      </c>
      <c r="C5" s="222"/>
      <c r="D5" s="222"/>
      <c r="E5" s="222"/>
      <c r="F5" s="222"/>
      <c r="G5" s="222"/>
      <c r="H5" s="222"/>
      <c r="I5" s="222"/>
      <c r="J5" s="213"/>
      <c r="K5" s="213"/>
      <c r="L5" s="213"/>
    </row>
    <row r="6" spans="1:12" x14ac:dyDescent="0.25">
      <c r="A6" s="1"/>
      <c r="B6" s="222"/>
      <c r="C6" s="222"/>
      <c r="D6" s="222"/>
      <c r="E6" s="222"/>
      <c r="F6" s="222"/>
      <c r="G6" s="222"/>
      <c r="H6" s="222"/>
      <c r="I6" s="222"/>
      <c r="J6" s="213"/>
      <c r="K6" s="213"/>
      <c r="L6" s="213"/>
    </row>
    <row r="7" spans="1:12" x14ac:dyDescent="0.25">
      <c r="A7" s="1"/>
      <c r="B7" s="222" t="s">
        <v>2179</v>
      </c>
      <c r="C7" s="222"/>
      <c r="D7" s="222"/>
      <c r="E7" s="222"/>
      <c r="F7" s="222"/>
      <c r="G7" s="222"/>
      <c r="H7" s="222"/>
      <c r="I7" s="222"/>
      <c r="J7" s="213"/>
      <c r="K7" s="213"/>
      <c r="L7" s="213"/>
    </row>
    <row r="8" spans="1:12" x14ac:dyDescent="0.25">
      <c r="A8" s="1"/>
      <c r="B8" s="213" t="s">
        <v>1510</v>
      </c>
      <c r="C8" s="213"/>
      <c r="D8" s="213"/>
      <c r="E8" s="213"/>
      <c r="F8" s="213"/>
      <c r="G8" s="213"/>
      <c r="H8" s="222"/>
      <c r="I8" s="222"/>
      <c r="J8" s="213"/>
      <c r="K8" s="213"/>
      <c r="L8" s="213"/>
    </row>
    <row r="9" spans="1:12" x14ac:dyDescent="0.25">
      <c r="A9" s="1"/>
      <c r="B9" s="213" t="s">
        <v>1511</v>
      </c>
      <c r="C9" s="213"/>
      <c r="D9" s="213"/>
      <c r="E9" s="213"/>
      <c r="F9" s="213"/>
      <c r="G9" s="213"/>
      <c r="H9" s="222"/>
      <c r="I9" s="222"/>
      <c r="J9" s="213"/>
      <c r="K9" s="213"/>
      <c r="L9" s="213"/>
    </row>
    <row r="10" spans="1:12" x14ac:dyDescent="0.25">
      <c r="A10" s="1"/>
      <c r="B10" s="213"/>
      <c r="C10" s="213"/>
      <c r="D10" s="213"/>
      <c r="E10" s="213"/>
      <c r="F10" s="213"/>
      <c r="G10" s="213"/>
      <c r="H10" s="216" t="s">
        <v>1512</v>
      </c>
      <c r="I10" s="222"/>
      <c r="J10" s="213"/>
      <c r="K10" s="213"/>
      <c r="L10" s="213"/>
    </row>
    <row r="11" spans="1:12" ht="14.4" x14ac:dyDescent="0.3">
      <c r="A11" s="1"/>
      <c r="B11" s="213"/>
      <c r="C11" s="213"/>
      <c r="D11" s="213"/>
      <c r="E11" s="213"/>
      <c r="F11" s="213"/>
      <c r="G11" s="216" t="s">
        <v>192</v>
      </c>
      <c r="H11" s="225" t="s">
        <v>1513</v>
      </c>
      <c r="I11" s="440" t="s">
        <v>354</v>
      </c>
      <c r="J11" s="213"/>
      <c r="K11" s="213"/>
      <c r="L11" s="213"/>
    </row>
    <row r="12" spans="1:12" x14ac:dyDescent="0.25">
      <c r="A12" s="49" t="s">
        <v>360</v>
      </c>
      <c r="B12" s="213"/>
      <c r="C12" s="213"/>
      <c r="D12" s="213"/>
      <c r="E12" s="213"/>
      <c r="F12" s="213"/>
      <c r="G12" s="343" t="s">
        <v>317</v>
      </c>
      <c r="H12" s="343" t="s">
        <v>317</v>
      </c>
      <c r="I12" s="441" t="s">
        <v>1514</v>
      </c>
      <c r="J12" s="213"/>
      <c r="K12" s="213"/>
      <c r="L12" s="213"/>
    </row>
    <row r="13" spans="1:12" x14ac:dyDescent="0.25">
      <c r="A13" s="2">
        <v>1</v>
      </c>
      <c r="B13" s="213" t="s">
        <v>1515</v>
      </c>
      <c r="C13" s="213"/>
      <c r="D13" s="213"/>
      <c r="E13" s="213"/>
      <c r="F13" s="213"/>
      <c r="G13" s="232" t="s">
        <v>246</v>
      </c>
      <c r="H13" s="442" t="s">
        <v>246</v>
      </c>
      <c r="I13" s="59" t="s">
        <v>248</v>
      </c>
      <c r="J13" s="213"/>
      <c r="K13" s="213"/>
      <c r="L13" s="213"/>
    </row>
    <row r="14" spans="1:12" x14ac:dyDescent="0.25">
      <c r="A14" s="2">
        <f>A13+1</f>
        <v>2</v>
      </c>
      <c r="B14" s="213" t="s">
        <v>1516</v>
      </c>
      <c r="C14" s="213"/>
      <c r="D14" s="213"/>
      <c r="E14" s="213"/>
      <c r="F14" s="213"/>
      <c r="G14" s="232" t="s">
        <v>246</v>
      </c>
      <c r="H14" s="442" t="s">
        <v>246</v>
      </c>
      <c r="I14" s="442" t="s">
        <v>246</v>
      </c>
      <c r="J14" s="213"/>
      <c r="K14" s="213"/>
      <c r="L14" s="213"/>
    </row>
    <row r="15" spans="1:12" x14ac:dyDescent="0.25">
      <c r="A15" s="103">
        <f>A14+1</f>
        <v>3</v>
      </c>
      <c r="B15" s="222" t="s">
        <v>1707</v>
      </c>
      <c r="C15" s="213"/>
      <c r="D15" s="213"/>
      <c r="E15" s="213"/>
      <c r="F15" s="213"/>
      <c r="G15" s="232" t="s">
        <v>246</v>
      </c>
      <c r="H15" s="442" t="s">
        <v>246</v>
      </c>
      <c r="I15" s="442" t="s">
        <v>246</v>
      </c>
      <c r="J15" s="213"/>
      <c r="K15" s="213"/>
      <c r="L15" s="213"/>
    </row>
    <row r="16" spans="1:12" x14ac:dyDescent="0.25">
      <c r="A16" s="2">
        <f>A15+1</f>
        <v>4</v>
      </c>
      <c r="B16" s="213" t="s">
        <v>1517</v>
      </c>
      <c r="C16" s="213"/>
      <c r="D16" s="213"/>
      <c r="E16" s="213"/>
      <c r="F16" s="213"/>
      <c r="G16" s="232" t="s">
        <v>246</v>
      </c>
      <c r="H16" s="442" t="s">
        <v>246</v>
      </c>
      <c r="I16" s="442" t="s">
        <v>248</v>
      </c>
      <c r="J16" s="213"/>
      <c r="K16" s="213"/>
      <c r="L16" s="213"/>
    </row>
    <row r="17" spans="1:12" x14ac:dyDescent="0.25">
      <c r="A17" s="2">
        <f>A16+1</f>
        <v>5</v>
      </c>
      <c r="B17" s="213" t="s">
        <v>1518</v>
      </c>
      <c r="C17" s="213"/>
      <c r="D17" s="213"/>
      <c r="E17" s="213"/>
      <c r="F17" s="213"/>
      <c r="G17" s="232" t="s">
        <v>248</v>
      </c>
      <c r="H17" s="442" t="s">
        <v>246</v>
      </c>
      <c r="I17" s="442" t="s">
        <v>248</v>
      </c>
      <c r="J17" s="213"/>
      <c r="K17" s="213"/>
      <c r="L17" s="213"/>
    </row>
    <row r="18" spans="1:12" x14ac:dyDescent="0.25">
      <c r="A18" s="103">
        <f>A17+1</f>
        <v>6</v>
      </c>
      <c r="B18" s="222" t="s">
        <v>2431</v>
      </c>
      <c r="C18" s="222"/>
      <c r="D18" s="222"/>
      <c r="E18" s="222"/>
      <c r="F18" s="222"/>
      <c r="G18" s="442" t="s">
        <v>248</v>
      </c>
      <c r="H18" s="442" t="s">
        <v>246</v>
      </c>
      <c r="I18" s="442" t="s">
        <v>248</v>
      </c>
      <c r="J18" s="213"/>
      <c r="K18" s="213"/>
      <c r="L18" s="213"/>
    </row>
    <row r="19" spans="1:12" x14ac:dyDescent="0.25">
      <c r="A19" s="213"/>
      <c r="B19" s="213"/>
      <c r="C19" s="443"/>
      <c r="D19" s="222"/>
      <c r="E19" s="222"/>
      <c r="F19" s="222"/>
      <c r="G19" s="213"/>
      <c r="H19" s="213"/>
      <c r="I19" s="213"/>
      <c r="J19" s="213"/>
      <c r="K19" s="213"/>
      <c r="L19" s="213"/>
    </row>
    <row r="20" spans="1:12" x14ac:dyDescent="0.25">
      <c r="A20" s="213"/>
      <c r="B20" s="382" t="s">
        <v>1519</v>
      </c>
      <c r="C20" s="350"/>
      <c r="D20" s="222"/>
      <c r="E20" s="222"/>
      <c r="F20" s="222"/>
      <c r="G20" s="213"/>
      <c r="H20" s="213"/>
      <c r="I20" s="213"/>
      <c r="J20" s="213"/>
      <c r="K20" s="213"/>
      <c r="L20" s="213"/>
    </row>
    <row r="21" spans="1:12" x14ac:dyDescent="0.25">
      <c r="A21" s="213"/>
      <c r="B21" s="382"/>
      <c r="C21" s="350"/>
      <c r="D21" s="222"/>
      <c r="E21" s="222"/>
      <c r="F21" s="222"/>
      <c r="G21" s="213"/>
      <c r="H21" s="213"/>
      <c r="I21" s="213"/>
      <c r="J21" s="213"/>
      <c r="K21" s="213"/>
      <c r="L21" s="213"/>
    </row>
    <row r="22" spans="1:12" x14ac:dyDescent="0.25">
      <c r="A22" s="213"/>
      <c r="B22" s="444" t="s">
        <v>1520</v>
      </c>
      <c r="C22" s="352"/>
      <c r="D22" s="222"/>
      <c r="E22" s="222"/>
      <c r="F22" s="222"/>
      <c r="G22" s="213"/>
      <c r="H22" s="213"/>
      <c r="I22" s="213"/>
      <c r="J22" s="213"/>
      <c r="K22" s="213"/>
      <c r="L22" s="213"/>
    </row>
    <row r="23" spans="1:12" x14ac:dyDescent="0.25">
      <c r="A23" s="213"/>
      <c r="B23" s="230" t="s">
        <v>1521</v>
      </c>
      <c r="C23" s="352"/>
      <c r="D23" s="222"/>
      <c r="E23" s="222"/>
      <c r="F23" s="222"/>
      <c r="G23" s="213"/>
      <c r="H23" s="213"/>
      <c r="I23" s="213"/>
      <c r="J23" s="213"/>
      <c r="K23" s="213"/>
      <c r="L23" s="213"/>
    </row>
    <row r="24" spans="1:12" x14ac:dyDescent="0.25">
      <c r="A24" s="213"/>
      <c r="B24" s="230" t="s">
        <v>1522</v>
      </c>
      <c r="C24" s="213"/>
      <c r="D24" s="213"/>
      <c r="E24" s="213"/>
      <c r="F24" s="213"/>
      <c r="G24" s="213"/>
      <c r="H24" s="213"/>
      <c r="I24" s="213"/>
      <c r="J24" s="213"/>
      <c r="K24" s="213"/>
      <c r="L24" s="213"/>
    </row>
    <row r="25" spans="1:12" x14ac:dyDescent="0.25">
      <c r="A25" s="213"/>
      <c r="B25" s="213"/>
      <c r="C25" s="213"/>
      <c r="D25" s="213"/>
      <c r="E25" s="213"/>
      <c r="F25" s="213"/>
      <c r="G25" s="213"/>
      <c r="H25" s="84" t="s">
        <v>394</v>
      </c>
      <c r="I25" s="84" t="s">
        <v>378</v>
      </c>
      <c r="J25" s="213"/>
      <c r="K25" s="213"/>
      <c r="L25" s="213"/>
    </row>
    <row r="26" spans="1:12" x14ac:dyDescent="0.25">
      <c r="A26" s="213"/>
      <c r="B26" s="213"/>
      <c r="C26" s="213"/>
      <c r="D26" s="213"/>
      <c r="E26" s="213"/>
      <c r="F26" s="213"/>
      <c r="G26" s="213"/>
      <c r="H26" s="445" t="s">
        <v>1523</v>
      </c>
      <c r="I26" s="213"/>
      <c r="J26" s="213"/>
      <c r="K26" s="213"/>
      <c r="L26" s="213"/>
    </row>
    <row r="27" spans="1:12" x14ac:dyDescent="0.25">
      <c r="A27" s="213"/>
      <c r="B27" s="213"/>
      <c r="C27" s="213"/>
      <c r="D27" s="213"/>
      <c r="E27" s="213"/>
      <c r="F27" s="213"/>
      <c r="G27" s="213"/>
      <c r="H27" s="445" t="s">
        <v>317</v>
      </c>
      <c r="I27" s="216" t="s">
        <v>1524</v>
      </c>
      <c r="J27" s="213"/>
      <c r="K27" s="213"/>
      <c r="L27" s="213"/>
    </row>
    <row r="28" spans="1:12" x14ac:dyDescent="0.25">
      <c r="A28" s="213"/>
      <c r="B28" s="213"/>
      <c r="C28" s="213"/>
      <c r="D28" s="213"/>
      <c r="E28" s="213"/>
      <c r="F28" s="213"/>
      <c r="G28" s="25" t="s">
        <v>213</v>
      </c>
      <c r="H28" s="216" t="s">
        <v>1525</v>
      </c>
      <c r="I28" s="216" t="s">
        <v>1526</v>
      </c>
      <c r="J28" s="213"/>
      <c r="K28" s="213"/>
      <c r="L28" s="213"/>
    </row>
    <row r="29" spans="1:12" ht="14.4" x14ac:dyDescent="0.3">
      <c r="A29" s="49"/>
      <c r="B29" s="213"/>
      <c r="C29" s="213"/>
      <c r="D29" s="213"/>
      <c r="E29" s="213"/>
      <c r="F29" s="213"/>
      <c r="G29" s="24" t="s">
        <v>198</v>
      </c>
      <c r="H29" s="446" t="s">
        <v>1527</v>
      </c>
      <c r="I29" s="227" t="s">
        <v>1513</v>
      </c>
      <c r="J29" s="343"/>
      <c r="K29" s="213"/>
      <c r="L29" s="213"/>
    </row>
    <row r="30" spans="1:12" x14ac:dyDescent="0.25">
      <c r="A30" s="103">
        <f>A18+1</f>
        <v>7</v>
      </c>
      <c r="B30" s="222"/>
      <c r="C30" s="213" t="s">
        <v>1528</v>
      </c>
      <c r="D30" s="213"/>
      <c r="E30" s="213"/>
      <c r="F30" s="213"/>
      <c r="G30" s="12" t="s">
        <v>1529</v>
      </c>
      <c r="H30" s="217">
        <v>31556000</v>
      </c>
      <c r="I30" s="215">
        <v>-2176300</v>
      </c>
      <c r="J30" s="213"/>
      <c r="K30" s="213"/>
      <c r="L30" s="213"/>
    </row>
    <row r="31" spans="1:12" x14ac:dyDescent="0.25">
      <c r="A31" s="103">
        <f>A30+1</f>
        <v>8</v>
      </c>
      <c r="B31" s="222"/>
      <c r="C31" s="213" t="s">
        <v>1530</v>
      </c>
      <c r="D31" s="213"/>
      <c r="E31" s="213"/>
      <c r="F31" s="213"/>
      <c r="G31" s="12" t="s">
        <v>1529</v>
      </c>
      <c r="H31" s="215">
        <v>-35044000</v>
      </c>
      <c r="I31" s="215">
        <v>2503000</v>
      </c>
      <c r="J31" s="213"/>
      <c r="K31" s="213"/>
      <c r="L31" s="213"/>
    </row>
    <row r="32" spans="1:12" x14ac:dyDescent="0.25">
      <c r="A32" s="103">
        <f>A31+1</f>
        <v>9</v>
      </c>
      <c r="B32" s="222"/>
      <c r="C32" s="222" t="s">
        <v>1708</v>
      </c>
      <c r="D32" s="222"/>
      <c r="E32" s="222"/>
      <c r="F32" s="222"/>
      <c r="G32" s="45" t="s">
        <v>1529</v>
      </c>
      <c r="H32" s="217">
        <v>-624650</v>
      </c>
      <c r="I32" s="217">
        <v>43100</v>
      </c>
      <c r="J32" s="213"/>
      <c r="K32" s="213"/>
      <c r="L32" s="213"/>
    </row>
    <row r="33" spans="1:12" x14ac:dyDescent="0.25">
      <c r="A33" s="103">
        <f>A32+1</f>
        <v>10</v>
      </c>
      <c r="B33" s="222"/>
      <c r="C33" s="213" t="s">
        <v>1531</v>
      </c>
      <c r="D33" s="213"/>
      <c r="E33" s="213"/>
      <c r="F33" s="213"/>
      <c r="G33" s="12" t="s">
        <v>1529</v>
      </c>
      <c r="H33" s="342">
        <v>-7410000</v>
      </c>
      <c r="I33" s="447">
        <v>511200</v>
      </c>
      <c r="J33" s="213"/>
      <c r="K33" s="213"/>
      <c r="L33" s="213"/>
    </row>
    <row r="34" spans="1:12" x14ac:dyDescent="0.25">
      <c r="A34" s="103">
        <f>A33+1</f>
        <v>11</v>
      </c>
      <c r="B34" s="222"/>
      <c r="C34" s="213"/>
      <c r="D34" s="213"/>
      <c r="E34" s="213"/>
      <c r="G34" s="214" t="s">
        <v>216</v>
      </c>
      <c r="H34" s="215">
        <f>SUM(H30:H33)</f>
        <v>-11522650</v>
      </c>
      <c r="I34" s="215">
        <f>SUM(I30:I33)</f>
        <v>881000</v>
      </c>
      <c r="J34" s="213"/>
      <c r="K34" s="213"/>
      <c r="L34" s="213"/>
    </row>
    <row r="35" spans="1:12" x14ac:dyDescent="0.25">
      <c r="A35" s="2"/>
      <c r="B35" s="213"/>
      <c r="C35" s="213"/>
      <c r="D35" s="213"/>
      <c r="E35" s="213"/>
      <c r="G35" s="214"/>
      <c r="H35" s="215"/>
      <c r="I35" s="215"/>
      <c r="J35" s="213"/>
      <c r="K35" s="213"/>
      <c r="L35" s="213"/>
    </row>
    <row r="36" spans="1:12" x14ac:dyDescent="0.25">
      <c r="A36" s="2"/>
      <c r="B36" s="444" t="s">
        <v>1532</v>
      </c>
      <c r="C36" s="213"/>
      <c r="D36" s="213"/>
      <c r="E36" s="213"/>
      <c r="G36" s="214"/>
      <c r="H36" s="215"/>
      <c r="I36" s="215"/>
      <c r="J36" s="213"/>
      <c r="K36" s="213"/>
      <c r="L36" s="213"/>
    </row>
    <row r="37" spans="1:12" x14ac:dyDescent="0.25">
      <c r="A37" s="2"/>
      <c r="B37" s="230" t="s">
        <v>1852</v>
      </c>
      <c r="C37" s="213"/>
      <c r="D37" s="213"/>
      <c r="E37" s="213"/>
      <c r="G37" s="214"/>
      <c r="H37" s="215"/>
      <c r="I37" s="215"/>
      <c r="J37" s="213"/>
      <c r="K37" s="213"/>
      <c r="L37" s="213"/>
    </row>
    <row r="38" spans="1:12" x14ac:dyDescent="0.25">
      <c r="A38" s="2"/>
      <c r="B38" s="230" t="s">
        <v>1533</v>
      </c>
      <c r="C38" s="213"/>
      <c r="D38" s="213"/>
      <c r="E38" s="213"/>
      <c r="G38" s="214"/>
      <c r="H38" s="215"/>
      <c r="I38" s="215"/>
      <c r="J38" s="213"/>
      <c r="K38" s="213"/>
      <c r="L38" s="213"/>
    </row>
    <row r="39" spans="1:12" x14ac:dyDescent="0.25">
      <c r="A39" s="216"/>
      <c r="B39" s="213"/>
      <c r="C39" s="213"/>
      <c r="D39" s="213"/>
      <c r="E39" s="213"/>
      <c r="F39" s="213"/>
      <c r="G39" s="25" t="s">
        <v>213</v>
      </c>
      <c r="H39" s="213"/>
      <c r="I39" s="213"/>
      <c r="J39" s="213"/>
      <c r="K39" s="213"/>
      <c r="L39" s="213"/>
    </row>
    <row r="40" spans="1:12" x14ac:dyDescent="0.25">
      <c r="A40" s="216"/>
      <c r="B40" s="448"/>
      <c r="C40" s="350"/>
      <c r="D40" s="222"/>
      <c r="E40" s="222"/>
      <c r="F40" s="222"/>
      <c r="G40" s="24" t="s">
        <v>198</v>
      </c>
      <c r="H40" s="3" t="s">
        <v>190</v>
      </c>
      <c r="I40" s="449" t="s">
        <v>1534</v>
      </c>
      <c r="J40" s="213"/>
      <c r="K40" s="213"/>
      <c r="L40" s="213"/>
    </row>
    <row r="41" spans="1:12" x14ac:dyDescent="0.25">
      <c r="A41" s="103">
        <f>A34+1</f>
        <v>12</v>
      </c>
      <c r="B41" s="230" t="s">
        <v>1535</v>
      </c>
      <c r="C41" s="213"/>
      <c r="D41" s="213"/>
      <c r="E41" s="222"/>
      <c r="F41" s="213"/>
      <c r="G41" s="450" t="str">
        <f>"2-IFPTRR Line "&amp;'2-IFPTRR'!A25&amp;""</f>
        <v>2-IFPTRR Line 16</v>
      </c>
      <c r="H41" s="970" t="s">
        <v>2690</v>
      </c>
      <c r="I41" s="232">
        <v>1</v>
      </c>
      <c r="J41" s="213"/>
      <c r="K41" s="213"/>
      <c r="L41" s="213"/>
    </row>
    <row r="42" spans="1:12" x14ac:dyDescent="0.25">
      <c r="A42" s="103">
        <f>A41+1</f>
        <v>13</v>
      </c>
      <c r="B42" s="230" t="s">
        <v>73</v>
      </c>
      <c r="C42" s="213"/>
      <c r="D42" s="213"/>
      <c r="E42" s="222"/>
      <c r="F42" s="213"/>
      <c r="G42" s="230"/>
      <c r="H42" s="537" t="s">
        <v>1562</v>
      </c>
      <c r="I42" s="232">
        <v>2</v>
      </c>
      <c r="J42" s="213"/>
      <c r="K42" s="213"/>
      <c r="L42" s="213"/>
    </row>
    <row r="43" spans="1:12" x14ac:dyDescent="0.25">
      <c r="A43" s="103">
        <f>A42+1</f>
        <v>14</v>
      </c>
      <c r="B43" s="230" t="s">
        <v>1536</v>
      </c>
      <c r="C43" s="213"/>
      <c r="D43" s="213"/>
      <c r="E43" s="213"/>
      <c r="F43" s="213"/>
      <c r="G43" s="215"/>
      <c r="H43" s="986">
        <v>0</v>
      </c>
      <c r="I43" s="232">
        <v>3</v>
      </c>
      <c r="J43" s="213"/>
      <c r="K43" s="213"/>
      <c r="L43" s="213"/>
    </row>
    <row r="44" spans="1:12" x14ac:dyDescent="0.25">
      <c r="A44" s="103">
        <f>A43+1</f>
        <v>15</v>
      </c>
      <c r="B44" s="230" t="s">
        <v>1537</v>
      </c>
      <c r="C44" s="350"/>
      <c r="D44" s="222"/>
      <c r="E44" s="222"/>
      <c r="F44" s="222"/>
      <c r="G44" s="12" t="str">
        <f>"Line "&amp;A43&amp;" * Line "&amp;A41&amp;""</f>
        <v>Line 14 * Line 12</v>
      </c>
      <c r="H44" s="986">
        <v>0</v>
      </c>
      <c r="I44" s="213"/>
      <c r="J44" s="213"/>
      <c r="K44" s="213"/>
      <c r="L44" s="213"/>
    </row>
    <row r="45" spans="1:12" x14ac:dyDescent="0.25">
      <c r="A45" s="13"/>
      <c r="L45" s="213"/>
    </row>
    <row r="46" spans="1:12" x14ac:dyDescent="0.25">
      <c r="A46" s="13"/>
      <c r="B46" s="382" t="s">
        <v>1713</v>
      </c>
      <c r="L46" s="213"/>
    </row>
    <row r="47" spans="1:12" x14ac:dyDescent="0.25">
      <c r="A47" s="13"/>
      <c r="L47" s="213"/>
    </row>
    <row r="48" spans="1:12" x14ac:dyDescent="0.25">
      <c r="A48" s="13"/>
      <c r="B48" s="213" t="str">
        <f>"The annual Wholesale Expense Difference impact is the negative of amounts stated in Lines "&amp;A30&amp;" to "&amp;A33&amp;" above, Column 2."</f>
        <v>The annual Wholesale Expense Difference impact is the negative of amounts stated in Lines 7 to 10 above, Column 2.</v>
      </c>
      <c r="L48" s="213"/>
    </row>
    <row r="49" spans="1:12" x14ac:dyDescent="0.25">
      <c r="A49" s="13"/>
      <c r="B49" s="213" t="s">
        <v>1564</v>
      </c>
      <c r="L49" s="213"/>
    </row>
    <row r="50" spans="1:12" x14ac:dyDescent="0.25">
      <c r="A50" s="222"/>
      <c r="B50" s="213" t="s">
        <v>1853</v>
      </c>
      <c r="C50" s="213"/>
      <c r="D50" s="213"/>
      <c r="E50" s="213"/>
      <c r="F50" s="213"/>
      <c r="G50" s="213"/>
      <c r="H50" s="213"/>
      <c r="I50" s="213"/>
      <c r="J50" s="213"/>
      <c r="K50" s="213"/>
      <c r="L50" s="213"/>
    </row>
    <row r="51" spans="1:12" x14ac:dyDescent="0.25">
      <c r="A51" s="13"/>
    </row>
    <row r="52" spans="1:12" x14ac:dyDescent="0.25">
      <c r="A52" s="222"/>
      <c r="B52" s="71" t="s">
        <v>1538</v>
      </c>
      <c r="C52" s="213"/>
      <c r="D52" s="213"/>
      <c r="E52" s="213"/>
      <c r="F52" s="213"/>
      <c r="G52" s="213"/>
      <c r="H52" s="213"/>
      <c r="I52" s="213"/>
      <c r="J52" s="213"/>
      <c r="K52" s="213"/>
      <c r="L52" s="213"/>
    </row>
    <row r="53" spans="1:12" x14ac:dyDescent="0.25">
      <c r="A53" s="222"/>
      <c r="B53" s="213"/>
      <c r="C53" s="213"/>
      <c r="D53" s="213"/>
      <c r="E53" s="213"/>
      <c r="F53" s="213"/>
      <c r="G53" s="25"/>
      <c r="H53" s="213"/>
      <c r="I53" s="213"/>
      <c r="J53" s="213"/>
      <c r="K53" s="213"/>
      <c r="L53" s="213"/>
    </row>
    <row r="54" spans="1:12" x14ac:dyDescent="0.25">
      <c r="A54" s="13"/>
      <c r="B54" s="213"/>
      <c r="C54" s="213"/>
      <c r="D54" s="213"/>
      <c r="E54" s="213"/>
      <c r="F54" s="213"/>
      <c r="G54" s="24" t="s">
        <v>198</v>
      </c>
      <c r="H54" s="3" t="s">
        <v>190</v>
      </c>
      <c r="I54" s="213"/>
      <c r="J54" s="343"/>
      <c r="K54" s="213"/>
      <c r="L54" s="213"/>
    </row>
    <row r="55" spans="1:12" x14ac:dyDescent="0.25">
      <c r="A55" s="103">
        <f>A44+1</f>
        <v>16</v>
      </c>
      <c r="B55" s="230" t="s">
        <v>1539</v>
      </c>
      <c r="C55" s="213"/>
      <c r="D55" s="213"/>
      <c r="E55" s="213"/>
      <c r="F55" s="213"/>
      <c r="G55" s="12" t="str">
        <f>"Line "&amp;A31&amp;""</f>
        <v>Line 8</v>
      </c>
      <c r="H55" s="986">
        <v>0</v>
      </c>
      <c r="I55" s="213"/>
      <c r="J55" s="213"/>
      <c r="K55" s="213"/>
      <c r="L55" s="213"/>
    </row>
    <row r="56" spans="1:12" x14ac:dyDescent="0.25">
      <c r="A56" s="103">
        <f>A55+1</f>
        <v>17</v>
      </c>
      <c r="B56" s="12" t="s">
        <v>319</v>
      </c>
      <c r="C56" s="213"/>
      <c r="D56" s="213"/>
      <c r="E56" s="213"/>
      <c r="F56" s="213"/>
      <c r="G56" s="450" t="str">
        <f>"1-BaseTRR L "&amp;'1-BaseTRR'!A102&amp;""</f>
        <v>1-BaseTRR L 58</v>
      </c>
      <c r="H56" s="970" t="s">
        <v>2690</v>
      </c>
      <c r="I56" s="213"/>
      <c r="J56" s="213"/>
      <c r="K56" s="213"/>
      <c r="L56" s="213"/>
    </row>
    <row r="57" spans="1:12" x14ac:dyDescent="0.25">
      <c r="A57" s="103">
        <f>A56+1</f>
        <v>18</v>
      </c>
      <c r="B57" s="12" t="s">
        <v>1563</v>
      </c>
      <c r="C57" s="213"/>
      <c r="D57" s="213"/>
      <c r="E57" s="213"/>
      <c r="F57" s="213"/>
      <c r="G57" s="70" t="s">
        <v>318</v>
      </c>
      <c r="H57" s="970" t="s">
        <v>86</v>
      </c>
      <c r="I57" s="213"/>
      <c r="J57" s="213"/>
      <c r="K57" s="213"/>
      <c r="L57" s="213"/>
    </row>
    <row r="58" spans="1:12" x14ac:dyDescent="0.25">
      <c r="A58" s="103">
        <f>A57+1</f>
        <v>19</v>
      </c>
      <c r="B58" s="12" t="s">
        <v>362</v>
      </c>
      <c r="C58" s="213"/>
      <c r="D58" s="213"/>
      <c r="E58" s="213"/>
      <c r="F58" s="213"/>
      <c r="G58" s="222"/>
      <c r="H58" s="213"/>
      <c r="I58" s="213"/>
      <c r="J58" s="213"/>
      <c r="K58" s="213"/>
      <c r="L58" s="213"/>
    </row>
    <row r="59" spans="1:12" x14ac:dyDescent="0.25">
      <c r="A59" s="103">
        <f>A58+1</f>
        <v>20</v>
      </c>
      <c r="B59" s="12" t="s">
        <v>361</v>
      </c>
      <c r="C59" s="213"/>
      <c r="D59" s="213"/>
      <c r="E59" s="213"/>
      <c r="F59" s="213"/>
      <c r="G59" s="45" t="str">
        <f>"- Line "&amp;A55&amp;" * Line "&amp;A57&amp;""</f>
        <v>- Line 16 * Line 18</v>
      </c>
      <c r="H59" s="986">
        <v>0</v>
      </c>
      <c r="I59" s="213"/>
      <c r="J59" s="213"/>
      <c r="K59" s="213"/>
      <c r="L59" s="213"/>
    </row>
    <row r="60" spans="1:12" x14ac:dyDescent="0.25">
      <c r="G60" s="13"/>
    </row>
    <row r="61" spans="1:12" x14ac:dyDescent="0.25">
      <c r="B61" s="71" t="s">
        <v>1710</v>
      </c>
      <c r="G61" s="13"/>
    </row>
    <row r="62" spans="1:12" x14ac:dyDescent="0.25">
      <c r="G62" s="13"/>
    </row>
    <row r="63" spans="1:12" x14ac:dyDescent="0.25">
      <c r="G63" s="28" t="s">
        <v>198</v>
      </c>
      <c r="H63" s="3" t="s">
        <v>190</v>
      </c>
    </row>
    <row r="64" spans="1:12" x14ac:dyDescent="0.25">
      <c r="A64" s="103">
        <f>A59+1</f>
        <v>21</v>
      </c>
      <c r="B64" s="450" t="s">
        <v>1709</v>
      </c>
      <c r="G64" s="45" t="str">
        <f>"Line "&amp;A32&amp;""</f>
        <v>Line 9</v>
      </c>
      <c r="H64" s="986">
        <v>0</v>
      </c>
    </row>
    <row r="65" spans="1:12" x14ac:dyDescent="0.25">
      <c r="A65" s="103">
        <f>A64+1</f>
        <v>22</v>
      </c>
      <c r="B65" s="12" t="s">
        <v>1563</v>
      </c>
      <c r="C65" s="213"/>
      <c r="D65" s="213"/>
      <c r="E65" s="213"/>
      <c r="F65" s="213"/>
      <c r="G65" s="45" t="str">
        <f>"Line "&amp;A57&amp;""</f>
        <v>Line 18</v>
      </c>
      <c r="H65" s="970" t="s">
        <v>86</v>
      </c>
    </row>
    <row r="66" spans="1:12" x14ac:dyDescent="0.25">
      <c r="A66" s="103">
        <f>A65+1</f>
        <v>23</v>
      </c>
      <c r="B66" s="230" t="s">
        <v>1711</v>
      </c>
      <c r="G66" s="45" t="str">
        <f>"- Line "&amp;A64&amp;" * Line "&amp;A65&amp;""</f>
        <v>- Line 21 * Line 22</v>
      </c>
      <c r="H66" s="986">
        <v>0</v>
      </c>
    </row>
    <row r="67" spans="1:12" x14ac:dyDescent="0.25">
      <c r="A67" s="103">
        <f t="shared" ref="A67:A74" si="0">A66+1</f>
        <v>24</v>
      </c>
      <c r="B67" s="230"/>
      <c r="G67" s="45"/>
      <c r="H67" s="6"/>
    </row>
    <row r="68" spans="1:12" x14ac:dyDescent="0.25">
      <c r="A68" s="103">
        <f t="shared" si="0"/>
        <v>25</v>
      </c>
      <c r="B68" s="895" t="s">
        <v>2432</v>
      </c>
      <c r="C68" s="13"/>
      <c r="D68" s="13"/>
      <c r="E68" s="13"/>
      <c r="F68" s="13"/>
      <c r="G68" s="45"/>
      <c r="H68" s="6"/>
    </row>
    <row r="69" spans="1:12" x14ac:dyDescent="0.25">
      <c r="A69" s="103">
        <f t="shared" si="0"/>
        <v>26</v>
      </c>
      <c r="B69" s="450"/>
      <c r="C69" s="13"/>
      <c r="D69" s="13"/>
      <c r="E69" s="13"/>
      <c r="F69" s="13"/>
      <c r="G69" s="28" t="s">
        <v>198</v>
      </c>
      <c r="H69" s="6"/>
      <c r="I69" s="51" t="s">
        <v>1534</v>
      </c>
    </row>
    <row r="70" spans="1:12" x14ac:dyDescent="0.25">
      <c r="A70" s="103">
        <f t="shared" si="0"/>
        <v>27</v>
      </c>
      <c r="B70" s="450" t="s">
        <v>2180</v>
      </c>
      <c r="C70" s="13"/>
      <c r="D70" s="13"/>
      <c r="E70" s="13"/>
      <c r="F70" s="13"/>
      <c r="G70" s="465" t="s">
        <v>33</v>
      </c>
      <c r="H70" s="977">
        <v>0</v>
      </c>
      <c r="I70" s="470" t="s">
        <v>1308</v>
      </c>
    </row>
    <row r="71" spans="1:12" ht="15" x14ac:dyDescent="0.4">
      <c r="A71" s="103">
        <f t="shared" si="0"/>
        <v>28</v>
      </c>
      <c r="B71" s="450" t="s">
        <v>2433</v>
      </c>
      <c r="C71" s="13"/>
      <c r="D71" s="13"/>
      <c r="E71" s="13"/>
      <c r="F71" s="13"/>
      <c r="G71" s="465" t="s">
        <v>33</v>
      </c>
      <c r="H71" s="978">
        <v>0</v>
      </c>
    </row>
    <row r="72" spans="1:12" x14ac:dyDescent="0.25">
      <c r="A72" s="103">
        <f t="shared" si="0"/>
        <v>29</v>
      </c>
      <c r="B72" s="450" t="s">
        <v>2435</v>
      </c>
      <c r="C72" s="13"/>
      <c r="D72" s="13"/>
      <c r="E72" s="13"/>
      <c r="F72" s="13"/>
      <c r="G72" s="896" t="str">
        <f>"Line "&amp;A70&amp;" + "&amp;A71&amp;""</f>
        <v>Line 27 + 28</v>
      </c>
      <c r="H72" s="986">
        <v>0</v>
      </c>
    </row>
    <row r="73" spans="1:12" x14ac:dyDescent="0.25">
      <c r="A73" s="103">
        <f t="shared" si="0"/>
        <v>30</v>
      </c>
      <c r="B73" s="450" t="s">
        <v>104</v>
      </c>
      <c r="C73" s="13"/>
      <c r="D73" s="13"/>
      <c r="E73" s="13"/>
      <c r="F73" s="13"/>
      <c r="G73" s="450" t="str">
        <f>"27-Allocators, Line "&amp;'27-Allocators'!A15&amp;""</f>
        <v>27-Allocators, Line 9</v>
      </c>
      <c r="H73" s="971" t="s">
        <v>2690</v>
      </c>
    </row>
    <row r="74" spans="1:12" x14ac:dyDescent="0.25">
      <c r="A74" s="103">
        <f t="shared" si="0"/>
        <v>31</v>
      </c>
      <c r="B74" s="450" t="s">
        <v>2434</v>
      </c>
      <c r="C74" s="13"/>
      <c r="D74" s="13"/>
      <c r="E74" s="13"/>
      <c r="F74" s="13"/>
      <c r="G74" s="896" t="str">
        <f>"Line "&amp;A72&amp;" * "&amp;A73&amp;""</f>
        <v>Line 29 * 30</v>
      </c>
      <c r="H74" s="986">
        <v>0</v>
      </c>
    </row>
    <row r="75" spans="1:12" x14ac:dyDescent="0.25">
      <c r="A75" s="13"/>
      <c r="B75" s="13"/>
      <c r="C75" s="13"/>
      <c r="D75" s="13"/>
      <c r="E75" s="13"/>
      <c r="F75" s="13"/>
      <c r="G75" s="13"/>
      <c r="H75" s="13"/>
    </row>
    <row r="76" spans="1:12" x14ac:dyDescent="0.25">
      <c r="A76" s="222"/>
      <c r="B76" s="897" t="s">
        <v>2181</v>
      </c>
      <c r="C76" s="222"/>
      <c r="D76" s="222"/>
      <c r="E76" s="222"/>
      <c r="F76" s="222"/>
      <c r="G76" s="222"/>
      <c r="H76" s="222"/>
      <c r="I76" s="449" t="s">
        <v>1534</v>
      </c>
      <c r="J76" s="213"/>
      <c r="K76" s="213"/>
      <c r="L76" s="213"/>
    </row>
    <row r="77" spans="1:12" x14ac:dyDescent="0.25">
      <c r="A77" s="103">
        <f>A74+1</f>
        <v>32</v>
      </c>
      <c r="B77" s="443" t="s">
        <v>1730</v>
      </c>
      <c r="C77" s="222"/>
      <c r="D77" s="222"/>
      <c r="E77" s="222"/>
      <c r="F77" s="222"/>
      <c r="G77" s="450" t="str">
        <f>" - Line "&amp;A30&amp;", Col. 2"</f>
        <v xml:space="preserve"> - Line 7, Col. 2</v>
      </c>
      <c r="H77" s="986">
        <v>0</v>
      </c>
      <c r="I77" s="213"/>
      <c r="J77" s="213"/>
      <c r="K77" s="213"/>
      <c r="L77" s="213"/>
    </row>
    <row r="78" spans="1:12" x14ac:dyDescent="0.25">
      <c r="A78" s="103">
        <f>A77+1</f>
        <v>33</v>
      </c>
      <c r="B78" s="443" t="s">
        <v>1530</v>
      </c>
      <c r="C78" s="222"/>
      <c r="D78" s="222"/>
      <c r="E78" s="222"/>
      <c r="F78" s="222"/>
      <c r="G78" s="450" t="str">
        <f>"Line "&amp;A59&amp;""</f>
        <v>Line 20</v>
      </c>
      <c r="H78" s="986">
        <v>0</v>
      </c>
      <c r="I78" s="213"/>
      <c r="J78" s="213"/>
      <c r="K78" s="213"/>
      <c r="L78" s="213"/>
    </row>
    <row r="79" spans="1:12" x14ac:dyDescent="0.25">
      <c r="A79" s="103">
        <f>A78+1</f>
        <v>34</v>
      </c>
      <c r="B79" s="443" t="s">
        <v>1708</v>
      </c>
      <c r="C79" s="222"/>
      <c r="D79" s="222"/>
      <c r="E79" s="222"/>
      <c r="F79" s="222"/>
      <c r="G79" s="450" t="str">
        <f>"Line "&amp;A66&amp;""</f>
        <v>Line 23</v>
      </c>
      <c r="H79" s="986">
        <v>0</v>
      </c>
      <c r="I79" s="213"/>
      <c r="J79" s="213"/>
      <c r="K79" s="213"/>
      <c r="L79" s="213"/>
    </row>
    <row r="80" spans="1:12" x14ac:dyDescent="0.25">
      <c r="A80" s="103">
        <f>A79+1</f>
        <v>35</v>
      </c>
      <c r="B80" s="443" t="s">
        <v>1531</v>
      </c>
      <c r="C80" s="222"/>
      <c r="D80" s="222"/>
      <c r="E80" s="222"/>
      <c r="F80" s="222"/>
      <c r="G80" s="450" t="str">
        <f>"- Line "&amp;A33&amp;", Col. 2"</f>
        <v>- Line 10, Col. 2</v>
      </c>
      <c r="H80" s="986">
        <v>0</v>
      </c>
      <c r="I80" s="213"/>
      <c r="J80" s="213"/>
      <c r="K80" s="213"/>
      <c r="L80" s="213"/>
    </row>
    <row r="81" spans="1:12" ht="15" x14ac:dyDescent="0.4">
      <c r="A81" s="103">
        <f t="shared" ref="A81:A82" si="1">A80+1</f>
        <v>36</v>
      </c>
      <c r="B81" s="443" t="s">
        <v>2436</v>
      </c>
      <c r="C81" s="222"/>
      <c r="D81" s="222"/>
      <c r="E81" s="222"/>
      <c r="F81" s="222"/>
      <c r="G81" s="896" t="str">
        <f>" - Line "&amp;A74&amp;""</f>
        <v xml:space="preserve"> - Line 31</v>
      </c>
      <c r="H81" s="987">
        <v>0</v>
      </c>
      <c r="I81" s="213"/>
      <c r="J81" s="213"/>
      <c r="K81" s="213"/>
      <c r="L81" s="213"/>
    </row>
    <row r="82" spans="1:12" x14ac:dyDescent="0.25">
      <c r="A82" s="103">
        <f t="shared" si="1"/>
        <v>37</v>
      </c>
      <c r="B82" s="213"/>
      <c r="C82" s="213"/>
      <c r="D82" s="213"/>
      <c r="E82" s="213"/>
      <c r="F82" s="213"/>
      <c r="G82" s="885" t="s">
        <v>1540</v>
      </c>
      <c r="H82" s="986">
        <v>0</v>
      </c>
      <c r="I82" s="213"/>
      <c r="J82" s="213"/>
      <c r="K82" s="213"/>
      <c r="L82" s="213"/>
    </row>
    <row r="83" spans="1:12" x14ac:dyDescent="0.25">
      <c r="A83" s="222"/>
      <c r="B83" s="213"/>
      <c r="C83" s="213"/>
      <c r="D83" s="213"/>
      <c r="E83" s="213"/>
      <c r="F83" s="213"/>
      <c r="G83" s="222"/>
      <c r="H83" s="213"/>
      <c r="I83" s="213"/>
      <c r="J83" s="213"/>
      <c r="K83" s="213"/>
      <c r="L83" s="213"/>
    </row>
    <row r="84" spans="1:12" x14ac:dyDescent="0.25">
      <c r="A84" s="222"/>
      <c r="B84" s="451" t="s">
        <v>1541</v>
      </c>
      <c r="C84" s="213"/>
      <c r="D84" s="213"/>
      <c r="E84" s="213"/>
      <c r="F84" s="213"/>
      <c r="G84" s="222"/>
      <c r="H84" s="213"/>
      <c r="I84" s="213"/>
      <c r="J84" s="213"/>
      <c r="K84" s="213"/>
      <c r="L84" s="213"/>
    </row>
    <row r="85" spans="1:12" x14ac:dyDescent="0.25">
      <c r="A85" s="222"/>
      <c r="C85" s="213"/>
      <c r="D85" s="213"/>
      <c r="E85" s="213"/>
      <c r="F85" s="213"/>
      <c r="G85" s="28" t="s">
        <v>198</v>
      </c>
      <c r="H85" s="3" t="s">
        <v>190</v>
      </c>
      <c r="I85" s="213"/>
      <c r="J85" s="213"/>
      <c r="K85" s="213"/>
      <c r="L85" s="213"/>
    </row>
    <row r="86" spans="1:12" x14ac:dyDescent="0.25">
      <c r="A86" s="103">
        <f>A82+1</f>
        <v>38</v>
      </c>
      <c r="B86" s="388" t="s">
        <v>1537</v>
      </c>
      <c r="C86" s="213"/>
      <c r="D86" s="213"/>
      <c r="E86" s="213"/>
      <c r="F86" s="213"/>
      <c r="G86" s="450" t="str">
        <f>"Line "&amp;A44&amp;""</f>
        <v>Line 15</v>
      </c>
      <c r="H86" s="986">
        <v>0</v>
      </c>
      <c r="I86" s="213"/>
      <c r="J86" s="213"/>
      <c r="K86" s="213"/>
      <c r="L86" s="213"/>
    </row>
    <row r="87" spans="1:12" x14ac:dyDescent="0.25">
      <c r="A87" s="103">
        <f>A86+1</f>
        <v>39</v>
      </c>
      <c r="B87" s="213" t="s">
        <v>1542</v>
      </c>
      <c r="C87" s="213"/>
      <c r="D87" s="213"/>
      <c r="E87" s="213"/>
      <c r="F87" s="213"/>
      <c r="G87" s="450" t="str">
        <f>"Line "&amp;A82&amp;""</f>
        <v>Line 37</v>
      </c>
      <c r="H87" s="986">
        <v>0</v>
      </c>
      <c r="I87" s="213"/>
      <c r="J87" s="213"/>
      <c r="K87" s="213"/>
      <c r="L87" s="213"/>
    </row>
    <row r="88" spans="1:12" x14ac:dyDescent="0.25">
      <c r="A88" s="103">
        <f>A87+1</f>
        <v>40</v>
      </c>
      <c r="B88" s="11" t="s">
        <v>1632</v>
      </c>
      <c r="C88" s="213"/>
      <c r="D88" s="213"/>
      <c r="E88" s="213"/>
      <c r="F88" s="213"/>
      <c r="G88" s="450" t="str">
        <f>"- 1-Base TRR, L "&amp;'1-BaseTRR'!A139&amp;""</f>
        <v>- 1-Base TRR, L 79</v>
      </c>
      <c r="H88" s="986">
        <v>0</v>
      </c>
      <c r="I88" s="213"/>
      <c r="J88" s="213"/>
      <c r="K88" s="213"/>
      <c r="L88" s="213"/>
    </row>
    <row r="89" spans="1:12" x14ac:dyDescent="0.25">
      <c r="A89" s="103">
        <f t="shared" ref="A89:A92" si="2">A88+1</f>
        <v>41</v>
      </c>
      <c r="B89" s="11" t="s">
        <v>1633</v>
      </c>
      <c r="C89" s="213"/>
      <c r="D89" s="213"/>
      <c r="E89" s="213"/>
      <c r="F89" s="213"/>
      <c r="G89" s="450" t="str">
        <f>"- 2-IFPTRR, L "&amp;'2-IFPTRR'!A89&amp;""</f>
        <v>- 2-IFPTRR, L 80</v>
      </c>
      <c r="H89" s="986">
        <v>0</v>
      </c>
      <c r="I89" s="213"/>
      <c r="J89" s="213"/>
      <c r="K89" s="213"/>
      <c r="L89" s="213"/>
    </row>
    <row r="90" spans="1:12" x14ac:dyDescent="0.25">
      <c r="A90" s="103">
        <f t="shared" si="2"/>
        <v>42</v>
      </c>
      <c r="B90" s="11" t="s">
        <v>108</v>
      </c>
      <c r="C90" s="213"/>
      <c r="D90" s="213"/>
      <c r="E90" s="213"/>
      <c r="F90" s="213"/>
      <c r="G90" s="12" t="str">
        <f>"Sum Line "&amp;A86&amp;" to Line "&amp;A89&amp;""</f>
        <v>Sum Line 38 to Line 41</v>
      </c>
      <c r="H90" s="986">
        <v>0</v>
      </c>
      <c r="I90" s="213"/>
      <c r="J90" s="213"/>
      <c r="K90" s="213"/>
      <c r="L90" s="213"/>
    </row>
    <row r="91" spans="1:12" ht="15" x14ac:dyDescent="0.4">
      <c r="A91" s="103">
        <f t="shared" si="2"/>
        <v>43</v>
      </c>
      <c r="B91" s="11" t="s">
        <v>1549</v>
      </c>
      <c r="C91" s="213"/>
      <c r="D91" s="213"/>
      <c r="E91" s="213"/>
      <c r="F91" s="213"/>
      <c r="H91" s="987">
        <v>0</v>
      </c>
      <c r="I91" s="230" t="s">
        <v>1306</v>
      </c>
      <c r="J91" s="213"/>
      <c r="K91" s="213"/>
      <c r="L91" s="213"/>
    </row>
    <row r="92" spans="1:12" x14ac:dyDescent="0.25">
      <c r="A92" s="103">
        <f t="shared" si="2"/>
        <v>44</v>
      </c>
      <c r="B92" t="s">
        <v>1543</v>
      </c>
      <c r="C92" s="213"/>
      <c r="D92" s="213"/>
      <c r="E92" s="213"/>
      <c r="F92" s="213"/>
      <c r="G92" s="12" t="str">
        <f>"Line "&amp;A90&amp;" + Line "&amp;A91&amp;""</f>
        <v>Line 42 + Line 43</v>
      </c>
      <c r="H92" s="986">
        <v>0</v>
      </c>
      <c r="I92" s="213"/>
      <c r="J92" s="213"/>
      <c r="K92" s="213"/>
      <c r="L92" s="213"/>
    </row>
    <row r="93" spans="1:12" x14ac:dyDescent="0.25">
      <c r="A93" s="213"/>
      <c r="C93" s="213"/>
      <c r="D93" s="213"/>
      <c r="E93" s="213"/>
      <c r="F93" s="213"/>
      <c r="G93" s="213"/>
      <c r="H93" s="213"/>
      <c r="I93" s="213"/>
      <c r="J93" s="213"/>
      <c r="K93" s="213"/>
      <c r="L93" s="213"/>
    </row>
    <row r="94" spans="1:12" x14ac:dyDescent="0.25">
      <c r="A94" s="213"/>
      <c r="B94" s="382" t="s">
        <v>1544</v>
      </c>
      <c r="C94" s="213"/>
      <c r="D94" s="213"/>
      <c r="E94" s="213"/>
      <c r="F94" s="213"/>
      <c r="G94" s="213"/>
      <c r="H94" s="213"/>
      <c r="I94" s="213"/>
      <c r="J94" s="213"/>
      <c r="K94" s="213"/>
      <c r="L94" s="213"/>
    </row>
    <row r="95" spans="1:12" x14ac:dyDescent="0.25">
      <c r="A95" s="213"/>
      <c r="B95" s="213" t="s">
        <v>1545</v>
      </c>
      <c r="C95" s="213"/>
      <c r="D95" s="213"/>
      <c r="E95" s="213"/>
      <c r="F95" s="213"/>
      <c r="G95" s="213"/>
      <c r="H95" s="213"/>
      <c r="I95" s="213"/>
      <c r="J95" s="213"/>
      <c r="K95" s="213"/>
      <c r="L95" s="213"/>
    </row>
    <row r="96" spans="1:12" x14ac:dyDescent="0.25">
      <c r="A96" s="213"/>
      <c r="B96" s="213" t="s">
        <v>1546</v>
      </c>
      <c r="C96" s="213"/>
      <c r="D96" s="213"/>
      <c r="E96" s="213"/>
      <c r="F96" s="213"/>
      <c r="G96" s="213"/>
      <c r="H96" s="213"/>
      <c r="I96" s="213"/>
      <c r="J96" s="213"/>
      <c r="K96" s="213"/>
      <c r="L96" s="213"/>
    </row>
    <row r="97" spans="1:12" x14ac:dyDescent="0.25">
      <c r="A97" s="213"/>
      <c r="B97" s="213" t="str">
        <f>"2) Input Prior Year for this Informational Filing in Line "&amp;A42&amp;"."</f>
        <v>2) Input Prior Year for this Informational Filing in Line 13.</v>
      </c>
      <c r="I97" s="213"/>
      <c r="J97" s="213"/>
      <c r="K97" s="213"/>
      <c r="L97" s="213"/>
    </row>
    <row r="98" spans="1:12" x14ac:dyDescent="0.25">
      <c r="A98" s="213"/>
      <c r="B98" s="213" t="str">
        <f>"3) Calculation: (Line "&amp;A34&amp;", "&amp;H25&amp;") + ((Line "&amp;A34&amp;", "&amp;I25&amp;") * (Line "&amp;A42&amp;" - 2010))."</f>
        <v>3) Calculation: (Line 11, Col 1) + ((Line 11, Col 2) * (Line 13 - 2010)).</v>
      </c>
      <c r="I98" s="213"/>
      <c r="J98" s="213"/>
      <c r="K98" s="213"/>
      <c r="L98" s="213"/>
    </row>
    <row r="99" spans="1:12" x14ac:dyDescent="0.25">
      <c r="A99" s="213"/>
      <c r="B99" s="213" t="str">
        <f>"4) Franchise Fee Exclusion is equal to the Franchise Fee Factor on the 28-FFU Line "&amp;'28-FFU'!A22&amp;""</f>
        <v>4) Franchise Fee Exclusion is equal to the Franchise Fee Factor on the 28-FFU Line 5</v>
      </c>
      <c r="C99" s="213"/>
      <c r="D99" s="213"/>
      <c r="E99" s="213"/>
      <c r="F99" s="213"/>
      <c r="G99" s="222"/>
      <c r="H99" s="213"/>
      <c r="I99" s="213"/>
      <c r="J99" s="213"/>
      <c r="K99" s="213"/>
      <c r="L99" s="213"/>
    </row>
    <row r="100" spans="1:12" x14ac:dyDescent="0.25">
      <c r="A100" s="213"/>
      <c r="B100" s="213" t="str">
        <f>"times Line "&amp;A86&amp;" + "&amp;A87&amp;"."</f>
        <v>times Line 38 + 39.</v>
      </c>
      <c r="C100" s="213"/>
      <c r="D100" s="213"/>
      <c r="E100" s="213"/>
      <c r="F100" s="213"/>
      <c r="G100" s="213"/>
      <c r="H100" s="213"/>
      <c r="I100" s="213"/>
      <c r="J100" s="213"/>
      <c r="K100" s="213"/>
      <c r="L100" s="213"/>
    </row>
    <row r="101" spans="1:12" x14ac:dyDescent="0.25">
      <c r="A101" s="213"/>
      <c r="B101" s="466" t="s">
        <v>2778</v>
      </c>
      <c r="C101" s="213"/>
      <c r="D101" s="213"/>
      <c r="E101" s="213"/>
      <c r="F101" s="213"/>
      <c r="G101" s="213"/>
      <c r="H101" s="213"/>
      <c r="I101" s="213"/>
      <c r="J101" s="213"/>
      <c r="K101" s="213"/>
      <c r="L101" s="213"/>
    </row>
    <row r="102" spans="1:12" x14ac:dyDescent="0.25">
      <c r="A102" s="213"/>
      <c r="B102" s="213"/>
      <c r="C102" s="213"/>
      <c r="D102" s="213"/>
      <c r="E102" s="213"/>
      <c r="F102" s="213"/>
      <c r="G102" s="213"/>
      <c r="H102" s="213"/>
      <c r="I102" s="213"/>
      <c r="J102" s="213"/>
      <c r="K102" s="213"/>
      <c r="L102" s="213"/>
    </row>
    <row r="103" spans="1:12" x14ac:dyDescent="0.25">
      <c r="A103" s="213"/>
      <c r="B103" s="213"/>
      <c r="C103" s="213"/>
      <c r="D103" s="213"/>
      <c r="E103" s="213"/>
      <c r="F103" s="213"/>
      <c r="G103" s="213"/>
      <c r="H103" s="213"/>
      <c r="I103" s="213"/>
      <c r="J103" s="213"/>
      <c r="K103" s="213"/>
      <c r="L103" s="213"/>
    </row>
    <row r="104" spans="1:12" x14ac:dyDescent="0.25">
      <c r="A104" s="213"/>
      <c r="B104" s="213"/>
      <c r="C104" s="213"/>
      <c r="D104" s="213"/>
      <c r="E104" s="213"/>
      <c r="F104" s="213"/>
      <c r="G104" s="213"/>
      <c r="H104" s="213"/>
      <c r="I104" s="213"/>
      <c r="J104" s="213"/>
      <c r="K104" s="213"/>
      <c r="L104" s="213"/>
    </row>
    <row r="105" spans="1:12" x14ac:dyDescent="0.25">
      <c r="A105" s="213"/>
      <c r="B105" s="213"/>
      <c r="C105" s="213"/>
      <c r="D105" s="213"/>
      <c r="E105" s="213"/>
      <c r="F105" s="213"/>
      <c r="G105" s="213"/>
      <c r="H105" s="213"/>
      <c r="I105" s="213"/>
      <c r="J105" s="213"/>
      <c r="K105" s="213"/>
      <c r="L105" s="213"/>
    </row>
    <row r="106" spans="1:12" x14ac:dyDescent="0.25">
      <c r="A106" s="213"/>
      <c r="B106" s="213"/>
      <c r="C106" s="213"/>
      <c r="D106" s="213"/>
      <c r="E106" s="213"/>
      <c r="F106" s="213"/>
      <c r="G106" s="213"/>
      <c r="H106" s="213"/>
      <c r="I106" s="213"/>
      <c r="J106" s="213"/>
      <c r="K106" s="213"/>
      <c r="L106" s="213"/>
    </row>
    <row r="107" spans="1:12" x14ac:dyDescent="0.25">
      <c r="A107" s="213"/>
      <c r="B107" s="213"/>
      <c r="C107" s="213"/>
      <c r="D107" s="213"/>
      <c r="E107" s="213"/>
      <c r="F107" s="213"/>
      <c r="G107" s="213"/>
      <c r="H107" s="213"/>
      <c r="I107" s="213"/>
      <c r="J107" s="213"/>
      <c r="K107" s="213"/>
      <c r="L107" s="213"/>
    </row>
    <row r="108" spans="1:12" x14ac:dyDescent="0.25">
      <c r="A108" s="213"/>
      <c r="B108" s="213"/>
      <c r="C108" s="213"/>
      <c r="D108" s="213"/>
      <c r="E108" s="213"/>
      <c r="F108" s="213"/>
      <c r="G108" s="213"/>
      <c r="H108" s="213"/>
      <c r="I108" s="213"/>
      <c r="J108" s="213"/>
      <c r="K108" s="213"/>
      <c r="L108" s="213"/>
    </row>
    <row r="109" spans="1:12" x14ac:dyDescent="0.25">
      <c r="A109" s="213"/>
      <c r="B109" s="213"/>
      <c r="C109" s="213"/>
      <c r="D109" s="213"/>
      <c r="E109" s="213"/>
      <c r="F109" s="213"/>
      <c r="G109" s="213"/>
      <c r="H109" s="213"/>
      <c r="I109" s="213"/>
      <c r="J109" s="213"/>
      <c r="K109" s="213"/>
      <c r="L109" s="213"/>
    </row>
    <row r="110" spans="1:12" x14ac:dyDescent="0.25">
      <c r="A110" s="213"/>
      <c r="B110" s="213"/>
      <c r="C110" s="213"/>
      <c r="D110" s="213"/>
      <c r="E110" s="213"/>
      <c r="F110" s="213"/>
      <c r="G110" s="213"/>
      <c r="H110" s="213"/>
      <c r="I110" s="213"/>
      <c r="J110" s="213"/>
      <c r="K110" s="213"/>
      <c r="L110" s="213"/>
    </row>
    <row r="111" spans="1:12" x14ac:dyDescent="0.25">
      <c r="A111" s="213"/>
      <c r="B111" s="213"/>
      <c r="C111" s="213"/>
      <c r="D111" s="213"/>
      <c r="E111" s="213"/>
      <c r="F111" s="213"/>
      <c r="G111" s="213"/>
      <c r="H111" s="213"/>
      <c r="I111" s="213"/>
      <c r="J111" s="213"/>
      <c r="K111" s="213"/>
      <c r="L111" s="213"/>
    </row>
    <row r="112" spans="1:12" x14ac:dyDescent="0.25">
      <c r="A112" s="213"/>
      <c r="B112" s="213"/>
      <c r="C112" s="213"/>
      <c r="D112" s="213"/>
      <c r="E112" s="213"/>
      <c r="F112" s="213"/>
      <c r="G112" s="213"/>
      <c r="H112" s="213"/>
      <c r="I112" s="213"/>
      <c r="J112" s="213"/>
      <c r="K112" s="213"/>
      <c r="L112" s="213"/>
    </row>
    <row r="113" spans="1:12" x14ac:dyDescent="0.25">
      <c r="A113" s="213"/>
      <c r="B113" s="213"/>
      <c r="C113" s="213"/>
      <c r="D113" s="213"/>
      <c r="E113" s="213"/>
      <c r="F113" s="213"/>
      <c r="G113" s="213"/>
      <c r="H113" s="213"/>
      <c r="I113" s="213"/>
      <c r="J113" s="213"/>
      <c r="K113" s="213"/>
      <c r="L113" s="213"/>
    </row>
    <row r="114" spans="1:12" x14ac:dyDescent="0.25">
      <c r="A114" s="213"/>
      <c r="B114" s="213"/>
      <c r="C114" s="213"/>
      <c r="D114" s="213"/>
      <c r="E114" s="213"/>
      <c r="F114" s="213"/>
      <c r="G114" s="213"/>
      <c r="H114" s="213"/>
      <c r="I114" s="213"/>
      <c r="J114" s="213"/>
      <c r="K114" s="213"/>
      <c r="L114" s="213"/>
    </row>
    <row r="115" spans="1:12" x14ac:dyDescent="0.25">
      <c r="A115" s="213"/>
      <c r="B115" s="213"/>
      <c r="C115" s="213"/>
      <c r="D115" s="213"/>
      <c r="E115" s="213"/>
      <c r="F115" s="213"/>
      <c r="G115" s="213"/>
      <c r="H115" s="213"/>
      <c r="I115" s="213"/>
      <c r="J115" s="213"/>
      <c r="K115" s="213"/>
      <c r="L115" s="213"/>
    </row>
    <row r="116" spans="1:12" x14ac:dyDescent="0.25">
      <c r="A116" s="213"/>
      <c r="B116" s="213"/>
      <c r="C116" s="213"/>
      <c r="D116" s="213"/>
      <c r="E116" s="213"/>
      <c r="F116" s="213"/>
      <c r="G116" s="213"/>
      <c r="H116" s="213"/>
      <c r="I116" s="213"/>
      <c r="J116" s="213"/>
      <c r="K116" s="213"/>
      <c r="L116" s="213"/>
    </row>
    <row r="117" spans="1:12" x14ac:dyDescent="0.25">
      <c r="A117" s="213"/>
      <c r="B117" s="213"/>
      <c r="C117" s="213"/>
      <c r="D117" s="213"/>
      <c r="E117" s="213"/>
      <c r="F117" s="213"/>
      <c r="G117" s="213"/>
      <c r="H117" s="213"/>
      <c r="I117" s="213"/>
      <c r="J117" s="213"/>
      <c r="K117" s="213"/>
      <c r="L117" s="213"/>
    </row>
    <row r="118" spans="1:12" x14ac:dyDescent="0.25">
      <c r="A118" s="213"/>
      <c r="B118" s="213"/>
      <c r="C118" s="213"/>
      <c r="D118" s="213"/>
      <c r="E118" s="213"/>
      <c r="F118" s="213"/>
      <c r="G118" s="213"/>
      <c r="H118" s="213"/>
      <c r="I118" s="213"/>
      <c r="J118" s="213"/>
      <c r="K118" s="213"/>
      <c r="L118" s="213"/>
    </row>
    <row r="119" spans="1:12" x14ac:dyDescent="0.25">
      <c r="A119" s="213"/>
      <c r="B119" s="213"/>
      <c r="C119" s="213"/>
      <c r="D119" s="213"/>
      <c r="E119" s="213"/>
      <c r="F119" s="213"/>
      <c r="G119" s="213"/>
      <c r="H119" s="213"/>
      <c r="I119" s="213"/>
      <c r="J119" s="213"/>
      <c r="K119" s="213"/>
      <c r="L119" s="213"/>
    </row>
    <row r="120" spans="1:12" x14ac:dyDescent="0.25">
      <c r="A120" s="213"/>
      <c r="B120" s="213"/>
      <c r="C120" s="213"/>
      <c r="D120" s="213"/>
      <c r="E120" s="213"/>
      <c r="F120" s="213"/>
      <c r="G120" s="213"/>
      <c r="H120" s="213"/>
      <c r="I120" s="213"/>
      <c r="J120" s="213"/>
      <c r="K120" s="213"/>
      <c r="L120" s="213"/>
    </row>
    <row r="121" spans="1:12" x14ac:dyDescent="0.25">
      <c r="A121" s="213"/>
      <c r="B121" s="213"/>
      <c r="C121" s="213"/>
      <c r="D121" s="213"/>
      <c r="E121" s="213"/>
      <c r="F121" s="213"/>
      <c r="G121" s="213"/>
      <c r="H121" s="213"/>
      <c r="I121" s="213"/>
      <c r="J121" s="213"/>
      <c r="K121" s="213"/>
      <c r="L121" s="213"/>
    </row>
    <row r="122" spans="1:12" x14ac:dyDescent="0.25">
      <c r="A122" s="213"/>
      <c r="B122" s="213"/>
      <c r="C122" s="213"/>
      <c r="D122" s="213"/>
      <c r="E122" s="213"/>
      <c r="F122" s="213"/>
      <c r="G122" s="213"/>
      <c r="H122" s="213"/>
      <c r="I122" s="213"/>
      <c r="J122" s="213"/>
      <c r="K122" s="213"/>
      <c r="L122" s="213"/>
    </row>
    <row r="123" spans="1:12" x14ac:dyDescent="0.25">
      <c r="A123" s="213"/>
      <c r="B123" s="213"/>
      <c r="C123" s="213"/>
      <c r="D123" s="213"/>
      <c r="E123" s="213"/>
      <c r="F123" s="213"/>
      <c r="G123" s="213"/>
      <c r="H123" s="213"/>
      <c r="I123" s="213"/>
      <c r="J123" s="213"/>
      <c r="K123" s="213"/>
      <c r="L123" s="213"/>
    </row>
    <row r="124" spans="1:12" x14ac:dyDescent="0.25">
      <c r="A124" s="213"/>
      <c r="B124" s="213"/>
      <c r="C124" s="213"/>
      <c r="D124" s="213"/>
      <c r="E124" s="213"/>
      <c r="F124" s="213"/>
      <c r="G124" s="213"/>
      <c r="H124" s="213"/>
      <c r="I124" s="213"/>
      <c r="J124" s="213"/>
      <c r="K124" s="213"/>
      <c r="L124" s="213"/>
    </row>
    <row r="125" spans="1:12" x14ac:dyDescent="0.25">
      <c r="A125" s="213"/>
      <c r="B125" s="213"/>
      <c r="C125" s="213"/>
      <c r="D125" s="213"/>
      <c r="E125" s="213"/>
      <c r="F125" s="213"/>
      <c r="G125" s="213"/>
      <c r="H125" s="213"/>
      <c r="I125" s="213"/>
      <c r="J125" s="213"/>
      <c r="K125" s="213"/>
      <c r="L125" s="213"/>
    </row>
    <row r="126" spans="1:12" x14ac:dyDescent="0.25">
      <c r="A126" s="213"/>
      <c r="B126" s="213"/>
      <c r="C126" s="213"/>
      <c r="D126" s="213"/>
      <c r="E126" s="213"/>
      <c r="F126" s="213"/>
      <c r="G126" s="213"/>
      <c r="H126" s="213"/>
      <c r="I126" s="213"/>
      <c r="J126" s="213"/>
      <c r="K126" s="213"/>
      <c r="L126" s="213"/>
    </row>
    <row r="127" spans="1:12" x14ac:dyDescent="0.25">
      <c r="A127" s="213"/>
      <c r="B127" s="213"/>
      <c r="C127" s="213"/>
      <c r="D127" s="213"/>
      <c r="E127" s="213"/>
      <c r="F127" s="213"/>
      <c r="G127" s="213"/>
      <c r="H127" s="213"/>
      <c r="I127" s="213"/>
      <c r="J127" s="213"/>
      <c r="K127" s="213"/>
      <c r="L127" s="213"/>
    </row>
    <row r="128" spans="1:12" x14ac:dyDescent="0.25">
      <c r="A128" s="213"/>
      <c r="B128" s="213"/>
      <c r="C128" s="213"/>
      <c r="D128" s="213"/>
      <c r="E128" s="213"/>
      <c r="F128" s="213"/>
      <c r="G128" s="213"/>
      <c r="H128" s="213"/>
      <c r="I128" s="213"/>
      <c r="J128" s="213"/>
      <c r="K128" s="213"/>
      <c r="L128" s="213"/>
    </row>
    <row r="129" spans="1:12" x14ac:dyDescent="0.25">
      <c r="A129" s="213"/>
      <c r="B129" s="213"/>
      <c r="C129" s="213"/>
      <c r="D129" s="213"/>
      <c r="E129" s="213"/>
      <c r="F129" s="213"/>
      <c r="G129" s="213"/>
      <c r="H129" s="213"/>
      <c r="I129" s="213"/>
      <c r="J129" s="213"/>
      <c r="K129" s="213"/>
      <c r="L129" s="213"/>
    </row>
    <row r="130" spans="1:12" x14ac:dyDescent="0.25">
      <c r="A130" s="213"/>
      <c r="B130" s="213"/>
      <c r="C130" s="213"/>
      <c r="D130" s="213"/>
      <c r="E130" s="213"/>
      <c r="F130" s="213"/>
      <c r="G130" s="213"/>
      <c r="H130" s="213"/>
      <c r="I130" s="213"/>
      <c r="J130" s="213"/>
      <c r="K130" s="213"/>
      <c r="L130" s="213"/>
    </row>
    <row r="131" spans="1:12" x14ac:dyDescent="0.25">
      <c r="A131" s="213"/>
      <c r="B131" s="213"/>
      <c r="C131" s="213"/>
      <c r="D131" s="213"/>
      <c r="E131" s="213"/>
      <c r="F131" s="213"/>
      <c r="G131" s="213"/>
      <c r="H131" s="213"/>
      <c r="I131" s="213"/>
      <c r="J131" s="213"/>
      <c r="K131" s="213"/>
      <c r="L131" s="213"/>
    </row>
    <row r="132" spans="1:12" x14ac:dyDescent="0.25">
      <c r="A132" s="213"/>
      <c r="B132" s="213"/>
      <c r="C132" s="213"/>
      <c r="D132" s="213"/>
      <c r="E132" s="213"/>
      <c r="F132" s="213"/>
      <c r="G132" s="213"/>
      <c r="H132" s="213"/>
      <c r="I132" s="213"/>
      <c r="J132" s="213"/>
      <c r="K132" s="213"/>
      <c r="L132" s="213"/>
    </row>
    <row r="133" spans="1:12" x14ac:dyDescent="0.25">
      <c r="A133" s="213"/>
      <c r="B133" s="213"/>
      <c r="C133" s="213"/>
      <c r="D133" s="213"/>
      <c r="E133" s="213"/>
      <c r="F133" s="213"/>
      <c r="G133" s="213"/>
      <c r="H133" s="213"/>
      <c r="I133" s="213"/>
      <c r="J133" s="213"/>
      <c r="K133" s="213"/>
      <c r="L133" s="213"/>
    </row>
    <row r="134" spans="1:12" x14ac:dyDescent="0.25">
      <c r="A134" s="213"/>
      <c r="B134" s="213"/>
      <c r="C134" s="213"/>
      <c r="D134" s="213"/>
      <c r="E134" s="213"/>
      <c r="F134" s="213"/>
      <c r="G134" s="213"/>
      <c r="H134" s="213"/>
      <c r="I134" s="213"/>
      <c r="J134" s="213"/>
      <c r="K134" s="213"/>
      <c r="L134" s="213"/>
    </row>
    <row r="135" spans="1:12" x14ac:dyDescent="0.25">
      <c r="A135" s="213"/>
      <c r="B135" s="213"/>
      <c r="C135" s="213"/>
      <c r="D135" s="213"/>
      <c r="E135" s="213"/>
      <c r="F135" s="213"/>
      <c r="G135" s="213"/>
      <c r="H135" s="213"/>
      <c r="I135" s="213"/>
      <c r="J135" s="213"/>
      <c r="K135" s="213"/>
      <c r="L135" s="213"/>
    </row>
    <row r="136" spans="1:12" x14ac:dyDescent="0.25">
      <c r="A136" s="213"/>
      <c r="B136" s="213"/>
      <c r="C136" s="213"/>
      <c r="D136" s="213"/>
      <c r="E136" s="213"/>
      <c r="F136" s="213"/>
      <c r="G136" s="213"/>
      <c r="H136" s="213"/>
      <c r="I136" s="213"/>
      <c r="J136" s="213"/>
      <c r="K136" s="213"/>
      <c r="L136" s="213"/>
    </row>
    <row r="137" spans="1:12" x14ac:dyDescent="0.25">
      <c r="A137" s="213"/>
      <c r="B137" s="213"/>
      <c r="C137" s="213"/>
      <c r="D137" s="213"/>
      <c r="E137" s="213"/>
      <c r="F137" s="213"/>
      <c r="G137" s="213"/>
      <c r="H137" s="213"/>
      <c r="I137" s="213"/>
      <c r="J137" s="213"/>
      <c r="K137" s="213"/>
      <c r="L137" s="213"/>
    </row>
    <row r="138" spans="1:12" x14ac:dyDescent="0.25">
      <c r="A138" s="213"/>
      <c r="B138" s="213"/>
      <c r="C138" s="213"/>
      <c r="D138" s="213"/>
      <c r="E138" s="213"/>
      <c r="F138" s="213"/>
      <c r="G138" s="213"/>
      <c r="H138" s="213"/>
      <c r="I138" s="213"/>
      <c r="J138" s="213"/>
      <c r="K138" s="213"/>
      <c r="L138" s="213"/>
    </row>
    <row r="139" spans="1:12" x14ac:dyDescent="0.25">
      <c r="A139" s="213"/>
      <c r="B139" s="213"/>
      <c r="C139" s="213"/>
      <c r="D139" s="213"/>
      <c r="E139" s="213"/>
      <c r="F139" s="213"/>
      <c r="G139" s="213"/>
      <c r="H139" s="213"/>
      <c r="I139" s="213"/>
      <c r="J139" s="213"/>
      <c r="K139" s="213"/>
      <c r="L139" s="213"/>
    </row>
    <row r="140" spans="1:12" x14ac:dyDescent="0.25">
      <c r="A140" s="213"/>
      <c r="B140" s="213"/>
      <c r="C140" s="213"/>
      <c r="D140" s="213"/>
      <c r="E140" s="213"/>
      <c r="F140" s="213"/>
      <c r="G140" s="213"/>
      <c r="H140" s="213"/>
      <c r="I140" s="213"/>
      <c r="J140" s="213"/>
      <c r="K140" s="213"/>
      <c r="L140" s="213"/>
    </row>
    <row r="141" spans="1:12" x14ac:dyDescent="0.25">
      <c r="A141" s="213"/>
      <c r="B141" s="213"/>
      <c r="C141" s="213"/>
      <c r="D141" s="213"/>
      <c r="E141" s="213"/>
      <c r="F141" s="213"/>
      <c r="G141" s="213"/>
      <c r="H141" s="213"/>
      <c r="I141" s="213"/>
      <c r="J141" s="213"/>
      <c r="K141" s="213"/>
      <c r="L141" s="213"/>
    </row>
    <row r="142" spans="1:12" x14ac:dyDescent="0.25">
      <c r="A142" s="213"/>
      <c r="B142" s="213"/>
      <c r="C142" s="213"/>
      <c r="D142" s="213"/>
      <c r="E142" s="213"/>
      <c r="F142" s="213"/>
      <c r="G142" s="213"/>
      <c r="H142" s="213"/>
      <c r="I142" s="213"/>
      <c r="J142" s="213"/>
      <c r="K142" s="213"/>
      <c r="L142" s="213"/>
    </row>
    <row r="143" spans="1:12" x14ac:dyDescent="0.25">
      <c r="A143" s="213"/>
      <c r="B143" s="213"/>
      <c r="C143" s="213"/>
      <c r="D143" s="213"/>
      <c r="E143" s="213"/>
      <c r="F143" s="213"/>
      <c r="G143" s="213"/>
      <c r="H143" s="213"/>
      <c r="I143" s="213"/>
      <c r="J143" s="213"/>
      <c r="K143" s="213"/>
      <c r="L143" s="213"/>
    </row>
    <row r="144" spans="1:12" x14ac:dyDescent="0.25">
      <c r="A144" s="213"/>
      <c r="B144" s="213"/>
      <c r="C144" s="213"/>
      <c r="D144" s="213"/>
      <c r="E144" s="213"/>
      <c r="F144" s="213"/>
      <c r="G144" s="213"/>
      <c r="H144" s="213"/>
      <c r="I144" s="213"/>
      <c r="J144" s="213"/>
      <c r="K144" s="213"/>
      <c r="L144" s="213"/>
    </row>
    <row r="145" spans="1:12" x14ac:dyDescent="0.25">
      <c r="A145" s="213"/>
      <c r="B145" s="213"/>
      <c r="C145" s="213"/>
      <c r="D145" s="213"/>
      <c r="E145" s="213"/>
      <c r="F145" s="213"/>
      <c r="G145" s="213"/>
      <c r="H145" s="213"/>
      <c r="I145" s="213"/>
      <c r="J145" s="213"/>
      <c r="K145" s="213"/>
      <c r="L145" s="213"/>
    </row>
    <row r="146" spans="1:12" x14ac:dyDescent="0.25">
      <c r="A146" s="213"/>
      <c r="B146" s="213"/>
      <c r="C146" s="213"/>
      <c r="D146" s="213"/>
      <c r="E146" s="213"/>
      <c r="F146" s="213"/>
      <c r="G146" s="213"/>
      <c r="H146" s="213"/>
      <c r="I146" s="213"/>
      <c r="J146" s="213"/>
      <c r="K146" s="213"/>
      <c r="L146" s="213"/>
    </row>
    <row r="147" spans="1:12" x14ac:dyDescent="0.25">
      <c r="A147" s="213"/>
      <c r="B147" s="213"/>
      <c r="C147" s="213"/>
      <c r="D147" s="213"/>
      <c r="E147" s="213"/>
      <c r="F147" s="213"/>
      <c r="G147" s="213"/>
      <c r="H147" s="213"/>
      <c r="I147" s="213"/>
      <c r="J147" s="213"/>
      <c r="K147" s="213"/>
      <c r="L147" s="213"/>
    </row>
    <row r="148" spans="1:12" x14ac:dyDescent="0.25">
      <c r="A148" s="213"/>
      <c r="B148" s="213"/>
      <c r="C148" s="213"/>
      <c r="D148" s="213"/>
      <c r="E148" s="213"/>
      <c r="F148" s="213"/>
      <c r="G148" s="213"/>
      <c r="H148" s="213"/>
      <c r="I148" s="213"/>
      <c r="J148" s="213"/>
      <c r="K148" s="213"/>
      <c r="L148" s="213"/>
    </row>
    <row r="149" spans="1:12" x14ac:dyDescent="0.25">
      <c r="A149" s="213"/>
      <c r="B149" s="213"/>
      <c r="C149" s="213"/>
      <c r="D149" s="213"/>
      <c r="E149" s="213"/>
      <c r="F149" s="213"/>
      <c r="G149" s="213"/>
      <c r="H149" s="213"/>
      <c r="I149" s="213"/>
      <c r="J149" s="213"/>
      <c r="K149" s="213"/>
      <c r="L149" s="213"/>
    </row>
    <row r="150" spans="1:12" x14ac:dyDescent="0.25">
      <c r="A150" s="213"/>
      <c r="B150" s="213"/>
      <c r="C150" s="213"/>
      <c r="D150" s="213"/>
      <c r="E150" s="213"/>
      <c r="F150" s="213"/>
      <c r="G150" s="213"/>
      <c r="H150" s="213"/>
      <c r="I150" s="213"/>
      <c r="J150" s="213"/>
      <c r="K150" s="213"/>
      <c r="L150" s="213"/>
    </row>
    <row r="151" spans="1:12" x14ac:dyDescent="0.25">
      <c r="A151" s="213"/>
      <c r="B151" s="213"/>
      <c r="C151" s="213"/>
      <c r="D151" s="213"/>
      <c r="E151" s="213"/>
      <c r="F151" s="213"/>
      <c r="G151" s="213"/>
      <c r="H151" s="213"/>
      <c r="I151" s="213"/>
      <c r="J151" s="213"/>
      <c r="K151" s="213"/>
      <c r="L151" s="213"/>
    </row>
    <row r="152" spans="1:12" x14ac:dyDescent="0.25">
      <c r="A152" s="213"/>
      <c r="B152" s="213"/>
      <c r="C152" s="213"/>
      <c r="D152" s="213"/>
      <c r="E152" s="213"/>
      <c r="F152" s="213"/>
      <c r="G152" s="213"/>
      <c r="H152" s="213"/>
      <c r="I152" s="213"/>
      <c r="J152" s="213"/>
      <c r="K152" s="213"/>
      <c r="L152" s="213"/>
    </row>
  </sheetData>
  <pageMargins left="0.7" right="0.7" top="0.75" bottom="0.75" header="0.3" footer="0.3"/>
  <pageSetup scale="80" orientation="portrait" cellComments="asDisplayed" r:id="rId1"/>
  <headerFooter>
    <oddHeader xml:space="preserve">&amp;C&amp;"Arial,Bold"Schedule 25
Wholesale Differences to Base TRR&amp;"Arial,Regular"
</oddHeader>
    <oddFooter>&amp;R&amp;A</oddFooter>
  </headerFooter>
  <rowBreaks count="1" manualBreakCount="1">
    <brk id="67"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election activeCell="L20" sqref="L20"/>
    </sheetView>
  </sheetViews>
  <sheetFormatPr defaultRowHeight="13.2" x14ac:dyDescent="0.25"/>
  <cols>
    <col min="1" max="1" width="3.6640625" customWidth="1"/>
    <col min="2" max="2" width="45.6640625" customWidth="1"/>
    <col min="3" max="3" width="12.6640625" customWidth="1"/>
  </cols>
  <sheetData>
    <row r="1" spans="1:6" x14ac:dyDescent="0.25">
      <c r="A1" s="1" t="s">
        <v>1611</v>
      </c>
    </row>
    <row r="3" spans="1:6" x14ac:dyDescent="0.25">
      <c r="A3" s="466" t="s">
        <v>1875</v>
      </c>
    </row>
    <row r="5" spans="1:6" x14ac:dyDescent="0.25">
      <c r="B5" s="3" t="s">
        <v>193</v>
      </c>
      <c r="C5" s="3" t="s">
        <v>194</v>
      </c>
    </row>
    <row r="6" spans="1:6" x14ac:dyDescent="0.25">
      <c r="B6" t="s">
        <v>106</v>
      </c>
      <c r="C6" s="968">
        <v>0</v>
      </c>
    </row>
    <row r="7" spans="1:6" x14ac:dyDescent="0.25">
      <c r="B7" t="s">
        <v>349</v>
      </c>
      <c r="C7" s="968">
        <v>0</v>
      </c>
    </row>
    <row r="8" spans="1:6" x14ac:dyDescent="0.25">
      <c r="B8" t="s">
        <v>107</v>
      </c>
      <c r="C8" s="968">
        <v>0</v>
      </c>
      <c r="E8" s="1"/>
    </row>
    <row r="9" spans="1:6" ht="15" x14ac:dyDescent="0.4">
      <c r="B9" s="468" t="s">
        <v>2277</v>
      </c>
      <c r="C9" s="969">
        <v>0</v>
      </c>
      <c r="E9" s="1"/>
    </row>
    <row r="10" spans="1:6" x14ac:dyDescent="0.25">
      <c r="B10" t="s">
        <v>1876</v>
      </c>
      <c r="C10" s="968">
        <v>0</v>
      </c>
    </row>
    <row r="12" spans="1:6" x14ac:dyDescent="0.25">
      <c r="A12" t="s">
        <v>605</v>
      </c>
    </row>
    <row r="14" spans="1:6" x14ac:dyDescent="0.25">
      <c r="B14" t="s">
        <v>222</v>
      </c>
    </row>
    <row r="15" spans="1:6" x14ac:dyDescent="0.25">
      <c r="B15" s="470" t="s">
        <v>2058</v>
      </c>
      <c r="E15" s="13"/>
      <c r="F15" s="13"/>
    </row>
    <row r="16" spans="1:6" x14ac:dyDescent="0.25">
      <c r="B16" s="15"/>
    </row>
    <row r="17" spans="2:2" x14ac:dyDescent="0.25">
      <c r="B17" t="s">
        <v>604</v>
      </c>
    </row>
    <row r="18" spans="2:2" x14ac:dyDescent="0.25">
      <c r="B18" s="468" t="s">
        <v>2059</v>
      </c>
    </row>
    <row r="19" spans="2:2" x14ac:dyDescent="0.25">
      <c r="B19" s="105"/>
    </row>
    <row r="20" spans="2:2" x14ac:dyDescent="0.25">
      <c r="B20" s="905" t="s">
        <v>1338</v>
      </c>
    </row>
    <row r="21" spans="2:2" x14ac:dyDescent="0.25">
      <c r="B21" s="465" t="s">
        <v>2060</v>
      </c>
    </row>
    <row r="22" spans="2:2" x14ac:dyDescent="0.25">
      <c r="B22" s="13"/>
    </row>
    <row r="23" spans="2:2" x14ac:dyDescent="0.25">
      <c r="B23" s="468" t="s">
        <v>2278</v>
      </c>
    </row>
  </sheetData>
  <phoneticPr fontId="9" type="noConversion"/>
  <pageMargins left="0.75" right="0.75" top="1" bottom="1" header="0.5" footer="0.5"/>
  <pageSetup orientation="landscape" r:id="rId1"/>
  <headerFooter alignWithMargins="0">
    <oddHeader>&amp;C&amp;"Arial,Bold"Overview</oddHeader>
    <oddFooter>&amp;ROverview</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zoomScaleNormal="100" workbookViewId="0"/>
  </sheetViews>
  <sheetFormatPr defaultRowHeight="13.2" x14ac:dyDescent="0.25"/>
  <cols>
    <col min="1" max="1" width="4.6640625" customWidth="1"/>
    <col min="2" max="2" width="3.6640625" customWidth="1"/>
    <col min="3" max="3" width="18.6640625" customWidth="1"/>
    <col min="4" max="4" width="14.6640625" customWidth="1"/>
    <col min="5" max="5" width="45.6640625" customWidth="1"/>
    <col min="6" max="6" width="12.109375" bestFit="1" customWidth="1"/>
  </cols>
  <sheetData>
    <row r="1" spans="1:5" x14ac:dyDescent="0.25">
      <c r="A1" s="1" t="s">
        <v>451</v>
      </c>
    </row>
    <row r="3" spans="1:5" x14ac:dyDescent="0.25">
      <c r="B3" s="1" t="s">
        <v>43</v>
      </c>
      <c r="E3" s="94" t="s">
        <v>17</v>
      </c>
    </row>
    <row r="4" spans="1:5" x14ac:dyDescent="0.25">
      <c r="D4" s="2" t="s">
        <v>44</v>
      </c>
    </row>
    <row r="5" spans="1:5" x14ac:dyDescent="0.25">
      <c r="C5" s="2" t="s">
        <v>446</v>
      </c>
      <c r="D5" s="2" t="s">
        <v>448</v>
      </c>
    </row>
    <row r="6" spans="1:5" x14ac:dyDescent="0.25">
      <c r="A6" s="3" t="s">
        <v>360</v>
      </c>
      <c r="C6" s="3" t="s">
        <v>212</v>
      </c>
      <c r="D6" s="3" t="s">
        <v>452</v>
      </c>
      <c r="E6" s="3" t="s">
        <v>198</v>
      </c>
    </row>
    <row r="7" spans="1:5" x14ac:dyDescent="0.25">
      <c r="A7" s="2">
        <v>1</v>
      </c>
      <c r="C7" s="233" t="s">
        <v>1562</v>
      </c>
      <c r="D7" s="970" t="s">
        <v>2690</v>
      </c>
      <c r="E7" s="878" t="s">
        <v>2042</v>
      </c>
    </row>
    <row r="8" spans="1:5" x14ac:dyDescent="0.25">
      <c r="A8" s="2">
        <f>A7+1</f>
        <v>2</v>
      </c>
      <c r="E8" s="465"/>
    </row>
    <row r="9" spans="1:5" x14ac:dyDescent="0.25">
      <c r="A9" s="2">
        <f t="shared" ref="A9:A58" si="0">A8+1</f>
        <v>3</v>
      </c>
      <c r="B9" s="1" t="s">
        <v>45</v>
      </c>
    </row>
    <row r="10" spans="1:5" x14ac:dyDescent="0.25">
      <c r="A10" s="2">
        <f t="shared" si="0"/>
        <v>4</v>
      </c>
      <c r="B10" s="1"/>
      <c r="D10" s="2"/>
    </row>
    <row r="11" spans="1:5" x14ac:dyDescent="0.25">
      <c r="A11" s="2">
        <f t="shared" si="0"/>
        <v>5</v>
      </c>
      <c r="D11" s="2" t="s">
        <v>310</v>
      </c>
    </row>
    <row r="12" spans="1:5" x14ac:dyDescent="0.25">
      <c r="A12" s="2">
        <f t="shared" si="0"/>
        <v>6</v>
      </c>
      <c r="C12" s="2" t="s">
        <v>446</v>
      </c>
      <c r="D12" s="2" t="s">
        <v>448</v>
      </c>
    </row>
    <row r="13" spans="1:5" x14ac:dyDescent="0.25">
      <c r="A13" s="2">
        <f t="shared" si="0"/>
        <v>7</v>
      </c>
      <c r="C13" s="3" t="s">
        <v>212</v>
      </c>
      <c r="D13" s="3" t="s">
        <v>449</v>
      </c>
      <c r="E13" s="3" t="s">
        <v>198</v>
      </c>
    </row>
    <row r="14" spans="1:5" x14ac:dyDescent="0.25">
      <c r="A14" s="2">
        <f t="shared" si="0"/>
        <v>8</v>
      </c>
      <c r="C14" s="233" t="s">
        <v>1562</v>
      </c>
      <c r="D14" s="970" t="s">
        <v>2690</v>
      </c>
      <c r="E14" s="12" t="str">
        <f>"1) See calculation below on Line "&amp;A51&amp;" based on inputs"</f>
        <v>1) See calculation below on Line 45 based on inputs</v>
      </c>
    </row>
    <row r="15" spans="1:5" x14ac:dyDescent="0.25">
      <c r="A15" s="2">
        <f t="shared" si="0"/>
        <v>9</v>
      </c>
      <c r="C15" s="52"/>
      <c r="D15" s="13"/>
      <c r="E15" s="12" t="s">
        <v>320</v>
      </c>
    </row>
    <row r="16" spans="1:5" x14ac:dyDescent="0.25">
      <c r="A16" s="2">
        <f t="shared" si="0"/>
        <v>10</v>
      </c>
      <c r="C16" s="52"/>
      <c r="D16" s="13"/>
      <c r="E16" s="15" t="s">
        <v>450</v>
      </c>
    </row>
    <row r="17" spans="1:5" x14ac:dyDescent="0.25">
      <c r="A17" s="2">
        <f t="shared" si="0"/>
        <v>11</v>
      </c>
      <c r="C17" s="59"/>
      <c r="E17" s="15"/>
    </row>
    <row r="18" spans="1:5" x14ac:dyDescent="0.25">
      <c r="A18" s="2">
        <f t="shared" si="0"/>
        <v>12</v>
      </c>
      <c r="C18" s="1" t="s">
        <v>408</v>
      </c>
      <c r="E18" s="15"/>
    </row>
    <row r="19" spans="1:5" x14ac:dyDescent="0.25">
      <c r="A19" s="2">
        <f t="shared" si="0"/>
        <v>13</v>
      </c>
      <c r="E19" s="15"/>
    </row>
    <row r="20" spans="1:5" x14ac:dyDescent="0.25">
      <c r="A20" s="2">
        <f t="shared" si="0"/>
        <v>14</v>
      </c>
      <c r="C20" s="2"/>
      <c r="D20" s="2" t="s">
        <v>35</v>
      </c>
    </row>
    <row r="21" spans="1:5" x14ac:dyDescent="0.25">
      <c r="A21" s="2">
        <f t="shared" si="0"/>
        <v>15</v>
      </c>
      <c r="C21" s="3" t="s">
        <v>41</v>
      </c>
      <c r="D21" s="3" t="s">
        <v>453</v>
      </c>
      <c r="E21" s="3" t="s">
        <v>198</v>
      </c>
    </row>
    <row r="22" spans="1:5" x14ac:dyDescent="0.25">
      <c r="A22" s="2">
        <f t="shared" si="0"/>
        <v>16</v>
      </c>
      <c r="C22" t="s">
        <v>37</v>
      </c>
      <c r="D22" s="980" t="s">
        <v>2690</v>
      </c>
      <c r="E22" s="68" t="s">
        <v>445</v>
      </c>
    </row>
    <row r="23" spans="1:5" x14ac:dyDescent="0.25">
      <c r="A23" s="2">
        <f t="shared" si="0"/>
        <v>17</v>
      </c>
      <c r="C23" t="s">
        <v>38</v>
      </c>
      <c r="D23" s="980" t="s">
        <v>2690</v>
      </c>
      <c r="E23" s="137"/>
    </row>
    <row r="24" spans="1:5" x14ac:dyDescent="0.25">
      <c r="A24" s="2">
        <f t="shared" si="0"/>
        <v>18</v>
      </c>
      <c r="C24" t="s">
        <v>39</v>
      </c>
      <c r="D24" s="980" t="s">
        <v>2690</v>
      </c>
      <c r="E24" s="65"/>
    </row>
    <row r="25" spans="1:5" x14ac:dyDescent="0.25">
      <c r="A25" s="2">
        <f t="shared" si="0"/>
        <v>19</v>
      </c>
      <c r="C25" t="s">
        <v>40</v>
      </c>
      <c r="D25" s="980" t="s">
        <v>2690</v>
      </c>
      <c r="E25" s="66"/>
    </row>
    <row r="26" spans="1:5" x14ac:dyDescent="0.25">
      <c r="A26" s="2">
        <f t="shared" si="0"/>
        <v>20</v>
      </c>
      <c r="D26" s="67"/>
      <c r="E26" s="66"/>
    </row>
    <row r="27" spans="1:5" x14ac:dyDescent="0.25">
      <c r="A27" s="2">
        <f t="shared" si="0"/>
        <v>21</v>
      </c>
      <c r="D27" s="2" t="s">
        <v>42</v>
      </c>
    </row>
    <row r="28" spans="1:5" x14ac:dyDescent="0.25">
      <c r="A28" s="2">
        <f t="shared" si="0"/>
        <v>22</v>
      </c>
      <c r="C28" s="3" t="s">
        <v>41</v>
      </c>
      <c r="D28" s="3" t="s">
        <v>447</v>
      </c>
    </row>
    <row r="29" spans="1:5" x14ac:dyDescent="0.25">
      <c r="A29" s="2">
        <f t="shared" si="0"/>
        <v>23</v>
      </c>
      <c r="C29" t="s">
        <v>37</v>
      </c>
      <c r="D29" s="980" t="s">
        <v>2690</v>
      </c>
      <c r="E29" s="137" t="s">
        <v>551</v>
      </c>
    </row>
    <row r="30" spans="1:5" x14ac:dyDescent="0.25">
      <c r="A30" s="2">
        <f t="shared" si="0"/>
        <v>24</v>
      </c>
      <c r="C30" t="s">
        <v>38</v>
      </c>
      <c r="D30" s="980" t="s">
        <v>2690</v>
      </c>
      <c r="E30" s="898" t="s">
        <v>2005</v>
      </c>
    </row>
    <row r="31" spans="1:5" x14ac:dyDescent="0.25">
      <c r="A31" s="2">
        <f t="shared" si="0"/>
        <v>25</v>
      </c>
      <c r="C31" t="s">
        <v>39</v>
      </c>
      <c r="D31" s="980" t="s">
        <v>2690</v>
      </c>
    </row>
    <row r="32" spans="1:5" x14ac:dyDescent="0.25">
      <c r="A32" s="2">
        <f t="shared" si="0"/>
        <v>26</v>
      </c>
      <c r="C32" t="s">
        <v>40</v>
      </c>
      <c r="D32" s="980" t="s">
        <v>2690</v>
      </c>
    </row>
    <row r="33" spans="1:5" x14ac:dyDescent="0.25">
      <c r="A33" s="2">
        <f t="shared" si="0"/>
        <v>27</v>
      </c>
    </row>
    <row r="34" spans="1:5" x14ac:dyDescent="0.25">
      <c r="A34" s="460">
        <f t="shared" si="0"/>
        <v>28</v>
      </c>
      <c r="D34" s="2" t="s">
        <v>1362</v>
      </c>
    </row>
    <row r="35" spans="1:5" x14ac:dyDescent="0.25">
      <c r="A35" s="460">
        <f t="shared" si="0"/>
        <v>29</v>
      </c>
      <c r="D35" s="460" t="s">
        <v>1639</v>
      </c>
    </row>
    <row r="36" spans="1:5" x14ac:dyDescent="0.25">
      <c r="A36" s="460">
        <f t="shared" si="0"/>
        <v>30</v>
      </c>
      <c r="D36" s="393" t="s">
        <v>1640</v>
      </c>
    </row>
    <row r="37" spans="1:5" x14ac:dyDescent="0.25">
      <c r="A37" s="460">
        <f t="shared" si="0"/>
        <v>31</v>
      </c>
      <c r="D37" s="460" t="s">
        <v>37</v>
      </c>
    </row>
    <row r="38" spans="1:5" x14ac:dyDescent="0.25">
      <c r="A38" s="460">
        <f t="shared" si="0"/>
        <v>32</v>
      </c>
      <c r="C38" s="3" t="s">
        <v>41</v>
      </c>
      <c r="D38" s="3" t="s">
        <v>1641</v>
      </c>
    </row>
    <row r="39" spans="1:5" x14ac:dyDescent="0.25">
      <c r="A39" s="460">
        <f t="shared" si="0"/>
        <v>33</v>
      </c>
      <c r="C39" t="s">
        <v>37</v>
      </c>
      <c r="D39" s="980" t="s">
        <v>2690</v>
      </c>
      <c r="E39" s="438" t="s">
        <v>1495</v>
      </c>
    </row>
    <row r="40" spans="1:5" x14ac:dyDescent="0.25">
      <c r="A40" s="460">
        <f t="shared" si="0"/>
        <v>34</v>
      </c>
      <c r="C40" t="s">
        <v>38</v>
      </c>
      <c r="D40" s="980" t="s">
        <v>2690</v>
      </c>
      <c r="E40" s="13" t="s">
        <v>1496</v>
      </c>
    </row>
    <row r="41" spans="1:5" x14ac:dyDescent="0.25">
      <c r="A41" s="460">
        <f t="shared" si="0"/>
        <v>35</v>
      </c>
      <c r="C41" t="s">
        <v>39</v>
      </c>
      <c r="D41" s="980" t="s">
        <v>2690</v>
      </c>
    </row>
    <row r="42" spans="1:5" x14ac:dyDescent="0.25">
      <c r="A42" s="460">
        <f t="shared" si="0"/>
        <v>36</v>
      </c>
      <c r="C42" t="s">
        <v>40</v>
      </c>
      <c r="D42" s="980" t="s">
        <v>2690</v>
      </c>
    </row>
    <row r="43" spans="1:5" x14ac:dyDescent="0.25">
      <c r="A43" s="460">
        <f t="shared" si="0"/>
        <v>37</v>
      </c>
      <c r="D43" s="392"/>
    </row>
    <row r="44" spans="1:5" x14ac:dyDescent="0.25">
      <c r="A44" s="460">
        <f t="shared" si="0"/>
        <v>38</v>
      </c>
      <c r="D44" s="2" t="s">
        <v>1360</v>
      </c>
    </row>
    <row r="45" spans="1:5" x14ac:dyDescent="0.25">
      <c r="A45" s="460">
        <f t="shared" si="0"/>
        <v>39</v>
      </c>
      <c r="C45" s="3" t="s">
        <v>41</v>
      </c>
      <c r="D45" s="3" t="s">
        <v>1361</v>
      </c>
    </row>
    <row r="46" spans="1:5" x14ac:dyDescent="0.25">
      <c r="A46" s="460">
        <f t="shared" si="0"/>
        <v>40</v>
      </c>
      <c r="C46" t="s">
        <v>37</v>
      </c>
      <c r="D46" s="970" t="s">
        <v>2690</v>
      </c>
      <c r="E46" s="12" t="str">
        <f>"Line "&amp;A22&amp;" * Line "&amp;A29&amp;" * Line "&amp;A39&amp;""</f>
        <v>Line 16 * Line 23 * Line 33</v>
      </c>
    </row>
    <row r="47" spans="1:5" x14ac:dyDescent="0.25">
      <c r="A47" s="460">
        <f t="shared" si="0"/>
        <v>41</v>
      </c>
      <c r="C47" t="s">
        <v>38</v>
      </c>
      <c r="D47" s="970" t="s">
        <v>2690</v>
      </c>
      <c r="E47" s="12" t="str">
        <f>"Line "&amp;A23&amp;" * Line "&amp;A30&amp;" * Line "&amp;A40&amp;""</f>
        <v>Line 17 * Line 24 * Line 34</v>
      </c>
    </row>
    <row r="48" spans="1:5" x14ac:dyDescent="0.25">
      <c r="A48" s="460">
        <f t="shared" si="0"/>
        <v>42</v>
      </c>
      <c r="C48" t="s">
        <v>39</v>
      </c>
      <c r="D48" s="970" t="s">
        <v>2690</v>
      </c>
      <c r="E48" s="12" t="str">
        <f>"Line "&amp;A24&amp;" * Line "&amp;A31&amp;" * Line "&amp;A41&amp;""</f>
        <v>Line 18 * Line 25 * Line 35</v>
      </c>
    </row>
    <row r="49" spans="1:9" x14ac:dyDescent="0.25">
      <c r="A49" s="460">
        <f t="shared" si="0"/>
        <v>43</v>
      </c>
      <c r="C49" t="s">
        <v>40</v>
      </c>
      <c r="D49" s="970" t="s">
        <v>2690</v>
      </c>
      <c r="E49" s="12" t="str">
        <f>"Line "&amp;A25&amp;" * Line "&amp;A32&amp;" * Line "&amp;A42&amp;""</f>
        <v>Line 19 * Line 26 * Line 36</v>
      </c>
    </row>
    <row r="50" spans="1:9" x14ac:dyDescent="0.25">
      <c r="A50" s="460">
        <f t="shared" si="0"/>
        <v>44</v>
      </c>
      <c r="C50" s="69" t="s">
        <v>310</v>
      </c>
    </row>
    <row r="51" spans="1:9" x14ac:dyDescent="0.25">
      <c r="A51" s="460">
        <f t="shared" si="0"/>
        <v>45</v>
      </c>
      <c r="C51" s="69" t="s">
        <v>309</v>
      </c>
      <c r="D51" s="970" t="s">
        <v>2690</v>
      </c>
      <c r="E51" s="12" t="str">
        <f>"Sum of Lines "&amp;A46&amp;" to "&amp;A49&amp;""</f>
        <v>Sum of Lines 40 to 43</v>
      </c>
    </row>
    <row r="52" spans="1:9" x14ac:dyDescent="0.25">
      <c r="A52" s="560">
        <f t="shared" si="0"/>
        <v>46</v>
      </c>
      <c r="E52" s="12"/>
    </row>
    <row r="53" spans="1:9" ht="12.75" customHeight="1" x14ac:dyDescent="0.25">
      <c r="A53" s="560">
        <f t="shared" si="0"/>
        <v>47</v>
      </c>
      <c r="B53" s="1" t="s">
        <v>1870</v>
      </c>
      <c r="E53" s="15"/>
    </row>
    <row r="54" spans="1:9" ht="12.75" customHeight="1" x14ac:dyDescent="0.25">
      <c r="A54" s="560">
        <f t="shared" si="0"/>
        <v>48</v>
      </c>
      <c r="E54" s="106"/>
      <c r="F54" s="3" t="s">
        <v>194</v>
      </c>
    </row>
    <row r="55" spans="1:9" ht="12.75" customHeight="1" x14ac:dyDescent="0.25">
      <c r="A55" s="103">
        <f t="shared" si="0"/>
        <v>49</v>
      </c>
      <c r="B55" s="13"/>
      <c r="C55" s="13" t="str">
        <f>"Total Electric Payroll Tax Expense (From 1-BaseTRR, Line "&amp;'1-BaseTRR'!A52&amp;")"</f>
        <v>Total Electric Payroll Tax Expense (From 1-BaseTRR, Line 30)</v>
      </c>
      <c r="D55" s="13"/>
      <c r="E55" s="13"/>
      <c r="F55" s="986">
        <v>0</v>
      </c>
      <c r="G55" s="11"/>
    </row>
    <row r="56" spans="1:9" ht="12.75" customHeight="1" x14ac:dyDescent="0.25">
      <c r="A56" s="103">
        <f t="shared" si="0"/>
        <v>50</v>
      </c>
      <c r="B56" s="13"/>
      <c r="C56" s="468" t="s">
        <v>2145</v>
      </c>
      <c r="D56" s="13"/>
      <c r="E56" s="13"/>
      <c r="F56" s="980" t="s">
        <v>2690</v>
      </c>
      <c r="G56" s="11"/>
    </row>
    <row r="57" spans="1:9" ht="12.75" customHeight="1" x14ac:dyDescent="0.4">
      <c r="A57" s="103">
        <f t="shared" si="0"/>
        <v>51</v>
      </c>
      <c r="B57" s="13"/>
      <c r="C57" s="468" t="str">
        <f>"Capitalized Overhead portion of Electric Payroll Tax Expense (Line "&amp;A55&amp;" * Line "&amp;A56&amp;")"</f>
        <v>Capitalized Overhead portion of Electric Payroll Tax Expense (Line 49 * Line 50)</v>
      </c>
      <c r="D57" s="13"/>
      <c r="E57" s="13"/>
      <c r="F57" s="987">
        <v>0</v>
      </c>
      <c r="G57" s="468"/>
      <c r="H57" s="13"/>
      <c r="I57" s="468"/>
    </row>
    <row r="58" spans="1:9" x14ac:dyDescent="0.25">
      <c r="A58" s="103">
        <f t="shared" si="0"/>
        <v>52</v>
      </c>
      <c r="B58" s="13"/>
      <c r="C58" s="468" t="str">
        <f>"Non-Capitalized Overhead portion of Electric Payroll Tax Expense (Line "&amp;A55&amp;" - Line "&amp;A57&amp;")"</f>
        <v>Non-Capitalized Overhead portion of Electric Payroll Tax Expense (Line 49 - Line 51)</v>
      </c>
      <c r="D58" s="13"/>
      <c r="E58" s="13"/>
      <c r="F58" s="986">
        <v>0</v>
      </c>
      <c r="G58" s="11"/>
      <c r="H58" s="13"/>
    </row>
    <row r="60" spans="1:9" x14ac:dyDescent="0.25">
      <c r="B60" s="49" t="s">
        <v>256</v>
      </c>
    </row>
    <row r="61" spans="1:9" x14ac:dyDescent="0.25">
      <c r="B61" s="456" t="s">
        <v>1626</v>
      </c>
    </row>
    <row r="62" spans="1:9" x14ac:dyDescent="0.25">
      <c r="B62" s="456" t="s">
        <v>1623</v>
      </c>
    </row>
    <row r="63" spans="1:9" x14ac:dyDescent="0.25">
      <c r="B63" s="11" t="s">
        <v>1625</v>
      </c>
    </row>
    <row r="64" spans="1:9" x14ac:dyDescent="0.25">
      <c r="B64" s="457" t="s">
        <v>1624</v>
      </c>
    </row>
    <row r="65" spans="2:6" x14ac:dyDescent="0.25">
      <c r="B65" s="457"/>
      <c r="C65" s="468" t="s">
        <v>2033</v>
      </c>
      <c r="D65" s="13"/>
    </row>
    <row r="66" spans="2:6" x14ac:dyDescent="0.25">
      <c r="B66" s="457"/>
      <c r="C66" s="466"/>
    </row>
    <row r="67" spans="2:6" x14ac:dyDescent="0.25">
      <c r="B67" s="457"/>
      <c r="C67" s="899" t="s">
        <v>2041</v>
      </c>
      <c r="D67" s="899" t="s">
        <v>2040</v>
      </c>
      <c r="E67" s="13"/>
      <c r="F67" s="13"/>
    </row>
    <row r="68" spans="2:6" x14ac:dyDescent="0.25">
      <c r="B68" s="113"/>
      <c r="C68" s="348" t="s">
        <v>2034</v>
      </c>
      <c r="D68" s="348" t="s">
        <v>2035</v>
      </c>
      <c r="E68" s="44" t="s">
        <v>2036</v>
      </c>
      <c r="F68" s="13"/>
    </row>
    <row r="69" spans="2:6" x14ac:dyDescent="0.25">
      <c r="B69" s="669" t="s">
        <v>1916</v>
      </c>
      <c r="C69" s="980" t="s">
        <v>2690</v>
      </c>
      <c r="D69" s="537" t="s">
        <v>86</v>
      </c>
      <c r="E69" s="465" t="s">
        <v>2037</v>
      </c>
      <c r="F69" s="13"/>
    </row>
    <row r="70" spans="2:6" x14ac:dyDescent="0.25">
      <c r="B70" s="669" t="s">
        <v>1917</v>
      </c>
      <c r="C70" s="980" t="s">
        <v>2690</v>
      </c>
      <c r="D70" s="537" t="s">
        <v>86</v>
      </c>
      <c r="E70" s="465" t="s">
        <v>2038</v>
      </c>
      <c r="F70" s="13"/>
    </row>
    <row r="71" spans="2:6" x14ac:dyDescent="0.25">
      <c r="B71" s="669" t="s">
        <v>1918</v>
      </c>
      <c r="C71" s="893" t="s">
        <v>2039</v>
      </c>
      <c r="D71" s="970" t="s">
        <v>2690</v>
      </c>
      <c r="E71" s="896" t="s">
        <v>2043</v>
      </c>
      <c r="F71" s="13"/>
    </row>
    <row r="72" spans="2:6" x14ac:dyDescent="0.25">
      <c r="B72" s="900" t="s">
        <v>2010</v>
      </c>
      <c r="C72" s="13"/>
      <c r="D72" s="537" t="s">
        <v>86</v>
      </c>
      <c r="E72" s="94"/>
      <c r="F72" s="94"/>
    </row>
    <row r="73" spans="2:6" x14ac:dyDescent="0.25">
      <c r="B73" s="900" t="s">
        <v>2011</v>
      </c>
      <c r="C73" s="13"/>
      <c r="D73" s="13"/>
      <c r="E73" s="13"/>
      <c r="F73" s="13"/>
    </row>
    <row r="74" spans="2:6" x14ac:dyDescent="0.25">
      <c r="B74" s="686" t="s">
        <v>2009</v>
      </c>
      <c r="C74" s="13"/>
      <c r="D74" s="537" t="s">
        <v>86</v>
      </c>
      <c r="E74" s="94"/>
      <c r="F74" s="94"/>
    </row>
    <row r="75" spans="2:6" x14ac:dyDescent="0.25">
      <c r="B75" s="686" t="s">
        <v>2006</v>
      </c>
      <c r="C75" s="13"/>
      <c r="D75" s="537" t="s">
        <v>86</v>
      </c>
      <c r="E75" s="94"/>
      <c r="F75" s="94"/>
    </row>
    <row r="76" spans="2:6" x14ac:dyDescent="0.25">
      <c r="B76" s="686" t="s">
        <v>2007</v>
      </c>
      <c r="C76" s="13"/>
      <c r="D76" s="537" t="s">
        <v>86</v>
      </c>
      <c r="E76" s="94"/>
      <c r="F76" s="94"/>
    </row>
    <row r="77" spans="2:6" x14ac:dyDescent="0.25">
      <c r="B77" s="686" t="s">
        <v>2008</v>
      </c>
      <c r="C77" s="13"/>
      <c r="D77" s="537" t="s">
        <v>86</v>
      </c>
      <c r="E77" s="94"/>
      <c r="F77" s="94"/>
    </row>
    <row r="78" spans="2:6" x14ac:dyDescent="0.25">
      <c r="B78" s="468" t="s">
        <v>2146</v>
      </c>
      <c r="C78" s="13"/>
      <c r="D78" s="13"/>
      <c r="E78" s="999" t="s">
        <v>2698</v>
      </c>
    </row>
    <row r="79" spans="2:6" x14ac:dyDescent="0.25">
      <c r="B79" s="465" t="s">
        <v>2147</v>
      </c>
      <c r="C79" s="13"/>
      <c r="D79" s="13"/>
      <c r="E79" s="999" t="s">
        <v>2698</v>
      </c>
    </row>
  </sheetData>
  <phoneticPr fontId="9" type="noConversion"/>
  <pageMargins left="0.75" right="0.75" top="1" bottom="1" header="0.5" footer="0.5"/>
  <pageSetup scale="75" orientation="portrait" cellComments="asDisplayed" r:id="rId1"/>
  <headerFooter alignWithMargins="0">
    <oddHeader xml:space="preserve">&amp;C&amp;"Arial,Bold"Schedule 26
Tax Rates&amp;"Arial,Regular"
</oddHeader>
    <oddFooter>&amp;R&amp;A</oddFooter>
  </headerFooter>
  <rowBreaks count="1" manualBreakCount="1">
    <brk id="59"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zoomScale="90" zoomScaleNormal="90" workbookViewId="0"/>
  </sheetViews>
  <sheetFormatPr defaultRowHeight="13.2" x14ac:dyDescent="0.25"/>
  <cols>
    <col min="1" max="2" width="4.6640625" customWidth="1"/>
    <col min="3" max="3" width="40.6640625" customWidth="1"/>
    <col min="4" max="4" width="20.6640625" customWidth="1"/>
    <col min="5" max="5" width="28.6640625" customWidth="1"/>
    <col min="6" max="6" width="2.6640625" customWidth="1"/>
    <col min="7" max="7" width="16.6640625" customWidth="1"/>
  </cols>
  <sheetData>
    <row r="1" spans="1:9" x14ac:dyDescent="0.25">
      <c r="A1" s="1" t="s">
        <v>221</v>
      </c>
      <c r="B1" s="1"/>
    </row>
    <row r="2" spans="1:9" x14ac:dyDescent="0.25">
      <c r="A2" s="1"/>
      <c r="B2" s="1"/>
      <c r="E2" s="94" t="s">
        <v>17</v>
      </c>
    </row>
    <row r="3" spans="1:9" x14ac:dyDescent="0.25">
      <c r="G3" s="97"/>
    </row>
    <row r="4" spans="1:9" x14ac:dyDescent="0.25">
      <c r="A4" s="2"/>
      <c r="B4" s="1" t="s">
        <v>1252</v>
      </c>
      <c r="G4" s="97"/>
    </row>
    <row r="5" spans="1:9" x14ac:dyDescent="0.25">
      <c r="A5" s="2"/>
      <c r="C5" s="1"/>
      <c r="D5" s="2"/>
      <c r="E5" s="2" t="s">
        <v>188</v>
      </c>
      <c r="G5" s="4" t="s">
        <v>73</v>
      </c>
    </row>
    <row r="6" spans="1:9" x14ac:dyDescent="0.25">
      <c r="A6" s="49" t="s">
        <v>360</v>
      </c>
      <c r="C6" s="1"/>
      <c r="D6" s="3" t="s">
        <v>187</v>
      </c>
      <c r="E6" s="3" t="s">
        <v>189</v>
      </c>
      <c r="G6" s="3" t="s">
        <v>190</v>
      </c>
    </row>
    <row r="7" spans="1:9" x14ac:dyDescent="0.25">
      <c r="A7" s="2">
        <v>1</v>
      </c>
      <c r="C7" s="64" t="s">
        <v>363</v>
      </c>
      <c r="E7" s="14" t="str">
        <f>"19-OandM Line "&amp;'19-OandM'!A170&amp;", Col. 7"</f>
        <v>19-OandM Line 137, Col. 7</v>
      </c>
      <c r="G7" s="986">
        <v>0</v>
      </c>
      <c r="I7" s="11"/>
    </row>
    <row r="8" spans="1:9" x14ac:dyDescent="0.25">
      <c r="A8" s="2">
        <f>A7+1</f>
        <v>2</v>
      </c>
      <c r="C8" s="64" t="s">
        <v>263</v>
      </c>
      <c r="E8" s="14" t="s">
        <v>313</v>
      </c>
      <c r="G8" s="977">
        <v>0</v>
      </c>
    </row>
    <row r="9" spans="1:9" x14ac:dyDescent="0.25">
      <c r="A9" s="2">
        <f t="shared" ref="A9:A62" si="0">A8+1</f>
        <v>3</v>
      </c>
      <c r="C9" s="5" t="s">
        <v>264</v>
      </c>
      <c r="E9" s="14" t="s">
        <v>314</v>
      </c>
      <c r="G9" s="977">
        <v>0</v>
      </c>
    </row>
    <row r="10" spans="1:9" x14ac:dyDescent="0.25">
      <c r="A10" s="2">
        <f t="shared" si="0"/>
        <v>4</v>
      </c>
      <c r="C10" s="64" t="s">
        <v>1258</v>
      </c>
      <c r="E10" s="14" t="str">
        <f>"Line "&amp;A8&amp;" - Line "&amp;A9&amp;""</f>
        <v>Line 2 - Line 3</v>
      </c>
      <c r="G10" s="986">
        <v>0</v>
      </c>
    </row>
    <row r="11" spans="1:9" x14ac:dyDescent="0.25">
      <c r="A11" s="2">
        <f t="shared" si="0"/>
        <v>5</v>
      </c>
      <c r="C11" s="901" t="s">
        <v>2497</v>
      </c>
      <c r="E11" s="14" t="str">
        <f>"20-AandG, Note 2"</f>
        <v>20-AandG, Note 2</v>
      </c>
      <c r="G11" s="986">
        <v>0</v>
      </c>
      <c r="I11" s="11"/>
    </row>
    <row r="12" spans="1:9" x14ac:dyDescent="0.25">
      <c r="A12" s="2">
        <f t="shared" si="0"/>
        <v>6</v>
      </c>
      <c r="C12" s="902" t="s">
        <v>2493</v>
      </c>
      <c r="E12" s="14" t="str">
        <f>"20-AandG, Note 2"</f>
        <v>20-AandG, Note 2</v>
      </c>
      <c r="G12" s="986">
        <v>0</v>
      </c>
    </row>
    <row r="13" spans="1:9" x14ac:dyDescent="0.25">
      <c r="A13" s="2">
        <f t="shared" si="0"/>
        <v>7</v>
      </c>
      <c r="C13" s="901" t="s">
        <v>2494</v>
      </c>
      <c r="E13" s="14" t="str">
        <f>"Line "&amp;A11&amp;" - Line "&amp;A12&amp;""</f>
        <v>Line 5 - Line 6</v>
      </c>
      <c r="G13" s="986">
        <v>0</v>
      </c>
    </row>
    <row r="14" spans="1:9" x14ac:dyDescent="0.25">
      <c r="A14" s="2">
        <f t="shared" si="0"/>
        <v>8</v>
      </c>
      <c r="C14" s="901" t="s">
        <v>2495</v>
      </c>
      <c r="E14" s="14" t="str">
        <f>"Line "&amp;A10&amp;" + Line "&amp;A13&amp;""</f>
        <v>Line 4 + Line 7</v>
      </c>
      <c r="G14" s="986">
        <v>0</v>
      </c>
    </row>
    <row r="15" spans="1:9" x14ac:dyDescent="0.25">
      <c r="A15" s="2">
        <f t="shared" si="0"/>
        <v>9</v>
      </c>
      <c r="C15" t="s">
        <v>219</v>
      </c>
      <c r="E15" s="14" t="str">
        <f>"Line "&amp;A7&amp;" / Line "&amp;A14&amp;""</f>
        <v>Line 1 / Line 8</v>
      </c>
      <c r="G15" s="970" t="s">
        <v>2690</v>
      </c>
    </row>
    <row r="16" spans="1:9" x14ac:dyDescent="0.25">
      <c r="A16" s="2">
        <f t="shared" si="0"/>
        <v>10</v>
      </c>
      <c r="E16" s="13"/>
    </row>
    <row r="17" spans="1:11" x14ac:dyDescent="0.25">
      <c r="A17" s="2">
        <f t="shared" si="0"/>
        <v>11</v>
      </c>
      <c r="B17" s="1" t="s">
        <v>1253</v>
      </c>
      <c r="E17" s="13"/>
      <c r="G17" s="97"/>
    </row>
    <row r="18" spans="1:11" x14ac:dyDescent="0.25">
      <c r="A18" s="2">
        <f t="shared" si="0"/>
        <v>12</v>
      </c>
      <c r="D18" s="2"/>
      <c r="E18" s="103" t="s">
        <v>188</v>
      </c>
      <c r="G18" s="4" t="s">
        <v>73</v>
      </c>
    </row>
    <row r="19" spans="1:11" x14ac:dyDescent="0.25">
      <c r="A19" s="2">
        <f t="shared" si="0"/>
        <v>13</v>
      </c>
      <c r="D19" s="3" t="s">
        <v>187</v>
      </c>
      <c r="E19" s="113" t="s">
        <v>189</v>
      </c>
      <c r="G19" s="3" t="s">
        <v>190</v>
      </c>
    </row>
    <row r="20" spans="1:11" x14ac:dyDescent="0.25">
      <c r="A20" s="2">
        <f t="shared" si="0"/>
        <v>14</v>
      </c>
      <c r="C20" t="s">
        <v>364</v>
      </c>
      <c r="E20" s="14" t="str">
        <f>"7-PlantStudy, Line "&amp;'7-PlantStudy'!A28&amp;""</f>
        <v>7-PlantStudy, Line 21</v>
      </c>
      <c r="G20" s="986">
        <v>0</v>
      </c>
    </row>
    <row r="21" spans="1:11" x14ac:dyDescent="0.25">
      <c r="A21" s="2">
        <f t="shared" si="0"/>
        <v>15</v>
      </c>
      <c r="C21" t="s">
        <v>365</v>
      </c>
      <c r="E21" s="14" t="str">
        <f>"7-PlantStudy, Line "&amp;'7-PlantStudy'!A42&amp;""</f>
        <v>7-PlantStudy, Line 30</v>
      </c>
      <c r="G21" s="986">
        <v>0</v>
      </c>
    </row>
    <row r="22" spans="1:11" x14ac:dyDescent="0.25">
      <c r="A22" s="2">
        <f t="shared" si="0"/>
        <v>16</v>
      </c>
      <c r="C22" t="s">
        <v>68</v>
      </c>
      <c r="E22" s="14" t="str">
        <f>"6-PlantInService, Line "&amp;'6-PlantInService'!A53&amp;", C2"</f>
        <v>6-PlantInService, Line 21, C2</v>
      </c>
      <c r="G22" s="986">
        <v>0</v>
      </c>
      <c r="H22" s="97"/>
    </row>
    <row r="23" spans="1:11" x14ac:dyDescent="0.25">
      <c r="A23" s="2">
        <f t="shared" si="0"/>
        <v>17</v>
      </c>
      <c r="C23" t="s">
        <v>69</v>
      </c>
      <c r="E23" s="13" t="str">
        <f>"Line "&amp;A22&amp;" * Line "&amp;A15&amp;""</f>
        <v>Line 16 * Line 9</v>
      </c>
      <c r="G23" s="986">
        <v>0</v>
      </c>
    </row>
    <row r="24" spans="1:11" x14ac:dyDescent="0.25">
      <c r="A24" s="2">
        <f t="shared" si="0"/>
        <v>18</v>
      </c>
      <c r="C24" t="s">
        <v>67</v>
      </c>
      <c r="E24" s="14" t="str">
        <f>"6-PlantInService, Line "&amp;'6-PlantInService'!A53&amp;", C1"</f>
        <v>6-PlantInService, Line 21, C1</v>
      </c>
      <c r="G24" s="986">
        <v>0</v>
      </c>
    </row>
    <row r="25" spans="1:11" x14ac:dyDescent="0.25">
      <c r="A25" s="2">
        <f t="shared" si="0"/>
        <v>19</v>
      </c>
      <c r="C25" t="s">
        <v>183</v>
      </c>
      <c r="E25" s="13" t="str">
        <f>"Line "&amp;A24&amp;" * Line "&amp;A15&amp;""</f>
        <v>Line 18 * Line 9</v>
      </c>
      <c r="G25" s="986">
        <v>0</v>
      </c>
    </row>
    <row r="26" spans="1:11" x14ac:dyDescent="0.25">
      <c r="A26" s="2">
        <f t="shared" si="0"/>
        <v>20</v>
      </c>
      <c r="C26" s="11" t="s">
        <v>1256</v>
      </c>
      <c r="E26" t="s">
        <v>34</v>
      </c>
      <c r="G26" s="977">
        <v>0</v>
      </c>
    </row>
    <row r="27" spans="1:11" x14ac:dyDescent="0.25">
      <c r="A27" s="2">
        <f t="shared" si="0"/>
        <v>21</v>
      </c>
      <c r="G27" s="97"/>
    </row>
    <row r="28" spans="1:11" x14ac:dyDescent="0.25">
      <c r="A28" s="2">
        <f t="shared" si="0"/>
        <v>22</v>
      </c>
      <c r="C28" t="s">
        <v>66</v>
      </c>
      <c r="E28" s="11" t="str">
        <f>"(L"&amp;A20&amp;" + L"&amp;A21&amp;" + L"&amp;A23&amp;" + L"&amp;A25&amp;") / L"&amp;A26&amp;""</f>
        <v>(L14 + L15 + L17 + L19) / L20</v>
      </c>
      <c r="G28" s="970" t="s">
        <v>2690</v>
      </c>
    </row>
    <row r="29" spans="1:11" x14ac:dyDescent="0.25">
      <c r="A29" s="577">
        <f t="shared" si="0"/>
        <v>23</v>
      </c>
      <c r="E29" s="11"/>
      <c r="G29" s="7"/>
    </row>
    <row r="30" spans="1:11" x14ac:dyDescent="0.25">
      <c r="A30" s="103">
        <f t="shared" si="0"/>
        <v>24</v>
      </c>
      <c r="B30" s="43" t="s">
        <v>2215</v>
      </c>
      <c r="C30" s="13"/>
      <c r="D30" s="13"/>
      <c r="E30" s="13"/>
      <c r="F30" s="13"/>
      <c r="G30" s="13"/>
      <c r="H30" s="13"/>
      <c r="I30" s="13"/>
      <c r="J30" s="13"/>
      <c r="K30" s="13"/>
    </row>
    <row r="31" spans="1:11" x14ac:dyDescent="0.25">
      <c r="A31" s="103">
        <f t="shared" si="0"/>
        <v>25</v>
      </c>
      <c r="B31" s="468"/>
      <c r="C31" s="13"/>
      <c r="D31" s="13"/>
      <c r="E31" s="13"/>
      <c r="F31" s="13"/>
      <c r="G31" s="13"/>
      <c r="H31" s="13"/>
      <c r="I31" s="13"/>
      <c r="J31" s="13"/>
      <c r="K31" s="13"/>
    </row>
    <row r="32" spans="1:11" x14ac:dyDescent="0.25">
      <c r="A32" s="103">
        <f t="shared" si="0"/>
        <v>26</v>
      </c>
      <c r="B32" s="13" t="s">
        <v>2075</v>
      </c>
      <c r="C32" s="13"/>
      <c r="D32" s="113" t="s">
        <v>2079</v>
      </c>
      <c r="E32" s="113" t="s">
        <v>187</v>
      </c>
      <c r="F32" s="13"/>
      <c r="G32" s="558" t="s">
        <v>2080</v>
      </c>
      <c r="H32" s="13"/>
      <c r="I32" s="13"/>
      <c r="J32" s="13"/>
      <c r="K32" s="13"/>
    </row>
    <row r="33" spans="1:11" x14ac:dyDescent="0.25">
      <c r="A33" s="103">
        <f t="shared" si="0"/>
        <v>27</v>
      </c>
      <c r="B33" s="13"/>
      <c r="C33" s="468" t="s">
        <v>2076</v>
      </c>
      <c r="D33" s="1000" t="s">
        <v>2699</v>
      </c>
      <c r="E33" s="113"/>
      <c r="F33" s="13"/>
      <c r="G33" s="904" t="s">
        <v>1426</v>
      </c>
      <c r="H33" s="13"/>
      <c r="I33" s="13"/>
      <c r="J33" s="703"/>
      <c r="K33" s="13"/>
    </row>
    <row r="34" spans="1:11" x14ac:dyDescent="0.25">
      <c r="A34" s="103">
        <f t="shared" si="0"/>
        <v>28</v>
      </c>
      <c r="B34" s="13"/>
      <c r="C34" s="13" t="s">
        <v>2077</v>
      </c>
      <c r="D34" s="1000" t="s">
        <v>2699</v>
      </c>
      <c r="E34" s="113"/>
      <c r="F34" s="13"/>
      <c r="G34" s="904" t="s">
        <v>1427</v>
      </c>
      <c r="H34" s="13"/>
      <c r="I34" s="13"/>
      <c r="J34" s="13"/>
      <c r="K34" s="13"/>
    </row>
    <row r="35" spans="1:11" x14ac:dyDescent="0.25">
      <c r="A35" s="103">
        <f t="shared" si="0"/>
        <v>29</v>
      </c>
      <c r="B35" s="13"/>
      <c r="C35" s="13" t="s">
        <v>2078</v>
      </c>
      <c r="D35" s="973" t="s">
        <v>2699</v>
      </c>
      <c r="E35" s="14" t="str">
        <f>" = L"&amp;A33&amp;" + L"&amp;A34&amp;""</f>
        <v xml:space="preserve"> = L27 + L28</v>
      </c>
      <c r="F35" s="13"/>
      <c r="G35" s="904" t="s">
        <v>1428</v>
      </c>
      <c r="H35" s="13"/>
      <c r="I35" s="13"/>
      <c r="J35" s="13"/>
      <c r="K35" s="13"/>
    </row>
    <row r="36" spans="1:11" x14ac:dyDescent="0.25">
      <c r="A36" s="103">
        <f t="shared" si="0"/>
        <v>30</v>
      </c>
      <c r="B36" s="13"/>
      <c r="C36" s="468" t="s">
        <v>2085</v>
      </c>
      <c r="D36" s="970" t="s">
        <v>2690</v>
      </c>
      <c r="E36" s="14" t="str">
        <f>" = L"&amp;A33&amp;" / L"&amp;A35&amp;""</f>
        <v xml:space="preserve"> = L27 / L29</v>
      </c>
      <c r="F36" s="13"/>
      <c r="G36" s="905"/>
      <c r="H36" s="13"/>
      <c r="I36" s="13"/>
      <c r="J36" s="13"/>
      <c r="K36" s="13"/>
    </row>
    <row r="37" spans="1:11" x14ac:dyDescent="0.25">
      <c r="A37" s="103">
        <f t="shared" si="0"/>
        <v>31</v>
      </c>
      <c r="B37" s="13"/>
      <c r="C37" s="13"/>
      <c r="D37" s="13"/>
      <c r="E37" s="13"/>
      <c r="F37" s="13"/>
      <c r="G37" s="905"/>
      <c r="H37" s="13"/>
      <c r="I37" s="13"/>
      <c r="J37" s="13"/>
      <c r="K37" s="13"/>
    </row>
    <row r="38" spans="1:11" x14ac:dyDescent="0.25">
      <c r="A38" s="103">
        <f t="shared" si="0"/>
        <v>32</v>
      </c>
      <c r="B38" s="468" t="s">
        <v>2081</v>
      </c>
      <c r="C38" s="13"/>
      <c r="D38" s="113" t="s">
        <v>2079</v>
      </c>
      <c r="E38" s="113" t="s">
        <v>187</v>
      </c>
      <c r="F38" s="13"/>
      <c r="G38" s="558" t="s">
        <v>2080</v>
      </c>
      <c r="H38" s="13"/>
      <c r="I38" s="13"/>
      <c r="J38" s="13"/>
      <c r="K38" s="13"/>
    </row>
    <row r="39" spans="1:11" x14ac:dyDescent="0.25">
      <c r="A39" s="103">
        <f t="shared" si="0"/>
        <v>33</v>
      </c>
      <c r="B39" s="13"/>
      <c r="C39" s="468" t="s">
        <v>2082</v>
      </c>
      <c r="D39" s="1000" t="s">
        <v>2699</v>
      </c>
      <c r="E39" s="113"/>
      <c r="F39" s="13"/>
      <c r="G39" s="904" t="s">
        <v>1432</v>
      </c>
      <c r="H39" s="13"/>
      <c r="I39" s="13"/>
      <c r="J39" s="13"/>
      <c r="K39" s="13"/>
    </row>
    <row r="40" spans="1:11" x14ac:dyDescent="0.25">
      <c r="A40" s="103">
        <f t="shared" si="0"/>
        <v>34</v>
      </c>
      <c r="B40" s="13"/>
      <c r="C40" s="468" t="s">
        <v>2083</v>
      </c>
      <c r="D40" s="1000" t="s">
        <v>2699</v>
      </c>
      <c r="E40" s="113"/>
      <c r="F40" s="13"/>
      <c r="G40" s="13"/>
      <c r="H40" s="13"/>
      <c r="I40" s="13"/>
      <c r="J40" s="13"/>
      <c r="K40" s="13"/>
    </row>
    <row r="41" spans="1:11" x14ac:dyDescent="0.25">
      <c r="A41" s="103">
        <f t="shared" si="0"/>
        <v>35</v>
      </c>
      <c r="B41" s="13"/>
      <c r="C41" s="468" t="s">
        <v>2084</v>
      </c>
      <c r="D41" s="973" t="s">
        <v>2699</v>
      </c>
      <c r="E41" s="14" t="str">
        <f>" = L"&amp;A39&amp;" + L"&amp;A40&amp;""</f>
        <v xml:space="preserve"> = L33 + L34</v>
      </c>
      <c r="F41" s="13"/>
      <c r="G41" s="13"/>
      <c r="H41" s="13"/>
      <c r="I41" s="13"/>
      <c r="J41" s="13"/>
      <c r="K41" s="13"/>
    </row>
    <row r="42" spans="1:11" x14ac:dyDescent="0.25">
      <c r="A42" s="103">
        <f t="shared" si="0"/>
        <v>36</v>
      </c>
      <c r="B42" s="13"/>
      <c r="C42" s="468" t="s">
        <v>2086</v>
      </c>
      <c r="D42" s="970" t="s">
        <v>2690</v>
      </c>
      <c r="E42" s="14" t="str">
        <f>" = L"&amp;A39&amp;" / L"&amp;A41&amp;""</f>
        <v xml:space="preserve"> = L33 / L35</v>
      </c>
      <c r="F42" s="13"/>
      <c r="G42" s="13"/>
      <c r="H42" s="13"/>
      <c r="I42" s="13"/>
      <c r="J42" s="13"/>
      <c r="K42" s="13"/>
    </row>
    <row r="43" spans="1:11" x14ac:dyDescent="0.25">
      <c r="A43" s="103">
        <f t="shared" si="0"/>
        <v>37</v>
      </c>
      <c r="B43" s="13"/>
      <c r="C43" s="13"/>
      <c r="D43" s="13"/>
      <c r="E43" s="13"/>
      <c r="F43" s="13"/>
      <c r="G43" s="13"/>
      <c r="H43" s="13"/>
      <c r="I43" s="13"/>
      <c r="J43" s="13"/>
      <c r="K43" s="13"/>
    </row>
    <row r="44" spans="1:11" x14ac:dyDescent="0.25">
      <c r="A44" s="103">
        <f t="shared" si="0"/>
        <v>38</v>
      </c>
      <c r="B44" s="468" t="s">
        <v>2087</v>
      </c>
      <c r="C44" s="13"/>
      <c r="D44" s="113" t="s">
        <v>2079</v>
      </c>
      <c r="E44" s="113" t="s">
        <v>187</v>
      </c>
      <c r="F44" s="13"/>
      <c r="G44" s="558" t="s">
        <v>2080</v>
      </c>
      <c r="H44" s="13"/>
      <c r="I44" s="13"/>
      <c r="J44" s="13"/>
      <c r="K44" s="13"/>
    </row>
    <row r="45" spans="1:11" x14ac:dyDescent="0.25">
      <c r="A45" s="103">
        <f t="shared" si="0"/>
        <v>39</v>
      </c>
      <c r="B45" s="13"/>
      <c r="C45" s="468" t="s">
        <v>2088</v>
      </c>
      <c r="D45" s="1000" t="s">
        <v>2699</v>
      </c>
      <c r="E45" s="113"/>
      <c r="F45" s="13"/>
      <c r="G45" s="904" t="s">
        <v>1433</v>
      </c>
      <c r="H45" s="13"/>
      <c r="I45" s="13"/>
      <c r="J45" s="13"/>
      <c r="K45" s="13"/>
    </row>
    <row r="46" spans="1:11" x14ac:dyDescent="0.25">
      <c r="A46" s="103">
        <f t="shared" si="0"/>
        <v>40</v>
      </c>
      <c r="B46" s="13"/>
      <c r="C46" s="468" t="s">
        <v>2093</v>
      </c>
      <c r="D46" s="1000" t="s">
        <v>2699</v>
      </c>
      <c r="E46" s="113"/>
      <c r="F46" s="13"/>
      <c r="G46" s="13"/>
      <c r="H46" s="13"/>
      <c r="I46" s="13"/>
      <c r="J46" s="13"/>
      <c r="K46" s="13"/>
    </row>
    <row r="47" spans="1:11" x14ac:dyDescent="0.25">
      <c r="A47" s="103">
        <f t="shared" si="0"/>
        <v>41</v>
      </c>
      <c r="B47" s="13"/>
      <c r="C47" s="468" t="s">
        <v>2089</v>
      </c>
      <c r="D47" s="973" t="s">
        <v>2699</v>
      </c>
      <c r="E47" s="14" t="str">
        <f>" = L"&amp;A45&amp;" + L"&amp;A46&amp;""</f>
        <v xml:space="preserve"> = L39 + L40</v>
      </c>
      <c r="F47" s="13"/>
      <c r="G47" s="13"/>
      <c r="H47" s="13"/>
      <c r="I47" s="13"/>
      <c r="J47" s="13"/>
      <c r="K47" s="13"/>
    </row>
    <row r="48" spans="1:11" x14ac:dyDescent="0.25">
      <c r="A48" s="103">
        <f t="shared" si="0"/>
        <v>42</v>
      </c>
      <c r="B48" s="13"/>
      <c r="C48" s="468" t="s">
        <v>2090</v>
      </c>
      <c r="D48" s="970" t="s">
        <v>2690</v>
      </c>
      <c r="E48" s="14" t="str">
        <f>" = L"&amp;A45&amp;" / L"&amp;A47&amp;""</f>
        <v xml:space="preserve"> = L39 / L41</v>
      </c>
      <c r="F48" s="13"/>
      <c r="G48" s="13"/>
      <c r="H48" s="13"/>
      <c r="I48" s="13"/>
      <c r="J48" s="13"/>
      <c r="K48" s="13"/>
    </row>
    <row r="49" spans="1:11" x14ac:dyDescent="0.25">
      <c r="A49" s="103">
        <f t="shared" si="0"/>
        <v>43</v>
      </c>
      <c r="B49" s="13"/>
      <c r="C49" s="13"/>
      <c r="D49" s="13"/>
      <c r="E49" s="13"/>
      <c r="F49" s="13"/>
      <c r="G49" s="13"/>
      <c r="H49" s="13"/>
      <c r="I49" s="13"/>
      <c r="J49" s="13"/>
      <c r="K49" s="13"/>
    </row>
    <row r="50" spans="1:11" x14ac:dyDescent="0.25">
      <c r="A50" s="103">
        <f t="shared" si="0"/>
        <v>44</v>
      </c>
      <c r="B50" s="468" t="s">
        <v>2096</v>
      </c>
      <c r="C50" s="13"/>
      <c r="D50" s="113" t="s">
        <v>2079</v>
      </c>
      <c r="E50" s="113" t="s">
        <v>187</v>
      </c>
      <c r="F50" s="13"/>
      <c r="G50" s="558" t="s">
        <v>2080</v>
      </c>
      <c r="H50" s="13"/>
      <c r="I50" s="13"/>
      <c r="J50" s="13"/>
      <c r="K50" s="13"/>
    </row>
    <row r="51" spans="1:11" x14ac:dyDescent="0.25">
      <c r="A51" s="103">
        <f t="shared" si="0"/>
        <v>45</v>
      </c>
      <c r="B51" s="13"/>
      <c r="C51" s="468" t="s">
        <v>2091</v>
      </c>
      <c r="D51" s="1000" t="s">
        <v>2699</v>
      </c>
      <c r="E51" s="113"/>
      <c r="F51" s="13"/>
      <c r="G51" s="904" t="s">
        <v>1435</v>
      </c>
      <c r="H51" s="13"/>
      <c r="I51" s="13"/>
      <c r="J51" s="13"/>
      <c r="K51" s="13"/>
    </row>
    <row r="52" spans="1:11" x14ac:dyDescent="0.25">
      <c r="A52" s="103">
        <f t="shared" si="0"/>
        <v>46</v>
      </c>
      <c r="B52" s="13"/>
      <c r="C52" s="468" t="s">
        <v>2092</v>
      </c>
      <c r="D52" s="1000" t="s">
        <v>2699</v>
      </c>
      <c r="E52" s="113"/>
      <c r="F52" s="13"/>
      <c r="G52" s="904" t="s">
        <v>1459</v>
      </c>
      <c r="H52" s="13"/>
      <c r="I52" s="13"/>
      <c r="J52" s="13"/>
      <c r="K52" s="13"/>
    </row>
    <row r="53" spans="1:11" x14ac:dyDescent="0.25">
      <c r="A53" s="103">
        <f t="shared" si="0"/>
        <v>47</v>
      </c>
      <c r="B53" s="13"/>
      <c r="C53" s="468" t="s">
        <v>2094</v>
      </c>
      <c r="D53" s="973" t="s">
        <v>2699</v>
      </c>
      <c r="E53" s="14" t="str">
        <f>" = L"&amp;A51&amp;" + L"&amp;A52&amp;""</f>
        <v xml:space="preserve"> = L45 + L46</v>
      </c>
      <c r="F53" s="13"/>
      <c r="G53" s="904" t="s">
        <v>1460</v>
      </c>
      <c r="H53" s="13"/>
      <c r="I53" s="13"/>
      <c r="J53" s="13"/>
      <c r="K53" s="13"/>
    </row>
    <row r="54" spans="1:11" x14ac:dyDescent="0.25">
      <c r="A54" s="103">
        <f t="shared" si="0"/>
        <v>48</v>
      </c>
      <c r="B54" s="13"/>
      <c r="C54" s="468" t="s">
        <v>2095</v>
      </c>
      <c r="D54" s="970" t="s">
        <v>2690</v>
      </c>
      <c r="E54" s="14" t="str">
        <f>" = L"&amp;A51&amp;" / L"&amp;A53&amp;""</f>
        <v xml:space="preserve"> = L45 / L47</v>
      </c>
      <c r="F54" s="13"/>
      <c r="G54" s="904" t="s">
        <v>1461</v>
      </c>
      <c r="H54" s="13"/>
      <c r="I54" s="13"/>
      <c r="J54" s="13"/>
      <c r="K54" s="13"/>
    </row>
    <row r="55" spans="1:11" x14ac:dyDescent="0.25">
      <c r="A55" s="103">
        <f t="shared" si="0"/>
        <v>49</v>
      </c>
      <c r="B55" s="113"/>
      <c r="C55" s="113"/>
      <c r="D55" s="13"/>
      <c r="E55" s="113"/>
      <c r="F55" s="13"/>
      <c r="G55" s="113"/>
      <c r="H55" s="13"/>
      <c r="I55" s="13"/>
      <c r="J55" s="13"/>
      <c r="K55" s="13"/>
    </row>
    <row r="56" spans="1:11" x14ac:dyDescent="0.25">
      <c r="A56" s="103">
        <f t="shared" si="0"/>
        <v>50</v>
      </c>
      <c r="B56" s="468" t="s">
        <v>2097</v>
      </c>
      <c r="C56" s="13"/>
      <c r="D56" s="113" t="s">
        <v>2079</v>
      </c>
      <c r="E56" s="113" t="s">
        <v>187</v>
      </c>
      <c r="F56" s="13"/>
      <c r="G56" s="558" t="s">
        <v>2080</v>
      </c>
      <c r="H56" s="13"/>
      <c r="I56" s="13"/>
      <c r="J56" s="13"/>
      <c r="K56" s="13"/>
    </row>
    <row r="57" spans="1:11" x14ac:dyDescent="0.25">
      <c r="A57" s="103">
        <f t="shared" si="0"/>
        <v>51</v>
      </c>
      <c r="B57" s="883"/>
      <c r="C57" s="468" t="s">
        <v>2098</v>
      </c>
      <c r="D57" s="1000" t="s">
        <v>2699</v>
      </c>
      <c r="E57" s="113"/>
      <c r="F57" s="13"/>
      <c r="G57" s="904" t="s">
        <v>1436</v>
      </c>
      <c r="H57" s="13"/>
      <c r="I57" s="13"/>
      <c r="J57" s="13"/>
      <c r="K57" s="13"/>
    </row>
    <row r="58" spans="1:11" x14ac:dyDescent="0.25">
      <c r="A58" s="103">
        <f t="shared" si="0"/>
        <v>52</v>
      </c>
      <c r="B58" s="883"/>
      <c r="C58" s="468" t="s">
        <v>2099</v>
      </c>
      <c r="D58" s="1000" t="s">
        <v>2699</v>
      </c>
      <c r="E58" s="113"/>
      <c r="F58" s="13"/>
      <c r="G58" s="904" t="s">
        <v>1463</v>
      </c>
      <c r="H58" s="13"/>
      <c r="I58" s="13"/>
      <c r="J58" s="13"/>
      <c r="K58" s="13"/>
    </row>
    <row r="59" spans="1:11" x14ac:dyDescent="0.25">
      <c r="A59" s="103">
        <f t="shared" si="0"/>
        <v>53</v>
      </c>
      <c r="B59" s="883"/>
      <c r="C59" s="468" t="s">
        <v>2100</v>
      </c>
      <c r="D59" s="973" t="s">
        <v>2699</v>
      </c>
      <c r="E59" s="14" t="str">
        <f>" = L"&amp;A57&amp;" + L"&amp;A58&amp;""</f>
        <v xml:space="preserve"> = L51 + L52</v>
      </c>
      <c r="F59" s="13"/>
      <c r="G59" s="13"/>
      <c r="H59" s="13"/>
      <c r="I59" s="13"/>
      <c r="J59" s="13"/>
      <c r="K59" s="13"/>
    </row>
    <row r="60" spans="1:11" x14ac:dyDescent="0.25">
      <c r="A60" s="103">
        <f t="shared" si="0"/>
        <v>54</v>
      </c>
      <c r="B60" s="883"/>
      <c r="C60" s="468" t="s">
        <v>2101</v>
      </c>
      <c r="D60" s="970" t="s">
        <v>2690</v>
      </c>
      <c r="E60" s="14" t="str">
        <f>" = L"&amp;A57&amp;" / L"&amp;A59&amp;""</f>
        <v xml:space="preserve"> = L51 / L53</v>
      </c>
      <c r="F60" s="13"/>
      <c r="G60" s="13"/>
      <c r="H60" s="13"/>
      <c r="I60" s="13"/>
      <c r="J60" s="13"/>
      <c r="K60" s="13"/>
    </row>
    <row r="61" spans="1:11" x14ac:dyDescent="0.25">
      <c r="A61" s="103">
        <f t="shared" si="0"/>
        <v>55</v>
      </c>
      <c r="B61" s="883"/>
      <c r="C61" s="105"/>
      <c r="D61" s="13"/>
      <c r="E61" s="113"/>
      <c r="F61" s="13"/>
      <c r="G61" s="61"/>
      <c r="H61" s="13"/>
      <c r="I61" s="13"/>
      <c r="J61" s="13"/>
      <c r="K61" s="13"/>
    </row>
    <row r="62" spans="1:11" x14ac:dyDescent="0.25">
      <c r="A62" s="103">
        <f t="shared" si="0"/>
        <v>56</v>
      </c>
      <c r="B62" s="468" t="s">
        <v>2263</v>
      </c>
      <c r="C62" s="13"/>
      <c r="D62" s="113" t="s">
        <v>2079</v>
      </c>
      <c r="E62" s="113" t="s">
        <v>187</v>
      </c>
      <c r="F62" s="13"/>
      <c r="G62" s="558" t="s">
        <v>2080</v>
      </c>
      <c r="H62" s="13"/>
      <c r="I62" s="13"/>
      <c r="J62" s="13"/>
      <c r="K62" s="13"/>
    </row>
    <row r="63" spans="1:11" x14ac:dyDescent="0.25">
      <c r="A63" s="103">
        <f t="shared" ref="A63:A124" si="1">A62+1</f>
        <v>57</v>
      </c>
      <c r="B63" s="883"/>
      <c r="C63" s="468" t="s">
        <v>2102</v>
      </c>
      <c r="D63" s="1000" t="s">
        <v>2699</v>
      </c>
      <c r="E63" s="113"/>
      <c r="F63" s="13"/>
      <c r="G63" s="904" t="s">
        <v>1446</v>
      </c>
      <c r="H63" s="13"/>
      <c r="I63" s="13"/>
      <c r="J63" s="13"/>
      <c r="K63" s="13"/>
    </row>
    <row r="64" spans="1:11" x14ac:dyDescent="0.25">
      <c r="A64" s="103">
        <f t="shared" si="1"/>
        <v>58</v>
      </c>
      <c r="B64" s="883"/>
      <c r="C64" s="468" t="s">
        <v>2103</v>
      </c>
      <c r="D64" s="1000" t="s">
        <v>2699</v>
      </c>
      <c r="E64" s="113"/>
      <c r="F64" s="13"/>
      <c r="G64" s="904"/>
      <c r="H64" s="13"/>
      <c r="I64" s="13"/>
      <c r="J64" s="13"/>
      <c r="K64" s="13"/>
    </row>
    <row r="65" spans="1:11" x14ac:dyDescent="0.25">
      <c r="A65" s="103">
        <f t="shared" si="1"/>
        <v>59</v>
      </c>
      <c r="B65" s="883"/>
      <c r="C65" s="468" t="s">
        <v>2104</v>
      </c>
      <c r="D65" s="973" t="s">
        <v>2699</v>
      </c>
      <c r="E65" s="14" t="str">
        <f>" = L"&amp;A63&amp;" + L"&amp;A64&amp;""</f>
        <v xml:space="preserve"> = L57 + L58</v>
      </c>
      <c r="F65" s="13"/>
      <c r="G65" s="13"/>
      <c r="H65" s="13"/>
      <c r="I65" s="13"/>
      <c r="J65" s="13"/>
      <c r="K65" s="13"/>
    </row>
    <row r="66" spans="1:11" x14ac:dyDescent="0.25">
      <c r="A66" s="103">
        <f t="shared" si="1"/>
        <v>60</v>
      </c>
      <c r="B66" s="883"/>
      <c r="C66" s="468" t="s">
        <v>2105</v>
      </c>
      <c r="D66" s="970" t="s">
        <v>2690</v>
      </c>
      <c r="E66" s="14" t="str">
        <f>" = L"&amp;A63&amp;" / L"&amp;A65&amp;""</f>
        <v xml:space="preserve"> = L57 / L59</v>
      </c>
      <c r="F66" s="13"/>
      <c r="G66" s="13"/>
      <c r="H66" s="13"/>
      <c r="I66" s="13"/>
      <c r="J66" s="13"/>
      <c r="K66" s="13"/>
    </row>
    <row r="67" spans="1:11" x14ac:dyDescent="0.25">
      <c r="A67" s="103">
        <f t="shared" si="1"/>
        <v>61</v>
      </c>
      <c r="B67" s="903"/>
      <c r="C67" s="113"/>
      <c r="D67" s="13"/>
      <c r="E67" s="906"/>
      <c r="F67" s="13"/>
      <c r="G67" s="13"/>
      <c r="H67" s="13"/>
      <c r="I67" s="13"/>
      <c r="J67" s="13"/>
      <c r="K67" s="13"/>
    </row>
    <row r="68" spans="1:11" x14ac:dyDescent="0.25">
      <c r="A68" s="103">
        <f t="shared" si="1"/>
        <v>62</v>
      </c>
      <c r="B68" s="468" t="s">
        <v>2264</v>
      </c>
      <c r="C68" s="13"/>
      <c r="D68" s="113" t="s">
        <v>2079</v>
      </c>
      <c r="E68" s="113" t="s">
        <v>187</v>
      </c>
      <c r="F68" s="13"/>
      <c r="G68" s="558" t="s">
        <v>2080</v>
      </c>
      <c r="H68" s="13"/>
      <c r="I68" s="13"/>
      <c r="J68" s="13"/>
      <c r="K68" s="13"/>
    </row>
    <row r="69" spans="1:11" x14ac:dyDescent="0.25">
      <c r="A69" s="103">
        <f t="shared" si="1"/>
        <v>63</v>
      </c>
      <c r="B69" s="883"/>
      <c r="C69" s="468" t="s">
        <v>2106</v>
      </c>
      <c r="D69" s="1000" t="s">
        <v>2699</v>
      </c>
      <c r="E69" s="113"/>
      <c r="F69" s="13"/>
      <c r="G69" s="904" t="s">
        <v>1447</v>
      </c>
      <c r="H69" s="13"/>
      <c r="I69" s="13"/>
      <c r="J69" s="13"/>
      <c r="K69" s="13"/>
    </row>
    <row r="70" spans="1:11" x14ac:dyDescent="0.25">
      <c r="A70" s="103">
        <f t="shared" si="1"/>
        <v>64</v>
      </c>
      <c r="B70" s="883"/>
      <c r="C70" s="468" t="s">
        <v>2107</v>
      </c>
      <c r="D70" s="1000" t="s">
        <v>2699</v>
      </c>
      <c r="E70" s="113"/>
      <c r="F70" s="13"/>
      <c r="G70" s="904"/>
      <c r="H70" s="13"/>
      <c r="I70" s="13"/>
      <c r="J70" s="13"/>
      <c r="K70" s="13"/>
    </row>
    <row r="71" spans="1:11" x14ac:dyDescent="0.25">
      <c r="A71" s="103">
        <f t="shared" si="1"/>
        <v>65</v>
      </c>
      <c r="B71" s="883"/>
      <c r="C71" s="468" t="s">
        <v>2108</v>
      </c>
      <c r="D71" s="973" t="s">
        <v>2699</v>
      </c>
      <c r="E71" s="14" t="str">
        <f>" = L"&amp;A69&amp;" + L"&amp;A70&amp;""</f>
        <v xml:space="preserve"> = L63 + L64</v>
      </c>
      <c r="F71" s="13"/>
      <c r="G71" s="13"/>
      <c r="H71" s="13"/>
      <c r="I71" s="13"/>
      <c r="J71" s="13"/>
      <c r="K71" s="13"/>
    </row>
    <row r="72" spans="1:11" x14ac:dyDescent="0.25">
      <c r="A72" s="103">
        <f t="shared" si="1"/>
        <v>66</v>
      </c>
      <c r="B72" s="883"/>
      <c r="C72" s="468" t="s">
        <v>2109</v>
      </c>
      <c r="D72" s="970" t="s">
        <v>2690</v>
      </c>
      <c r="E72" s="14" t="str">
        <f>" = L"&amp;A69&amp;" / L"&amp;A71&amp;""</f>
        <v xml:space="preserve"> = L63 / L65</v>
      </c>
      <c r="F72" s="13"/>
      <c r="G72" s="13"/>
      <c r="H72" s="13"/>
      <c r="I72" s="13"/>
      <c r="J72" s="13"/>
      <c r="K72" s="13"/>
    </row>
    <row r="73" spans="1:11" x14ac:dyDescent="0.25">
      <c r="A73" s="103">
        <f t="shared" si="1"/>
        <v>67</v>
      </c>
      <c r="B73" s="43"/>
      <c r="C73" s="13"/>
      <c r="D73" s="13"/>
      <c r="E73" s="13"/>
      <c r="F73" s="13"/>
      <c r="G73" s="13"/>
      <c r="H73" s="13"/>
      <c r="I73" s="13"/>
      <c r="J73" s="13"/>
      <c r="K73" s="13"/>
    </row>
    <row r="74" spans="1:11" x14ac:dyDescent="0.25">
      <c r="A74" s="103">
        <f t="shared" si="1"/>
        <v>68</v>
      </c>
      <c r="B74" s="468" t="s">
        <v>2265</v>
      </c>
      <c r="C74" s="13"/>
      <c r="D74" s="113" t="s">
        <v>2079</v>
      </c>
      <c r="E74" s="113" t="s">
        <v>187</v>
      </c>
      <c r="F74" s="13"/>
      <c r="G74" s="558" t="s">
        <v>2080</v>
      </c>
      <c r="H74" s="13"/>
      <c r="I74" s="13"/>
      <c r="J74" s="13"/>
      <c r="K74" s="13"/>
    </row>
    <row r="75" spans="1:11" x14ac:dyDescent="0.25">
      <c r="A75" s="103">
        <f t="shared" si="1"/>
        <v>69</v>
      </c>
      <c r="B75" s="883"/>
      <c r="C75" s="468" t="s">
        <v>2110</v>
      </c>
      <c r="D75" s="1000" t="s">
        <v>2699</v>
      </c>
      <c r="E75" s="113"/>
      <c r="F75" s="13"/>
      <c r="G75" s="904" t="s">
        <v>1454</v>
      </c>
      <c r="H75" s="13"/>
      <c r="I75" s="13"/>
      <c r="J75" s="13"/>
      <c r="K75" s="13"/>
    </row>
    <row r="76" spans="1:11" x14ac:dyDescent="0.25">
      <c r="A76" s="103">
        <f t="shared" si="1"/>
        <v>70</v>
      </c>
      <c r="B76" s="883"/>
      <c r="C76" s="468" t="s">
        <v>2111</v>
      </c>
      <c r="D76" s="1000" t="s">
        <v>2699</v>
      </c>
      <c r="E76" s="113"/>
      <c r="F76" s="13"/>
      <c r="G76" s="904"/>
      <c r="H76" s="13"/>
      <c r="I76" s="13"/>
      <c r="J76" s="13"/>
      <c r="K76" s="13"/>
    </row>
    <row r="77" spans="1:11" x14ac:dyDescent="0.25">
      <c r="A77" s="103">
        <f t="shared" si="1"/>
        <v>71</v>
      </c>
      <c r="B77" s="883"/>
      <c r="C77" s="468" t="s">
        <v>2112</v>
      </c>
      <c r="D77" s="973" t="s">
        <v>2699</v>
      </c>
      <c r="E77" s="14" t="str">
        <f>" = L"&amp;A75&amp;" + L"&amp;A76&amp;""</f>
        <v xml:space="preserve"> = L69 + L70</v>
      </c>
      <c r="F77" s="13"/>
      <c r="G77" s="13"/>
      <c r="H77" s="13"/>
      <c r="I77" s="13"/>
      <c r="J77" s="13"/>
      <c r="K77" s="13"/>
    </row>
    <row r="78" spans="1:11" x14ac:dyDescent="0.25">
      <c r="A78" s="103">
        <f t="shared" si="1"/>
        <v>72</v>
      </c>
      <c r="B78" s="883"/>
      <c r="C78" s="468" t="s">
        <v>2113</v>
      </c>
      <c r="D78" s="970" t="s">
        <v>2690</v>
      </c>
      <c r="E78" s="14" t="str">
        <f>" = L"&amp;A75&amp;" / L"&amp;A77&amp;""</f>
        <v xml:space="preserve"> = L69 / L71</v>
      </c>
      <c r="F78" s="13"/>
      <c r="G78" s="13"/>
      <c r="H78" s="13"/>
      <c r="I78" s="13"/>
      <c r="J78" s="13"/>
      <c r="K78" s="13"/>
    </row>
    <row r="79" spans="1:11" x14ac:dyDescent="0.25">
      <c r="A79" s="103">
        <f t="shared" si="1"/>
        <v>73</v>
      </c>
      <c r="B79" s="13"/>
      <c r="C79" s="13"/>
      <c r="D79" s="13"/>
      <c r="E79" s="13"/>
      <c r="F79" s="13"/>
      <c r="G79" s="13"/>
      <c r="H79" s="13"/>
      <c r="I79" s="13"/>
      <c r="J79" s="13"/>
      <c r="K79" s="13"/>
    </row>
    <row r="80" spans="1:11" x14ac:dyDescent="0.25">
      <c r="A80" s="103">
        <f t="shared" si="1"/>
        <v>74</v>
      </c>
      <c r="B80" s="468" t="s">
        <v>2266</v>
      </c>
      <c r="C80" s="13"/>
      <c r="D80" s="113" t="s">
        <v>2079</v>
      </c>
      <c r="E80" s="113" t="s">
        <v>187</v>
      </c>
      <c r="F80" s="13"/>
      <c r="G80" s="558" t="s">
        <v>2080</v>
      </c>
      <c r="H80" s="13"/>
      <c r="I80" s="13"/>
      <c r="J80" s="13"/>
      <c r="K80" s="13"/>
    </row>
    <row r="81" spans="1:11" x14ac:dyDescent="0.25">
      <c r="A81" s="103">
        <f t="shared" si="1"/>
        <v>75</v>
      </c>
      <c r="B81" s="883"/>
      <c r="C81" s="468" t="s">
        <v>2114</v>
      </c>
      <c r="D81" s="1000" t="s">
        <v>2699</v>
      </c>
      <c r="E81" s="113"/>
      <c r="F81" s="13"/>
      <c r="G81" s="904" t="s">
        <v>1455</v>
      </c>
      <c r="H81" s="13"/>
      <c r="I81" s="13"/>
      <c r="J81" s="13"/>
      <c r="K81" s="13"/>
    </row>
    <row r="82" spans="1:11" x14ac:dyDescent="0.25">
      <c r="A82" s="103">
        <f t="shared" si="1"/>
        <v>76</v>
      </c>
      <c r="B82" s="883"/>
      <c r="C82" s="468" t="s">
        <v>359</v>
      </c>
      <c r="D82" s="1000" t="s">
        <v>2699</v>
      </c>
      <c r="E82" s="113"/>
      <c r="F82" s="13"/>
      <c r="G82" s="904"/>
      <c r="H82" s="13"/>
      <c r="I82" s="13"/>
      <c r="J82" s="13"/>
      <c r="K82" s="13"/>
    </row>
    <row r="83" spans="1:11" x14ac:dyDescent="0.25">
      <c r="A83" s="103">
        <f t="shared" si="1"/>
        <v>77</v>
      </c>
      <c r="B83" s="883"/>
      <c r="C83" s="468" t="s">
        <v>2115</v>
      </c>
      <c r="D83" s="973" t="s">
        <v>2699</v>
      </c>
      <c r="E83" s="14" t="str">
        <f>" = L"&amp;A81&amp;" + L"&amp;A82&amp;""</f>
        <v xml:space="preserve"> = L75 + L76</v>
      </c>
      <c r="F83" s="13"/>
      <c r="G83" s="13"/>
      <c r="H83" s="13"/>
      <c r="I83" s="13"/>
      <c r="J83" s="13"/>
      <c r="K83" s="13"/>
    </row>
    <row r="84" spans="1:11" x14ac:dyDescent="0.25">
      <c r="A84" s="103">
        <f t="shared" si="1"/>
        <v>78</v>
      </c>
      <c r="B84" s="883"/>
      <c r="C84" s="468" t="s">
        <v>2116</v>
      </c>
      <c r="D84" s="970" t="s">
        <v>2690</v>
      </c>
      <c r="E84" s="14" t="str">
        <f>" = L"&amp;A81&amp;" / L"&amp;A83&amp;""</f>
        <v xml:space="preserve"> = L75 / L77</v>
      </c>
      <c r="F84" s="13"/>
      <c r="G84" s="13"/>
      <c r="H84" s="13"/>
      <c r="I84" s="13"/>
      <c r="J84" s="13"/>
      <c r="K84" s="13"/>
    </row>
    <row r="85" spans="1:11" x14ac:dyDescent="0.25">
      <c r="A85" s="103">
        <f t="shared" si="1"/>
        <v>79</v>
      </c>
      <c r="B85" s="13"/>
      <c r="C85" s="80"/>
      <c r="D85" s="13"/>
      <c r="E85" s="13"/>
      <c r="F85" s="13"/>
      <c r="G85" s="13"/>
      <c r="H85" s="13"/>
      <c r="I85" s="13"/>
      <c r="J85" s="13"/>
      <c r="K85" s="13"/>
    </row>
    <row r="86" spans="1:11" x14ac:dyDescent="0.25">
      <c r="A86" s="103">
        <f t="shared" si="1"/>
        <v>80</v>
      </c>
      <c r="B86" s="468" t="s">
        <v>2267</v>
      </c>
      <c r="C86" s="13"/>
      <c r="D86" s="113" t="s">
        <v>2079</v>
      </c>
      <c r="E86" s="113" t="s">
        <v>187</v>
      </c>
      <c r="F86" s="13"/>
      <c r="G86" s="558" t="s">
        <v>2080</v>
      </c>
      <c r="H86" s="13"/>
      <c r="I86" s="13"/>
      <c r="J86" s="13"/>
      <c r="K86" s="13"/>
    </row>
    <row r="87" spans="1:11" x14ac:dyDescent="0.25">
      <c r="A87" s="103">
        <f t="shared" si="1"/>
        <v>81</v>
      </c>
      <c r="B87" s="883"/>
      <c r="C87" s="468" t="s">
        <v>2117</v>
      </c>
      <c r="D87" s="1000" t="s">
        <v>2699</v>
      </c>
      <c r="E87" s="113"/>
      <c r="F87" s="13"/>
      <c r="G87" s="904" t="s">
        <v>1456</v>
      </c>
      <c r="H87" s="13"/>
      <c r="I87" s="13"/>
      <c r="J87" s="13"/>
      <c r="K87" s="13"/>
    </row>
    <row r="88" spans="1:11" x14ac:dyDescent="0.25">
      <c r="A88" s="103">
        <f t="shared" si="1"/>
        <v>82</v>
      </c>
      <c r="B88" s="883"/>
      <c r="C88" s="468" t="s">
        <v>2118</v>
      </c>
      <c r="D88" s="1000" t="s">
        <v>2699</v>
      </c>
      <c r="E88" s="113"/>
      <c r="F88" s="13"/>
      <c r="G88" s="904"/>
      <c r="H88" s="13"/>
      <c r="I88" s="13"/>
      <c r="J88" s="13"/>
      <c r="K88" s="13"/>
    </row>
    <row r="89" spans="1:11" x14ac:dyDescent="0.25">
      <c r="A89" s="103">
        <f t="shared" si="1"/>
        <v>83</v>
      </c>
      <c r="B89" s="883"/>
      <c r="C89" s="468" t="s">
        <v>2119</v>
      </c>
      <c r="D89" s="973" t="s">
        <v>2699</v>
      </c>
      <c r="E89" s="14" t="str">
        <f>" = L"&amp;A87&amp;" + L"&amp;A88&amp;""</f>
        <v xml:space="preserve"> = L81 + L82</v>
      </c>
      <c r="F89" s="13"/>
      <c r="G89" s="13"/>
      <c r="H89" s="13"/>
      <c r="I89" s="13"/>
      <c r="J89" s="13"/>
      <c r="K89" s="13"/>
    </row>
    <row r="90" spans="1:11" x14ac:dyDescent="0.25">
      <c r="A90" s="103">
        <f t="shared" si="1"/>
        <v>84</v>
      </c>
      <c r="B90" s="883"/>
      <c r="C90" s="468" t="s">
        <v>2120</v>
      </c>
      <c r="D90" s="970" t="s">
        <v>2690</v>
      </c>
      <c r="E90" s="14" t="str">
        <f>" = L"&amp;A87&amp;" / L"&amp;A89&amp;""</f>
        <v xml:space="preserve"> = L81 / L83</v>
      </c>
      <c r="F90" s="13"/>
      <c r="G90" s="13"/>
      <c r="H90" s="13"/>
      <c r="I90" s="13"/>
      <c r="J90" s="13"/>
      <c r="K90" s="13"/>
    </row>
    <row r="91" spans="1:11" x14ac:dyDescent="0.25">
      <c r="A91" s="103">
        <f t="shared" si="1"/>
        <v>85</v>
      </c>
      <c r="B91" s="13"/>
      <c r="C91" s="13"/>
      <c r="D91" s="13"/>
      <c r="E91" s="13"/>
      <c r="F91" s="13"/>
      <c r="G91" s="13"/>
      <c r="H91" s="13"/>
      <c r="I91" s="13"/>
      <c r="J91" s="13"/>
      <c r="K91" s="13"/>
    </row>
    <row r="92" spans="1:11" x14ac:dyDescent="0.25">
      <c r="A92" s="103">
        <f t="shared" si="1"/>
        <v>86</v>
      </c>
      <c r="B92" s="468" t="s">
        <v>2268</v>
      </c>
      <c r="C92" s="13"/>
      <c r="D92" s="113" t="s">
        <v>2079</v>
      </c>
      <c r="E92" s="113" t="s">
        <v>187</v>
      </c>
      <c r="F92" s="13"/>
      <c r="G92" s="558" t="s">
        <v>2080</v>
      </c>
      <c r="H92" s="13"/>
      <c r="I92" s="13"/>
      <c r="J92" s="13"/>
      <c r="K92" s="13"/>
    </row>
    <row r="93" spans="1:11" x14ac:dyDescent="0.25">
      <c r="A93" s="103">
        <f t="shared" si="1"/>
        <v>87</v>
      </c>
      <c r="B93" s="883"/>
      <c r="C93" s="468" t="s">
        <v>2121</v>
      </c>
      <c r="D93" s="1000" t="s">
        <v>2699</v>
      </c>
      <c r="E93" s="113"/>
      <c r="F93" s="13"/>
      <c r="G93" s="13" t="s">
        <v>1850</v>
      </c>
      <c r="H93" s="13"/>
      <c r="I93" s="13"/>
      <c r="J93" s="13"/>
      <c r="K93" s="13"/>
    </row>
    <row r="94" spans="1:11" x14ac:dyDescent="0.25">
      <c r="A94" s="103">
        <f t="shared" si="1"/>
        <v>88</v>
      </c>
      <c r="B94" s="883"/>
      <c r="C94" s="468" t="s">
        <v>2122</v>
      </c>
      <c r="D94" s="1000" t="s">
        <v>2699</v>
      </c>
      <c r="E94" s="113"/>
      <c r="F94" s="13"/>
      <c r="G94" s="904"/>
      <c r="H94" s="13"/>
      <c r="I94" s="13"/>
      <c r="J94" s="13"/>
      <c r="K94" s="13"/>
    </row>
    <row r="95" spans="1:11" x14ac:dyDescent="0.25">
      <c r="A95" s="103">
        <f t="shared" si="1"/>
        <v>89</v>
      </c>
      <c r="B95" s="883"/>
      <c r="C95" s="468" t="s">
        <v>2123</v>
      </c>
      <c r="D95" s="973" t="s">
        <v>2699</v>
      </c>
      <c r="E95" s="14" t="str">
        <f>" = L"&amp;A93&amp;" + L"&amp;A94&amp;""</f>
        <v xml:space="preserve"> = L87 + L88</v>
      </c>
      <c r="F95" s="13"/>
      <c r="G95" s="13"/>
      <c r="H95" s="13"/>
      <c r="I95" s="13"/>
      <c r="J95" s="13"/>
      <c r="K95" s="13"/>
    </row>
    <row r="96" spans="1:11" x14ac:dyDescent="0.25">
      <c r="A96" s="103">
        <f t="shared" si="1"/>
        <v>90</v>
      </c>
      <c r="B96" s="883"/>
      <c r="C96" s="468" t="s">
        <v>2124</v>
      </c>
      <c r="D96" s="970" t="s">
        <v>2690</v>
      </c>
      <c r="E96" s="14" t="str">
        <f>" = L"&amp;A93&amp;" / L"&amp;A95&amp;""</f>
        <v xml:space="preserve"> = L87 / L89</v>
      </c>
      <c r="F96" s="13"/>
      <c r="G96" s="13"/>
      <c r="H96" s="13"/>
      <c r="I96" s="13"/>
      <c r="J96" s="13"/>
      <c r="K96" s="13"/>
    </row>
    <row r="97" spans="1:11" x14ac:dyDescent="0.25">
      <c r="A97" s="103">
        <f t="shared" si="1"/>
        <v>91</v>
      </c>
      <c r="B97" s="13"/>
      <c r="C97" s="13"/>
      <c r="D97" s="13"/>
      <c r="E97" s="13"/>
      <c r="F97" s="13"/>
      <c r="G97" s="13"/>
      <c r="H97" s="13"/>
      <c r="I97" s="13"/>
      <c r="J97" s="13"/>
      <c r="K97" s="13"/>
    </row>
    <row r="98" spans="1:11" x14ac:dyDescent="0.25">
      <c r="A98" s="103">
        <f t="shared" si="1"/>
        <v>92</v>
      </c>
      <c r="B98" s="468" t="s">
        <v>2269</v>
      </c>
      <c r="C98" s="13"/>
      <c r="D98" s="113" t="s">
        <v>2079</v>
      </c>
      <c r="E98" s="113" t="s">
        <v>187</v>
      </c>
      <c r="F98" s="13"/>
      <c r="G98" s="558" t="s">
        <v>2080</v>
      </c>
      <c r="H98" s="13"/>
      <c r="I98" s="13"/>
      <c r="J98" s="13"/>
      <c r="K98" s="13"/>
    </row>
    <row r="99" spans="1:11" x14ac:dyDescent="0.25">
      <c r="A99" s="103">
        <f t="shared" si="1"/>
        <v>93</v>
      </c>
      <c r="B99" s="883"/>
      <c r="C99" s="468" t="s">
        <v>2125</v>
      </c>
      <c r="D99" s="1000" t="s">
        <v>2699</v>
      </c>
      <c r="E99" s="113"/>
      <c r="F99" s="13"/>
      <c r="G99" s="904" t="s">
        <v>1655</v>
      </c>
      <c r="H99" s="13"/>
      <c r="I99" s="13"/>
      <c r="J99" s="13"/>
      <c r="K99" s="13"/>
    </row>
    <row r="100" spans="1:11" x14ac:dyDescent="0.25">
      <c r="A100" s="103">
        <f t="shared" si="1"/>
        <v>94</v>
      </c>
      <c r="B100" s="883"/>
      <c r="C100" s="468" t="s">
        <v>2126</v>
      </c>
      <c r="D100" s="1000" t="s">
        <v>2699</v>
      </c>
      <c r="E100" s="113"/>
      <c r="F100" s="13"/>
      <c r="G100" s="904"/>
      <c r="H100" s="13"/>
      <c r="I100" s="13"/>
      <c r="J100" s="13"/>
      <c r="K100" s="13"/>
    </row>
    <row r="101" spans="1:11" x14ac:dyDescent="0.25">
      <c r="A101" s="103">
        <f t="shared" si="1"/>
        <v>95</v>
      </c>
      <c r="B101" s="883"/>
      <c r="C101" s="468" t="s">
        <v>2127</v>
      </c>
      <c r="D101" s="973" t="s">
        <v>2699</v>
      </c>
      <c r="E101" s="14" t="str">
        <f>" = L"&amp;A99&amp;" + L"&amp;A100&amp;""</f>
        <v xml:space="preserve"> = L93 + L94</v>
      </c>
      <c r="F101" s="13"/>
      <c r="G101" s="13"/>
      <c r="H101" s="13"/>
      <c r="I101" s="13"/>
      <c r="J101" s="13"/>
      <c r="K101" s="13"/>
    </row>
    <row r="102" spans="1:11" x14ac:dyDescent="0.25">
      <c r="A102" s="103">
        <f t="shared" si="1"/>
        <v>96</v>
      </c>
      <c r="B102" s="883"/>
      <c r="C102" s="468" t="s">
        <v>2128</v>
      </c>
      <c r="D102" s="970" t="s">
        <v>2690</v>
      </c>
      <c r="E102" s="14" t="str">
        <f>" = L"&amp;A99&amp;" / L"&amp;A101&amp;""</f>
        <v xml:space="preserve"> = L93 / L95</v>
      </c>
      <c r="F102" s="13"/>
      <c r="G102" s="13"/>
      <c r="H102" s="13"/>
      <c r="I102" s="13"/>
      <c r="J102" s="13"/>
      <c r="K102" s="13"/>
    </row>
    <row r="103" spans="1:11" x14ac:dyDescent="0.25">
      <c r="A103" s="103">
        <f t="shared" si="1"/>
        <v>97</v>
      </c>
      <c r="B103" s="13"/>
      <c r="C103" s="13"/>
      <c r="D103" s="13"/>
      <c r="E103" s="13"/>
      <c r="F103" s="13"/>
      <c r="G103" s="13"/>
      <c r="H103" s="13"/>
      <c r="I103" s="13"/>
      <c r="J103" s="13"/>
      <c r="K103" s="13"/>
    </row>
    <row r="104" spans="1:11" x14ac:dyDescent="0.25">
      <c r="A104" s="103">
        <f t="shared" si="1"/>
        <v>98</v>
      </c>
      <c r="B104" s="468" t="s">
        <v>2270</v>
      </c>
      <c r="C104" s="13"/>
      <c r="D104" s="113" t="s">
        <v>2079</v>
      </c>
      <c r="E104" s="113" t="s">
        <v>187</v>
      </c>
      <c r="F104" s="13"/>
      <c r="G104" s="558" t="s">
        <v>2080</v>
      </c>
      <c r="H104" s="13"/>
      <c r="I104" s="13"/>
      <c r="J104" s="13"/>
      <c r="K104" s="13"/>
    </row>
    <row r="105" spans="1:11" x14ac:dyDescent="0.25">
      <c r="A105" s="103">
        <f t="shared" si="1"/>
        <v>99</v>
      </c>
      <c r="B105" s="883"/>
      <c r="C105" s="468" t="s">
        <v>2129</v>
      </c>
      <c r="D105" s="1000" t="s">
        <v>2699</v>
      </c>
      <c r="E105" s="113"/>
      <c r="F105" s="13"/>
      <c r="G105" s="904" t="s">
        <v>1465</v>
      </c>
      <c r="H105" s="13"/>
      <c r="I105" s="13"/>
      <c r="J105" s="13"/>
      <c r="K105" s="13"/>
    </row>
    <row r="106" spans="1:11" x14ac:dyDescent="0.25">
      <c r="A106" s="103">
        <f t="shared" si="1"/>
        <v>100</v>
      </c>
      <c r="B106" s="883"/>
      <c r="C106" s="468" t="s">
        <v>2130</v>
      </c>
      <c r="D106" s="1000" t="s">
        <v>2699</v>
      </c>
      <c r="E106" s="113"/>
      <c r="F106" s="13"/>
      <c r="G106" s="904"/>
      <c r="H106" s="13"/>
      <c r="I106" s="13"/>
      <c r="J106" s="13"/>
      <c r="K106" s="13"/>
    </row>
    <row r="107" spans="1:11" x14ac:dyDescent="0.25">
      <c r="A107" s="103">
        <f t="shared" si="1"/>
        <v>101</v>
      </c>
      <c r="B107" s="883"/>
      <c r="C107" s="468" t="s">
        <v>2131</v>
      </c>
      <c r="D107" s="973" t="s">
        <v>2699</v>
      </c>
      <c r="E107" s="14" t="str">
        <f>" = L"&amp;A105&amp;" + L"&amp;A106&amp;""</f>
        <v xml:space="preserve"> = L99 + L100</v>
      </c>
      <c r="F107" s="13"/>
      <c r="G107" s="13"/>
      <c r="H107" s="13"/>
      <c r="I107" s="13"/>
      <c r="J107" s="13"/>
      <c r="K107" s="13"/>
    </row>
    <row r="108" spans="1:11" x14ac:dyDescent="0.25">
      <c r="A108" s="103">
        <f t="shared" si="1"/>
        <v>102</v>
      </c>
      <c r="B108" s="883"/>
      <c r="C108" s="468" t="s">
        <v>2132</v>
      </c>
      <c r="D108" s="970" t="s">
        <v>2690</v>
      </c>
      <c r="E108" s="14" t="str">
        <f>" = L"&amp;A105&amp;" / L"&amp;A107&amp;""</f>
        <v xml:space="preserve"> = L99 / L101</v>
      </c>
      <c r="F108" s="13"/>
      <c r="G108" s="13"/>
      <c r="H108" s="13"/>
      <c r="I108" s="13"/>
      <c r="J108" s="13"/>
      <c r="K108" s="13"/>
    </row>
    <row r="109" spans="1:11" x14ac:dyDescent="0.25">
      <c r="A109" s="103">
        <f t="shared" si="1"/>
        <v>103</v>
      </c>
      <c r="B109" s="13"/>
      <c r="C109" s="13"/>
      <c r="D109" s="13"/>
      <c r="E109" s="13"/>
      <c r="F109" s="13"/>
      <c r="G109" s="13"/>
      <c r="H109" s="13"/>
      <c r="I109" s="13"/>
      <c r="J109" s="13"/>
      <c r="K109" s="13"/>
    </row>
    <row r="110" spans="1:11" x14ac:dyDescent="0.25">
      <c r="A110" s="103">
        <f t="shared" si="1"/>
        <v>104</v>
      </c>
      <c r="B110" s="468" t="s">
        <v>2271</v>
      </c>
      <c r="C110" s="13"/>
      <c r="D110" s="113" t="s">
        <v>2079</v>
      </c>
      <c r="E110" s="113" t="s">
        <v>187</v>
      </c>
      <c r="F110" s="13"/>
      <c r="G110" s="558" t="s">
        <v>2080</v>
      </c>
      <c r="H110" s="13"/>
      <c r="I110" s="13"/>
      <c r="J110" s="13"/>
      <c r="K110" s="13"/>
    </row>
    <row r="111" spans="1:11" x14ac:dyDescent="0.25">
      <c r="A111" s="103">
        <f t="shared" si="1"/>
        <v>105</v>
      </c>
      <c r="B111" s="883"/>
      <c r="C111" s="468" t="s">
        <v>2133</v>
      </c>
      <c r="D111" s="1000" t="s">
        <v>2699</v>
      </c>
      <c r="E111" s="113"/>
      <c r="F111" s="13"/>
      <c r="G111" s="904" t="s">
        <v>1472</v>
      </c>
      <c r="H111" s="13"/>
      <c r="I111" s="13"/>
      <c r="J111" s="13"/>
      <c r="K111" s="13"/>
    </row>
    <row r="112" spans="1:11" x14ac:dyDescent="0.25">
      <c r="A112" s="103">
        <f t="shared" si="1"/>
        <v>106</v>
      </c>
      <c r="B112" s="883"/>
      <c r="C112" s="468" t="s">
        <v>2134</v>
      </c>
      <c r="D112" s="1000" t="s">
        <v>2699</v>
      </c>
      <c r="E112" s="113"/>
      <c r="F112" s="13"/>
      <c r="G112" s="904"/>
      <c r="H112" s="13"/>
      <c r="I112" s="13"/>
      <c r="J112" s="13"/>
      <c r="K112" s="13"/>
    </row>
    <row r="113" spans="1:11" x14ac:dyDescent="0.25">
      <c r="A113" s="103">
        <f t="shared" si="1"/>
        <v>107</v>
      </c>
      <c r="B113" s="883"/>
      <c r="C113" s="468" t="s">
        <v>2135</v>
      </c>
      <c r="D113" s="973" t="s">
        <v>2699</v>
      </c>
      <c r="E113" s="14" t="str">
        <f>" = L"&amp;A111&amp;" + L"&amp;A112&amp;""</f>
        <v xml:space="preserve"> = L105 + L106</v>
      </c>
      <c r="F113" s="13"/>
      <c r="G113" s="13"/>
      <c r="H113" s="13"/>
      <c r="I113" s="13"/>
      <c r="J113" s="13"/>
      <c r="K113" s="13"/>
    </row>
    <row r="114" spans="1:11" x14ac:dyDescent="0.25">
      <c r="A114" s="103">
        <f t="shared" si="1"/>
        <v>108</v>
      </c>
      <c r="B114" s="883"/>
      <c r="C114" s="468" t="s">
        <v>2136</v>
      </c>
      <c r="D114" s="970" t="s">
        <v>2690</v>
      </c>
      <c r="E114" s="14" t="str">
        <f>" = L"&amp;A111&amp;" / L"&amp;A113&amp;""</f>
        <v xml:space="preserve"> = L105 / L107</v>
      </c>
      <c r="F114" s="13"/>
      <c r="G114" s="13"/>
      <c r="H114" s="13"/>
      <c r="I114" s="13"/>
      <c r="J114" s="13"/>
      <c r="K114" s="13"/>
    </row>
    <row r="115" spans="1:11" x14ac:dyDescent="0.25">
      <c r="A115" s="103">
        <f t="shared" si="1"/>
        <v>109</v>
      </c>
      <c r="B115" s="13"/>
      <c r="C115" s="13"/>
      <c r="D115" s="13"/>
      <c r="E115" s="13"/>
      <c r="F115" s="13"/>
      <c r="G115" s="13"/>
      <c r="H115" s="13"/>
      <c r="I115" s="13"/>
      <c r="J115" s="13"/>
      <c r="K115" s="13"/>
    </row>
    <row r="116" spans="1:11" x14ac:dyDescent="0.25">
      <c r="A116" s="103">
        <f t="shared" si="1"/>
        <v>110</v>
      </c>
      <c r="B116" s="468" t="s">
        <v>2272</v>
      </c>
      <c r="C116" s="13"/>
      <c r="D116" s="113" t="s">
        <v>2079</v>
      </c>
      <c r="E116" s="113" t="s">
        <v>187</v>
      </c>
      <c r="F116" s="13"/>
      <c r="G116" s="558" t="s">
        <v>2080</v>
      </c>
      <c r="H116" s="13"/>
      <c r="I116" s="13"/>
      <c r="J116" s="13"/>
      <c r="K116" s="13"/>
    </row>
    <row r="117" spans="1:11" x14ac:dyDescent="0.25">
      <c r="A117" s="103">
        <f t="shared" si="1"/>
        <v>111</v>
      </c>
      <c r="B117" s="883"/>
      <c r="C117" s="468" t="s">
        <v>2139</v>
      </c>
      <c r="D117" s="1000" t="s">
        <v>2699</v>
      </c>
      <c r="E117" s="113"/>
      <c r="F117" s="13"/>
      <c r="G117" s="904" t="s">
        <v>1473</v>
      </c>
      <c r="H117" s="13"/>
      <c r="I117" s="13"/>
      <c r="J117" s="13"/>
      <c r="K117" s="13"/>
    </row>
    <row r="118" spans="1:11" x14ac:dyDescent="0.25">
      <c r="A118" s="103">
        <f t="shared" si="1"/>
        <v>112</v>
      </c>
      <c r="B118" s="883"/>
      <c r="C118" s="468" t="s">
        <v>2137</v>
      </c>
      <c r="D118" s="1000" t="s">
        <v>2699</v>
      </c>
      <c r="E118" s="113"/>
      <c r="F118" s="13"/>
      <c r="G118" s="904"/>
      <c r="H118" s="13"/>
      <c r="I118" s="13"/>
      <c r="J118" s="13"/>
      <c r="K118" s="13"/>
    </row>
    <row r="119" spans="1:11" x14ac:dyDescent="0.25">
      <c r="A119" s="103">
        <f t="shared" si="1"/>
        <v>113</v>
      </c>
      <c r="B119" s="883"/>
      <c r="C119" s="468" t="s">
        <v>2138</v>
      </c>
      <c r="D119" s="973" t="s">
        <v>2699</v>
      </c>
      <c r="E119" s="14" t="str">
        <f>" = L"&amp;A117&amp;" + L"&amp;A118&amp;""</f>
        <v xml:space="preserve"> = L111 + L112</v>
      </c>
      <c r="F119" s="13"/>
      <c r="G119" s="13"/>
      <c r="H119" s="13"/>
      <c r="I119" s="13"/>
      <c r="J119" s="13"/>
      <c r="K119" s="13"/>
    </row>
    <row r="120" spans="1:11" x14ac:dyDescent="0.25">
      <c r="A120" s="103">
        <f t="shared" si="1"/>
        <v>114</v>
      </c>
      <c r="B120" s="883"/>
      <c r="C120" s="468" t="s">
        <v>2140</v>
      </c>
      <c r="D120" s="970" t="s">
        <v>2690</v>
      </c>
      <c r="E120" s="14" t="str">
        <f>" = L"&amp;A117&amp;" / L"&amp;A119&amp;""</f>
        <v xml:space="preserve"> = L111 / L113</v>
      </c>
      <c r="F120" s="13"/>
      <c r="G120" s="13"/>
      <c r="H120" s="13"/>
      <c r="I120" s="13"/>
      <c r="J120" s="13"/>
      <c r="K120" s="13"/>
    </row>
    <row r="121" spans="1:11" x14ac:dyDescent="0.25">
      <c r="A121" s="103">
        <f t="shared" si="1"/>
        <v>115</v>
      </c>
      <c r="B121" s="13"/>
      <c r="C121" s="13"/>
      <c r="D121" s="13"/>
      <c r="E121" s="13"/>
      <c r="F121" s="13"/>
      <c r="G121" s="13"/>
      <c r="H121" s="13"/>
      <c r="I121" s="13"/>
      <c r="J121" s="13"/>
      <c r="K121" s="13"/>
    </row>
    <row r="122" spans="1:11" x14ac:dyDescent="0.25">
      <c r="A122" s="103">
        <f t="shared" si="1"/>
        <v>116</v>
      </c>
      <c r="B122" s="468" t="s">
        <v>2273</v>
      </c>
      <c r="C122" s="13"/>
      <c r="D122" s="113" t="s">
        <v>2079</v>
      </c>
      <c r="E122" s="113" t="s">
        <v>187</v>
      </c>
      <c r="F122" s="13"/>
      <c r="G122" s="558" t="s">
        <v>2080</v>
      </c>
      <c r="H122" s="13"/>
      <c r="I122" s="13"/>
      <c r="J122" s="13"/>
      <c r="K122" s="13"/>
    </row>
    <row r="123" spans="1:11" x14ac:dyDescent="0.25">
      <c r="A123" s="103">
        <f t="shared" si="1"/>
        <v>117</v>
      </c>
      <c r="B123" s="883"/>
      <c r="C123" s="468" t="s">
        <v>2141</v>
      </c>
      <c r="D123" s="1000" t="s">
        <v>2699</v>
      </c>
      <c r="E123" s="113"/>
      <c r="F123" s="13"/>
      <c r="G123" s="904" t="s">
        <v>1474</v>
      </c>
      <c r="H123" s="13"/>
      <c r="I123" s="13"/>
      <c r="J123" s="13"/>
      <c r="K123" s="13"/>
    </row>
    <row r="124" spans="1:11" x14ac:dyDescent="0.25">
      <c r="A124" s="103">
        <f t="shared" si="1"/>
        <v>118</v>
      </c>
      <c r="B124" s="883"/>
      <c r="C124" s="468" t="s">
        <v>2144</v>
      </c>
      <c r="D124" s="1000" t="s">
        <v>2699</v>
      </c>
      <c r="E124" s="113"/>
      <c r="F124" s="13"/>
      <c r="G124" s="904"/>
      <c r="H124" s="13"/>
      <c r="I124" s="13"/>
      <c r="J124" s="13"/>
      <c r="K124" s="13"/>
    </row>
    <row r="125" spans="1:11" x14ac:dyDescent="0.25">
      <c r="A125" s="103">
        <f t="shared" ref="A125:A126" si="2">A124+1</f>
        <v>119</v>
      </c>
      <c r="B125" s="883"/>
      <c r="C125" s="468" t="s">
        <v>2142</v>
      </c>
      <c r="D125" s="973" t="s">
        <v>2699</v>
      </c>
      <c r="E125" s="14" t="str">
        <f>" = L"&amp;A123&amp;" + L"&amp;A124&amp;""</f>
        <v xml:space="preserve"> = L117 + L118</v>
      </c>
      <c r="F125" s="13"/>
      <c r="G125" s="13"/>
      <c r="H125" s="13"/>
      <c r="I125" s="13"/>
      <c r="J125" s="13"/>
      <c r="K125" s="13"/>
    </row>
    <row r="126" spans="1:11" x14ac:dyDescent="0.25">
      <c r="A126" s="103">
        <f t="shared" si="2"/>
        <v>120</v>
      </c>
      <c r="B126" s="883"/>
      <c r="C126" s="468" t="s">
        <v>2143</v>
      </c>
      <c r="D126" s="970" t="s">
        <v>2690</v>
      </c>
      <c r="E126" s="14" t="str">
        <f>" = L"&amp;A123&amp;" / L"&amp;A125&amp;""</f>
        <v xml:space="preserve"> = L117 / L119</v>
      </c>
      <c r="F126" s="13"/>
      <c r="G126" s="13"/>
      <c r="H126" s="13"/>
      <c r="I126" s="13"/>
      <c r="J126" s="13"/>
      <c r="K126" s="13"/>
    </row>
    <row r="127" spans="1:11" x14ac:dyDescent="0.25">
      <c r="A127" s="577"/>
    </row>
    <row r="128" spans="1:11" x14ac:dyDescent="0.25">
      <c r="A128" s="577"/>
    </row>
    <row r="129" spans="1:1" x14ac:dyDescent="0.25">
      <c r="A129" s="577"/>
    </row>
    <row r="130" spans="1:1" x14ac:dyDescent="0.25">
      <c r="A130" s="577"/>
    </row>
    <row r="131" spans="1:1" x14ac:dyDescent="0.25">
      <c r="A131" s="577"/>
    </row>
    <row r="132" spans="1:1" x14ac:dyDescent="0.25">
      <c r="A132" s="577"/>
    </row>
    <row r="133" spans="1:1" x14ac:dyDescent="0.25">
      <c r="A133" s="577"/>
    </row>
    <row r="134" spans="1:1" x14ac:dyDescent="0.25">
      <c r="A134" s="577"/>
    </row>
    <row r="135" spans="1:1" x14ac:dyDescent="0.25">
      <c r="A135" s="577"/>
    </row>
    <row r="136" spans="1:1" x14ac:dyDescent="0.25">
      <c r="A136" s="577"/>
    </row>
    <row r="137" spans="1:1" x14ac:dyDescent="0.25">
      <c r="A137" s="577"/>
    </row>
    <row r="138" spans="1:1" x14ac:dyDescent="0.25">
      <c r="A138" s="577"/>
    </row>
  </sheetData>
  <phoneticPr fontId="9" type="noConversion"/>
  <pageMargins left="0.75" right="0.75" top="1" bottom="1" header="0.5" footer="0.5"/>
  <pageSetup scale="70" orientation="landscape" cellComments="asDisplayed" r:id="rId1"/>
  <headerFooter alignWithMargins="0">
    <oddHeader xml:space="preserve">&amp;C&amp;"Arial,Bold"Schedule 27
Allocation Factors&amp;"Arial,Regular"
</oddHeader>
    <oddFooter>&amp;R&amp;A</oddFooter>
  </headerFooter>
  <rowBreaks count="1" manualBreakCount="1">
    <brk id="49"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85" zoomScaleNormal="85" workbookViewId="0"/>
  </sheetViews>
  <sheetFormatPr defaultRowHeight="13.2" x14ac:dyDescent="0.25"/>
  <cols>
    <col min="1" max="1" width="4.6640625" customWidth="1"/>
    <col min="2" max="2" width="3.6640625" customWidth="1"/>
    <col min="3" max="6" width="10.6640625" customWidth="1"/>
    <col min="7" max="7" width="9.44140625" bestFit="1" customWidth="1"/>
    <col min="8" max="8" width="4.6640625" customWidth="1"/>
    <col min="9" max="9" width="35.6640625" customWidth="1"/>
  </cols>
  <sheetData>
    <row r="1" spans="1:9" x14ac:dyDescent="0.25">
      <c r="A1" s="1" t="s">
        <v>1872</v>
      </c>
    </row>
    <row r="3" spans="1:9" x14ac:dyDescent="0.25">
      <c r="B3" s="1" t="s">
        <v>553</v>
      </c>
      <c r="I3" s="94" t="s">
        <v>17</v>
      </c>
    </row>
    <row r="4" spans="1:9" x14ac:dyDescent="0.25">
      <c r="B4" s="1"/>
      <c r="I4" s="13"/>
    </row>
    <row r="5" spans="1:9" x14ac:dyDescent="0.25">
      <c r="E5" s="103" t="s">
        <v>2245</v>
      </c>
    </row>
    <row r="6" spans="1:9" x14ac:dyDescent="0.25">
      <c r="A6" s="49" t="s">
        <v>360</v>
      </c>
      <c r="C6" s="3" t="s">
        <v>258</v>
      </c>
      <c r="D6" s="3" t="s">
        <v>259</v>
      </c>
      <c r="E6" s="907" t="s">
        <v>73</v>
      </c>
      <c r="G6" s="3" t="s">
        <v>260</v>
      </c>
      <c r="I6" s="49" t="s">
        <v>224</v>
      </c>
    </row>
    <row r="7" spans="1:9" x14ac:dyDescent="0.25">
      <c r="A7" s="2">
        <v>1</v>
      </c>
      <c r="C7" s="537" t="s">
        <v>86</v>
      </c>
      <c r="D7" s="537" t="s">
        <v>86</v>
      </c>
      <c r="E7" s="537" t="s">
        <v>86</v>
      </c>
      <c r="G7" s="980" t="s">
        <v>2690</v>
      </c>
      <c r="I7" s="537" t="s">
        <v>86</v>
      </c>
    </row>
    <row r="8" spans="1:9" x14ac:dyDescent="0.25">
      <c r="A8" s="2">
        <v>2</v>
      </c>
      <c r="C8" s="537" t="s">
        <v>86</v>
      </c>
      <c r="D8" s="537" t="s">
        <v>86</v>
      </c>
      <c r="E8" s="537" t="s">
        <v>86</v>
      </c>
      <c r="G8" s="980" t="s">
        <v>2690</v>
      </c>
      <c r="I8" s="537" t="s">
        <v>86</v>
      </c>
    </row>
    <row r="10" spans="1:9" x14ac:dyDescent="0.25">
      <c r="B10" s="1" t="s">
        <v>1873</v>
      </c>
    </row>
    <row r="11" spans="1:9" x14ac:dyDescent="0.25">
      <c r="B11" s="1"/>
    </row>
    <row r="12" spans="1:9" x14ac:dyDescent="0.25">
      <c r="E12" s="103" t="s">
        <v>2245</v>
      </c>
    </row>
    <row r="13" spans="1:9" x14ac:dyDescent="0.25">
      <c r="C13" s="3" t="s">
        <v>258</v>
      </c>
      <c r="D13" s="3" t="s">
        <v>259</v>
      </c>
      <c r="E13" s="907" t="s">
        <v>73</v>
      </c>
      <c r="G13" s="3" t="s">
        <v>261</v>
      </c>
      <c r="I13" s="49" t="s">
        <v>224</v>
      </c>
    </row>
    <row r="14" spans="1:9" x14ac:dyDescent="0.25">
      <c r="A14" s="2">
        <v>3</v>
      </c>
      <c r="C14" s="537" t="s">
        <v>86</v>
      </c>
      <c r="D14" s="537" t="s">
        <v>86</v>
      </c>
      <c r="E14" s="537" t="s">
        <v>86</v>
      </c>
      <c r="G14" s="980" t="s">
        <v>2690</v>
      </c>
      <c r="I14" s="537" t="s">
        <v>86</v>
      </c>
    </row>
    <row r="15" spans="1:9" x14ac:dyDescent="0.25">
      <c r="A15" s="2">
        <v>4</v>
      </c>
      <c r="C15" s="537" t="s">
        <v>86</v>
      </c>
      <c r="D15" s="537" t="s">
        <v>86</v>
      </c>
      <c r="E15" s="537" t="s">
        <v>86</v>
      </c>
      <c r="G15" s="980" t="s">
        <v>2690</v>
      </c>
      <c r="I15" s="537" t="s">
        <v>86</v>
      </c>
    </row>
    <row r="18" spans="1:9" x14ac:dyDescent="0.25">
      <c r="B18" s="1" t="s">
        <v>552</v>
      </c>
    </row>
    <row r="19" spans="1:9" x14ac:dyDescent="0.25">
      <c r="B19" s="1"/>
    </row>
    <row r="20" spans="1:9" x14ac:dyDescent="0.25">
      <c r="C20" s="2" t="s">
        <v>446</v>
      </c>
      <c r="D20" s="2"/>
      <c r="E20" s="2"/>
    </row>
    <row r="21" spans="1:9" x14ac:dyDescent="0.25">
      <c r="C21" s="3" t="s">
        <v>212</v>
      </c>
      <c r="D21" s="3" t="s">
        <v>260</v>
      </c>
      <c r="E21" s="3" t="s">
        <v>261</v>
      </c>
      <c r="I21" s="49" t="s">
        <v>187</v>
      </c>
    </row>
    <row r="22" spans="1:9" x14ac:dyDescent="0.25">
      <c r="A22" s="2">
        <v>5</v>
      </c>
      <c r="C22" s="537" t="s">
        <v>86</v>
      </c>
      <c r="D22" s="1001" t="s">
        <v>2690</v>
      </c>
      <c r="E22" s="1001" t="s">
        <v>2690</v>
      </c>
      <c r="F22" s="13"/>
      <c r="G22" s="13"/>
      <c r="H22" s="13"/>
      <c r="I22" s="468" t="s">
        <v>1992</v>
      </c>
    </row>
    <row r="24" spans="1:9" x14ac:dyDescent="0.25">
      <c r="B24" s="1" t="s">
        <v>256</v>
      </c>
    </row>
    <row r="25" spans="1:9" x14ac:dyDescent="0.25">
      <c r="B25" s="11" t="s">
        <v>607</v>
      </c>
    </row>
    <row r="26" spans="1:9" x14ac:dyDescent="0.25">
      <c r="B26" s="11" t="s">
        <v>606</v>
      </c>
    </row>
    <row r="28" spans="1:9" x14ac:dyDescent="0.25">
      <c r="B28" s="1" t="s">
        <v>420</v>
      </c>
    </row>
    <row r="29" spans="1:9" x14ac:dyDescent="0.25">
      <c r="B29" s="468" t="s">
        <v>1994</v>
      </c>
      <c r="C29" s="13"/>
      <c r="D29" s="13"/>
      <c r="E29" s="13"/>
      <c r="F29" s="13"/>
      <c r="G29" s="13"/>
      <c r="H29" s="13"/>
      <c r="I29" s="13"/>
    </row>
    <row r="30" spans="1:9" x14ac:dyDescent="0.25">
      <c r="B30" s="468" t="s">
        <v>2004</v>
      </c>
      <c r="C30" s="13"/>
      <c r="D30" s="13"/>
      <c r="E30" s="13"/>
      <c r="F30" s="13"/>
      <c r="G30" s="13"/>
      <c r="H30" s="13"/>
      <c r="I30" s="13"/>
    </row>
    <row r="31" spans="1:9" x14ac:dyDescent="0.25">
      <c r="B31" s="468" t="s">
        <v>2250</v>
      </c>
      <c r="C31" s="13"/>
      <c r="D31" s="13"/>
      <c r="E31" s="13"/>
      <c r="F31" s="13"/>
      <c r="G31" s="13"/>
      <c r="H31" s="13"/>
      <c r="I31" s="13"/>
    </row>
    <row r="32" spans="1:9" x14ac:dyDescent="0.25">
      <c r="B32" s="468" t="s">
        <v>2249</v>
      </c>
      <c r="C32" s="13"/>
      <c r="D32" s="13"/>
      <c r="E32" s="13"/>
      <c r="F32" s="13"/>
      <c r="G32" s="13"/>
      <c r="H32" s="13"/>
      <c r="I32" s="13"/>
    </row>
    <row r="33" spans="2:9" x14ac:dyDescent="0.25">
      <c r="B33" s="468" t="s">
        <v>1989</v>
      </c>
      <c r="C33" s="13"/>
      <c r="D33" s="13"/>
      <c r="E33" s="13"/>
      <c r="F33" s="13"/>
      <c r="G33" s="13"/>
      <c r="H33" s="13"/>
      <c r="I33" s="13"/>
    </row>
    <row r="34" spans="2:9" x14ac:dyDescent="0.25">
      <c r="B34" s="468" t="s">
        <v>1990</v>
      </c>
      <c r="C34" s="13"/>
      <c r="D34" s="13"/>
      <c r="E34" s="13"/>
      <c r="F34" s="13"/>
      <c r="G34" s="13"/>
      <c r="H34" s="13"/>
      <c r="I34" s="13"/>
    </row>
    <row r="35" spans="2:9" x14ac:dyDescent="0.25">
      <c r="B35" s="468" t="s">
        <v>2498</v>
      </c>
      <c r="C35" s="13"/>
      <c r="D35" s="13"/>
      <c r="E35" s="13"/>
      <c r="F35" s="13"/>
      <c r="G35" s="13"/>
      <c r="H35" s="13"/>
      <c r="I35" s="13"/>
    </row>
    <row r="36" spans="2:9" x14ac:dyDescent="0.25">
      <c r="B36" s="468" t="s">
        <v>1993</v>
      </c>
      <c r="C36" s="13"/>
      <c r="D36" s="13"/>
      <c r="E36" s="13"/>
      <c r="F36" s="13"/>
      <c r="G36" s="13"/>
      <c r="H36" s="13"/>
      <c r="I36" s="13"/>
    </row>
    <row r="37" spans="2:9" x14ac:dyDescent="0.25">
      <c r="B37" s="468" t="s">
        <v>1991</v>
      </c>
      <c r="C37" s="13"/>
      <c r="D37" s="13"/>
      <c r="E37" s="13"/>
      <c r="F37" s="13"/>
      <c r="G37" s="13"/>
      <c r="H37" s="13"/>
      <c r="I37" s="13"/>
    </row>
    <row r="38" spans="2:9" x14ac:dyDescent="0.25">
      <c r="B38" s="468" t="s">
        <v>2248</v>
      </c>
      <c r="C38" s="13"/>
      <c r="D38" s="13"/>
      <c r="E38" s="13"/>
      <c r="F38" s="13"/>
      <c r="G38" s="13"/>
      <c r="H38" s="13"/>
      <c r="I38" s="13"/>
    </row>
    <row r="39" spans="2:9" x14ac:dyDescent="0.25">
      <c r="B39" s="13"/>
      <c r="C39" s="13"/>
      <c r="D39" s="13"/>
      <c r="E39" s="13"/>
      <c r="F39" s="13"/>
      <c r="G39" s="13"/>
      <c r="H39" s="13"/>
      <c r="I39" s="13"/>
    </row>
    <row r="40" spans="2:9" x14ac:dyDescent="0.25">
      <c r="B40" s="13"/>
      <c r="C40" s="13"/>
      <c r="D40" s="13"/>
      <c r="E40" s="113" t="s">
        <v>1621</v>
      </c>
      <c r="F40" s="13"/>
      <c r="G40" s="879" t="s">
        <v>171</v>
      </c>
      <c r="H40" s="13"/>
      <c r="I40" s="13"/>
    </row>
    <row r="41" spans="2:9" x14ac:dyDescent="0.25">
      <c r="B41" s="13"/>
      <c r="C41" s="13"/>
      <c r="D41" s="893" t="s">
        <v>2246</v>
      </c>
      <c r="E41" s="1001" t="s">
        <v>2690</v>
      </c>
      <c r="F41" s="13"/>
      <c r="G41" s="595" t="s">
        <v>2251</v>
      </c>
      <c r="H41" s="13"/>
      <c r="I41" s="13"/>
    </row>
    <row r="42" spans="2:9" x14ac:dyDescent="0.25">
      <c r="B42" s="13"/>
      <c r="C42" s="13"/>
      <c r="D42" s="893" t="s">
        <v>2247</v>
      </c>
      <c r="E42" s="1001" t="s">
        <v>2690</v>
      </c>
      <c r="F42" s="13"/>
      <c r="G42" s="595" t="s">
        <v>2252</v>
      </c>
      <c r="H42" s="13"/>
      <c r="I42" s="13"/>
    </row>
  </sheetData>
  <phoneticPr fontId="9" type="noConversion"/>
  <pageMargins left="0.75" right="0.75" top="1" bottom="1" header="0.5" footer="0.5"/>
  <pageSetup scale="82" orientation="portrait" cellComments="asDisplayed" r:id="rId1"/>
  <headerFooter alignWithMargins="0">
    <oddHeader xml:space="preserve">&amp;C&amp;"Arial,Bold"Schedule 28
FF and U&amp;"Arial,Regular"
</oddHeader>
    <oddFooter>&amp;R&amp;A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85" zoomScaleNormal="85" workbookViewId="0">
      <selection activeCell="D18" sqref="D18:F27"/>
    </sheetView>
  </sheetViews>
  <sheetFormatPr defaultRowHeight="13.2" x14ac:dyDescent="0.25"/>
  <cols>
    <col min="1" max="1" width="4.6640625" customWidth="1"/>
    <col min="2" max="2" width="17.109375" customWidth="1"/>
    <col min="3" max="3" width="25.6640625" customWidth="1"/>
    <col min="4" max="6" width="13.6640625" customWidth="1"/>
    <col min="7" max="7" width="3.6640625" customWidth="1"/>
    <col min="8" max="8" width="14.6640625" customWidth="1"/>
    <col min="9" max="10" width="13.6640625" customWidth="1"/>
  </cols>
  <sheetData>
    <row r="1" spans="1:10" x14ac:dyDescent="0.25">
      <c r="A1" s="1" t="s">
        <v>1565</v>
      </c>
    </row>
    <row r="2" spans="1:10" x14ac:dyDescent="0.25">
      <c r="G2" s="42" t="s">
        <v>17</v>
      </c>
      <c r="H2" s="42"/>
      <c r="I2" s="94"/>
    </row>
    <row r="3" spans="1:10" x14ac:dyDescent="0.25">
      <c r="A3" s="3" t="s">
        <v>360</v>
      </c>
      <c r="B3" s="3" t="s">
        <v>93</v>
      </c>
      <c r="F3" s="49" t="s">
        <v>187</v>
      </c>
      <c r="G3" s="49" t="s">
        <v>198</v>
      </c>
      <c r="J3" s="49"/>
    </row>
    <row r="4" spans="1:10" x14ac:dyDescent="0.25">
      <c r="A4" s="2">
        <v>1</v>
      </c>
      <c r="B4" s="986">
        <v>0</v>
      </c>
      <c r="C4" s="50" t="s">
        <v>144</v>
      </c>
      <c r="G4" s="14" t="str">
        <f>"1-BaseTRR, Line "&amp;'1-BaseTRR'!A157&amp;""</f>
        <v>1-BaseTRR, Line 89</v>
      </c>
      <c r="H4" s="13"/>
    </row>
    <row r="5" spans="1:10" x14ac:dyDescent="0.25">
      <c r="A5" s="2">
        <f t="shared" ref="A5:A10" si="0">A4+1</f>
        <v>2</v>
      </c>
      <c r="B5" s="977">
        <v>0</v>
      </c>
      <c r="C5" s="50" t="s">
        <v>145</v>
      </c>
      <c r="F5" s="11" t="s">
        <v>395</v>
      </c>
      <c r="G5" s="537" t="s">
        <v>86</v>
      </c>
      <c r="H5" s="94"/>
      <c r="I5" s="537"/>
    </row>
    <row r="6" spans="1:10" x14ac:dyDescent="0.25">
      <c r="A6" s="2">
        <f t="shared" si="0"/>
        <v>3</v>
      </c>
      <c r="B6" s="977">
        <v>0</v>
      </c>
      <c r="C6" s="50" t="s">
        <v>146</v>
      </c>
      <c r="G6" s="537" t="s">
        <v>86</v>
      </c>
      <c r="H6" s="94"/>
      <c r="I6" s="537"/>
    </row>
    <row r="7" spans="1:10" x14ac:dyDescent="0.25">
      <c r="A7" s="2">
        <f t="shared" si="0"/>
        <v>4</v>
      </c>
      <c r="B7" s="977">
        <v>0</v>
      </c>
      <c r="C7" s="50" t="s">
        <v>147</v>
      </c>
      <c r="G7" s="537" t="s">
        <v>86</v>
      </c>
      <c r="H7" s="94"/>
      <c r="I7" s="537"/>
    </row>
    <row r="8" spans="1:10" x14ac:dyDescent="0.25">
      <c r="A8" s="2">
        <f t="shared" si="0"/>
        <v>5</v>
      </c>
      <c r="B8" s="986">
        <v>0</v>
      </c>
      <c r="C8" s="50" t="s">
        <v>148</v>
      </c>
      <c r="F8" t="s">
        <v>396</v>
      </c>
      <c r="G8" t="s">
        <v>92</v>
      </c>
    </row>
    <row r="9" spans="1:10" x14ac:dyDescent="0.25">
      <c r="A9" s="2">
        <f t="shared" si="0"/>
        <v>6</v>
      </c>
      <c r="B9" s="970" t="s">
        <v>2690</v>
      </c>
      <c r="C9" s="50" t="s">
        <v>91</v>
      </c>
      <c r="G9" s="14" t="str">
        <f>"31-HVLV, Line "&amp;'31-HVLV'!A45&amp;""</f>
        <v>31-HVLV, Line 37</v>
      </c>
      <c r="H9" s="13"/>
    </row>
    <row r="10" spans="1:10" x14ac:dyDescent="0.25">
      <c r="A10" s="2">
        <f t="shared" si="0"/>
        <v>7</v>
      </c>
      <c r="B10" s="970" t="s">
        <v>2690</v>
      </c>
      <c r="C10" s="50" t="s">
        <v>90</v>
      </c>
      <c r="G10" s="14" t="str">
        <f>"31-HVLV, Line "&amp;'31-HVLV'!A45&amp;""</f>
        <v>31-HVLV, Line 37</v>
      </c>
      <c r="H10" s="13"/>
    </row>
    <row r="11" spans="1:10" x14ac:dyDescent="0.25">
      <c r="C11" s="35"/>
      <c r="D11" s="88"/>
      <c r="E11" s="88"/>
      <c r="F11" s="88"/>
      <c r="G11" s="88"/>
      <c r="H11" s="88"/>
      <c r="J11" s="88"/>
    </row>
    <row r="12" spans="1:10" x14ac:dyDescent="0.25">
      <c r="B12" s="1" t="s">
        <v>1706</v>
      </c>
      <c r="C12" s="35"/>
      <c r="D12" s="88"/>
      <c r="E12" s="88"/>
      <c r="F12" s="88"/>
      <c r="G12" s="88"/>
      <c r="H12" s="88"/>
    </row>
    <row r="13" spans="1:10" x14ac:dyDescent="0.25">
      <c r="B13" s="1"/>
      <c r="C13" s="35"/>
      <c r="D13" s="88"/>
      <c r="E13" s="88"/>
      <c r="F13" s="88"/>
      <c r="G13" s="88"/>
      <c r="H13" s="88"/>
    </row>
    <row r="14" spans="1:10" x14ac:dyDescent="0.25">
      <c r="B14" s="1"/>
      <c r="C14" s="35"/>
      <c r="D14" s="84" t="s">
        <v>394</v>
      </c>
      <c r="E14" s="84" t="s">
        <v>378</v>
      </c>
      <c r="F14" s="84" t="s">
        <v>379</v>
      </c>
      <c r="G14" s="88"/>
      <c r="H14" s="88"/>
    </row>
    <row r="15" spans="1:10" x14ac:dyDescent="0.25">
      <c r="B15" s="1"/>
      <c r="C15" s="35"/>
      <c r="F15" s="88"/>
      <c r="G15" s="88"/>
      <c r="H15" s="88"/>
    </row>
    <row r="16" spans="1:10" x14ac:dyDescent="0.25">
      <c r="E16" s="2" t="s">
        <v>516</v>
      </c>
      <c r="F16" s="2" t="s">
        <v>517</v>
      </c>
    </row>
    <row r="17" spans="1:8" x14ac:dyDescent="0.25">
      <c r="C17" s="35"/>
      <c r="D17" s="3" t="s">
        <v>149</v>
      </c>
      <c r="E17" s="3" t="s">
        <v>515</v>
      </c>
      <c r="F17" s="3" t="s">
        <v>515</v>
      </c>
      <c r="G17" s="3"/>
      <c r="H17" s="3" t="s">
        <v>198</v>
      </c>
    </row>
    <row r="18" spans="1:8" x14ac:dyDescent="0.25">
      <c r="A18" s="2">
        <f>A10+1</f>
        <v>8</v>
      </c>
      <c r="B18" s="89"/>
      <c r="C18" s="69" t="s">
        <v>166</v>
      </c>
      <c r="D18" s="986">
        <v>0</v>
      </c>
      <c r="E18" s="986">
        <v>0</v>
      </c>
      <c r="F18" s="986">
        <v>0</v>
      </c>
      <c r="G18" s="6"/>
      <c r="H18" s="466" t="s">
        <v>311</v>
      </c>
    </row>
    <row r="19" spans="1:8" x14ac:dyDescent="0.25">
      <c r="A19" s="488">
        <f>A18+1</f>
        <v>9</v>
      </c>
      <c r="B19" s="89"/>
      <c r="C19" s="69" t="s">
        <v>1704</v>
      </c>
      <c r="D19" s="986">
        <v>0</v>
      </c>
      <c r="E19" s="986">
        <v>0</v>
      </c>
      <c r="F19" s="986">
        <v>0</v>
      </c>
      <c r="G19" s="6"/>
      <c r="H19" s="466" t="s">
        <v>1045</v>
      </c>
    </row>
    <row r="20" spans="1:8" x14ac:dyDescent="0.25">
      <c r="A20" s="488">
        <f>A19+1</f>
        <v>10</v>
      </c>
      <c r="B20" s="89"/>
      <c r="C20" s="69" t="s">
        <v>1705</v>
      </c>
      <c r="D20" s="986">
        <v>0</v>
      </c>
      <c r="E20" s="986">
        <v>0</v>
      </c>
      <c r="F20" s="986">
        <v>0</v>
      </c>
      <c r="G20" s="6"/>
      <c r="H20" s="466" t="s">
        <v>1046</v>
      </c>
    </row>
    <row r="21" spans="1:8" x14ac:dyDescent="0.25">
      <c r="B21" s="89"/>
      <c r="C21" s="89"/>
      <c r="D21" s="6"/>
      <c r="E21" s="6"/>
      <c r="F21" s="6"/>
      <c r="G21" s="6"/>
    </row>
    <row r="22" spans="1:8" x14ac:dyDescent="0.25">
      <c r="A22" s="2">
        <f>A20+1</f>
        <v>11</v>
      </c>
      <c r="B22" s="1"/>
      <c r="C22" s="69" t="s">
        <v>150</v>
      </c>
      <c r="D22" s="986">
        <v>0</v>
      </c>
      <c r="E22" s="986">
        <v>0</v>
      </c>
      <c r="F22" s="986">
        <v>0</v>
      </c>
      <c r="G22" s="6"/>
      <c r="H22" t="str">
        <f>"Lines "&amp;A5&amp;" to "&amp;A7&amp;""</f>
        <v>Lines 2 to 4</v>
      </c>
    </row>
    <row r="23" spans="1:8" x14ac:dyDescent="0.25">
      <c r="B23" s="1"/>
      <c r="C23" s="69"/>
      <c r="D23" s="6"/>
      <c r="E23" s="6"/>
      <c r="F23" s="6"/>
      <c r="G23" s="6"/>
    </row>
    <row r="24" spans="1:8" ht="15" x14ac:dyDescent="0.4">
      <c r="A24" s="2">
        <f>A22+1</f>
        <v>12</v>
      </c>
      <c r="B24" s="1"/>
      <c r="C24" s="69" t="s">
        <v>1861</v>
      </c>
      <c r="D24" s="987">
        <v>0</v>
      </c>
      <c r="E24" s="987">
        <v>0</v>
      </c>
      <c r="F24" s="987">
        <v>0</v>
      </c>
      <c r="G24" s="90"/>
      <c r="H24" s="466" t="s">
        <v>582</v>
      </c>
    </row>
    <row r="25" spans="1:8" x14ac:dyDescent="0.25">
      <c r="A25" s="555"/>
      <c r="B25" s="1"/>
      <c r="C25" s="69"/>
      <c r="D25" s="90"/>
      <c r="E25" s="90"/>
      <c r="F25" s="90"/>
      <c r="G25" s="90"/>
      <c r="H25" s="466"/>
    </row>
    <row r="26" spans="1:8" x14ac:dyDescent="0.25">
      <c r="B26" s="1"/>
      <c r="C26" s="69" t="s">
        <v>1862</v>
      </c>
      <c r="D26" s="90"/>
      <c r="E26" s="90"/>
      <c r="F26" s="90"/>
      <c r="G26" s="90"/>
    </row>
    <row r="27" spans="1:8" x14ac:dyDescent="0.25">
      <c r="A27" s="2">
        <f>A24+1</f>
        <v>13</v>
      </c>
      <c r="B27" s="1"/>
      <c r="C27" s="69" t="s">
        <v>1863</v>
      </c>
      <c r="D27" s="986">
        <v>0</v>
      </c>
      <c r="E27" s="986">
        <v>0</v>
      </c>
      <c r="F27" s="986">
        <v>0</v>
      </c>
      <c r="G27" s="6"/>
      <c r="H27" s="98" t="str">
        <f>"Sum of Lines "&amp;A18&amp;", "&amp;A22&amp;", and "&amp;A24&amp;""</f>
        <v>Sum of Lines 8, 11, and 12</v>
      </c>
    </row>
    <row r="28" spans="1:8" x14ac:dyDescent="0.25">
      <c r="E28" s="6"/>
    </row>
    <row r="29" spans="1:8" x14ac:dyDescent="0.25">
      <c r="B29" s="49" t="s">
        <v>256</v>
      </c>
    </row>
    <row r="30" spans="1:8" x14ac:dyDescent="0.25">
      <c r="B30" s="11" t="s">
        <v>1596</v>
      </c>
    </row>
    <row r="31" spans="1:8" x14ac:dyDescent="0.25">
      <c r="B31" s="466" t="s">
        <v>1874</v>
      </c>
    </row>
    <row r="32" spans="1:8" x14ac:dyDescent="0.25">
      <c r="B32" s="11" t="s">
        <v>1597</v>
      </c>
    </row>
    <row r="33" spans="2:6" x14ac:dyDescent="0.25">
      <c r="B33" s="468" t="s">
        <v>2061</v>
      </c>
      <c r="C33" s="13"/>
      <c r="D33" s="537" t="s">
        <v>86</v>
      </c>
      <c r="E33" s="94"/>
      <c r="F33" s="13"/>
    </row>
    <row r="34" spans="2:6" x14ac:dyDescent="0.25">
      <c r="B34" s="14" t="str">
        <f>"3) Column 1 is from Line "&amp;A4&amp;"."</f>
        <v>3) Column 1 is from Line 1.</v>
      </c>
      <c r="C34" s="13"/>
    </row>
    <row r="35" spans="2:6" x14ac:dyDescent="0.25">
      <c r="B35" s="45" t="str">
        <f>"Column 2 equals Column 1 * Line "&amp;A9&amp;"."</f>
        <v>Column 2 equals Column 1 * Line 6.</v>
      </c>
      <c r="C35" s="13"/>
    </row>
    <row r="36" spans="2:6" x14ac:dyDescent="0.25">
      <c r="B36" s="45" t="str">
        <f>"Column 3 equals Column 1 * Line "&amp;A10&amp;"."</f>
        <v>Column 3 equals Column 1 * Line 7.</v>
      </c>
      <c r="C36" s="13"/>
    </row>
    <row r="37" spans="2:6" x14ac:dyDescent="0.25">
      <c r="B37" s="13" t="str">
        <f>"4) From 24-CWIPTRR, Line "&amp;'24-CWIPTRR'!A145&amp;".  All High Voltage."</f>
        <v>4) From 24-CWIPTRR, Line 88.  All High Voltage.</v>
      </c>
      <c r="C37" s="13"/>
    </row>
    <row r="38" spans="2:6" x14ac:dyDescent="0.25">
      <c r="B38" t="str">
        <f>"5) Line "&amp;A18&amp;" - Line "&amp;A19&amp;""</f>
        <v>5) Line 8 - Line 9</v>
      </c>
    </row>
    <row r="39" spans="2:6" x14ac:dyDescent="0.25">
      <c r="B39" s="11" t="str">
        <f>"6) Column 1 is from Line "&amp;A8&amp;"."</f>
        <v>6) Column 1 is from Line 5.</v>
      </c>
    </row>
    <row r="40" spans="2:6" x14ac:dyDescent="0.25">
      <c r="B40" s="12" t="str">
        <f>"Column 2 equals Column 1 * Line "&amp;A9&amp;"."</f>
        <v>Column 2 equals Column 1 * Line 6.</v>
      </c>
    </row>
    <row r="41" spans="2:6" x14ac:dyDescent="0.25">
      <c r="B41" s="12" t="str">
        <f>"Column 3 equals Column 1 * Line "&amp;A10&amp;"."</f>
        <v>Column 3 equals Column 1 * Line 7.</v>
      </c>
    </row>
  </sheetData>
  <phoneticPr fontId="9" type="noConversion"/>
  <pageMargins left="0.75" right="0.75" top="1" bottom="1" header="0.5" footer="0.5"/>
  <pageSetup scale="90" orientation="landscape" cellComments="asDisplayed" r:id="rId1"/>
  <headerFooter alignWithMargins="0">
    <oddHeader xml:space="preserve">&amp;C&amp;"Arial,Bold"Schedule 29
Wholesale TRRs&amp;"Arial,Regular"
</oddHeader>
    <oddFooter>&amp;R&amp;A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85" zoomScaleNormal="85" workbookViewId="0"/>
  </sheetViews>
  <sheetFormatPr defaultRowHeight="13.2" x14ac:dyDescent="0.25"/>
  <cols>
    <col min="1" max="2" width="4.6640625" customWidth="1"/>
    <col min="4" max="4" width="24.44140625" customWidth="1"/>
    <col min="5" max="5" width="17.6640625" customWidth="1"/>
    <col min="6" max="6" width="9.109375" style="15"/>
    <col min="7" max="7" width="10.109375" bestFit="1" customWidth="1"/>
  </cols>
  <sheetData>
    <row r="1" spans="1:9" x14ac:dyDescent="0.25">
      <c r="A1" s="1" t="s">
        <v>1594</v>
      </c>
    </row>
    <row r="2" spans="1:9" x14ac:dyDescent="0.25">
      <c r="B2" s="1"/>
    </row>
    <row r="3" spans="1:9" x14ac:dyDescent="0.25">
      <c r="B3" s="11" t="s">
        <v>151</v>
      </c>
      <c r="E3" s="13"/>
      <c r="F3" s="105"/>
    </row>
    <row r="4" spans="1:9" x14ac:dyDescent="0.25">
      <c r="B4" s="11"/>
    </row>
    <row r="5" spans="1:9" x14ac:dyDescent="0.25">
      <c r="B5" s="12" t="s">
        <v>152</v>
      </c>
    </row>
    <row r="6" spans="1:9" x14ac:dyDescent="0.25">
      <c r="B6" s="12" t="s">
        <v>153</v>
      </c>
    </row>
    <row r="7" spans="1:9" x14ac:dyDescent="0.25">
      <c r="B7" s="12" t="s">
        <v>154</v>
      </c>
    </row>
    <row r="8" spans="1:9" x14ac:dyDescent="0.25">
      <c r="B8" s="12" t="s">
        <v>155</v>
      </c>
    </row>
    <row r="9" spans="1:9" x14ac:dyDescent="0.25">
      <c r="B9" s="12" t="s">
        <v>156</v>
      </c>
    </row>
    <row r="10" spans="1:9" x14ac:dyDescent="0.25">
      <c r="B10" s="11"/>
    </row>
    <row r="11" spans="1:9" x14ac:dyDescent="0.25">
      <c r="B11" s="11"/>
    </row>
    <row r="12" spans="1:9" x14ac:dyDescent="0.25">
      <c r="B12" s="1" t="s">
        <v>157</v>
      </c>
    </row>
    <row r="13" spans="1:9" x14ac:dyDescent="0.25">
      <c r="A13" s="3" t="s">
        <v>360</v>
      </c>
      <c r="G13" s="3" t="s">
        <v>198</v>
      </c>
    </row>
    <row r="14" spans="1:9" x14ac:dyDescent="0.25">
      <c r="A14" s="2">
        <v>1</v>
      </c>
      <c r="D14" s="91" t="s">
        <v>1567</v>
      </c>
      <c r="E14" s="986">
        <v>0</v>
      </c>
      <c r="G14" s="45" t="str">
        <f>"29-WholesaleTRRs, Line "&amp;'29-WholesaleTRRs'!A27&amp;", C3"</f>
        <v>29-WholesaleTRRs, Line 13, C3</v>
      </c>
      <c r="H14" s="13"/>
      <c r="I14" s="13"/>
    </row>
    <row r="15" spans="1:9" x14ac:dyDescent="0.25">
      <c r="A15" s="2">
        <f>A14+1</f>
        <v>2</v>
      </c>
      <c r="D15" s="91" t="s">
        <v>1566</v>
      </c>
      <c r="E15" s="973" t="s">
        <v>86</v>
      </c>
      <c r="F15" s="12" t="s">
        <v>312</v>
      </c>
      <c r="G15" s="45" t="str">
        <f>"32-Gross Load, Line "&amp;'32-GrossLoad'!A7&amp;""</f>
        <v>32-Gross Load, Line 3</v>
      </c>
      <c r="H15" s="13"/>
      <c r="I15" s="13"/>
    </row>
    <row r="16" spans="1:9" x14ac:dyDescent="0.25">
      <c r="A16" s="2">
        <f>A15+1</f>
        <v>3</v>
      </c>
      <c r="D16" s="91" t="s">
        <v>1568</v>
      </c>
      <c r="E16" s="986">
        <v>0</v>
      </c>
      <c r="F16" s="15" t="s">
        <v>158</v>
      </c>
      <c r="G16" s="105" t="str">
        <f>"Line "&amp;A14&amp;" / (Line "&amp;A15&amp;" * 1000)"</f>
        <v>Line 1 / (Line 2 * 1000)</v>
      </c>
      <c r="H16" s="13"/>
      <c r="I16" s="13"/>
    </row>
    <row r="17" spans="1:9" x14ac:dyDescent="0.25">
      <c r="D17" s="35"/>
      <c r="E17" s="72"/>
      <c r="G17" s="13"/>
      <c r="H17" s="13"/>
      <c r="I17" s="13"/>
    </row>
    <row r="18" spans="1:9" x14ac:dyDescent="0.25">
      <c r="B18" s="1" t="s">
        <v>159</v>
      </c>
      <c r="D18" s="35"/>
      <c r="E18" s="72"/>
      <c r="G18" s="13"/>
      <c r="H18" s="13"/>
      <c r="I18" s="13"/>
    </row>
    <row r="19" spans="1:9" x14ac:dyDescent="0.25">
      <c r="D19" s="35"/>
      <c r="E19" s="72"/>
      <c r="G19" s="113" t="s">
        <v>198</v>
      </c>
      <c r="H19" s="13"/>
      <c r="I19" s="13"/>
    </row>
    <row r="20" spans="1:9" x14ac:dyDescent="0.25">
      <c r="A20" s="2">
        <f>A16+1</f>
        <v>4</v>
      </c>
      <c r="D20" s="91" t="s">
        <v>1567</v>
      </c>
      <c r="E20" s="986">
        <v>0</v>
      </c>
      <c r="G20" s="45" t="str">
        <f>"29-WholesaleTRRs, Line "&amp;'29-WholesaleTRRs'!A27&amp;", C3"</f>
        <v>29-WholesaleTRRs, Line 13, C3</v>
      </c>
      <c r="H20" s="13"/>
      <c r="I20" s="13"/>
    </row>
    <row r="21" spans="1:9" x14ac:dyDescent="0.25">
      <c r="A21" s="2">
        <f>A20+1</f>
        <v>5</v>
      </c>
      <c r="D21" s="91" t="s">
        <v>1566</v>
      </c>
      <c r="E21" s="973" t="s">
        <v>86</v>
      </c>
      <c r="F21" s="12" t="s">
        <v>312</v>
      </c>
      <c r="G21" s="45" t="str">
        <f>"32-Gross Load, Line "&amp;'32-GrossLoad'!A7&amp;""</f>
        <v>32-Gross Load, Line 3</v>
      </c>
      <c r="H21" s="13"/>
      <c r="I21" s="13"/>
    </row>
    <row r="22" spans="1:9" x14ac:dyDescent="0.25">
      <c r="A22" s="2">
        <f>A21+1</f>
        <v>6</v>
      </c>
      <c r="D22" s="91" t="s">
        <v>1569</v>
      </c>
      <c r="E22" s="986">
        <v>0</v>
      </c>
      <c r="F22" s="15" t="s">
        <v>158</v>
      </c>
      <c r="G22" s="105" t="str">
        <f>"Line "&amp;A20&amp;" / (Line "&amp;A21&amp;" * 1000)"</f>
        <v>Line 4 / (Line 5 * 1000)</v>
      </c>
      <c r="H22" s="13"/>
      <c r="I22" s="13"/>
    </row>
    <row r="23" spans="1:9" x14ac:dyDescent="0.25">
      <c r="D23" s="35"/>
      <c r="G23" s="13"/>
      <c r="H23" s="13"/>
      <c r="I23" s="13"/>
    </row>
    <row r="24" spans="1:9" x14ac:dyDescent="0.25">
      <c r="G24" s="13"/>
      <c r="H24" s="13"/>
      <c r="I24" s="13"/>
    </row>
    <row r="25" spans="1:9" x14ac:dyDescent="0.25">
      <c r="B25" s="1" t="s">
        <v>160</v>
      </c>
      <c r="G25" s="13"/>
      <c r="H25" s="13"/>
      <c r="I25" s="13"/>
    </row>
    <row r="26" spans="1:9" x14ac:dyDescent="0.25">
      <c r="C26" s="50" t="s">
        <v>161</v>
      </c>
      <c r="G26" s="13"/>
      <c r="H26" s="13"/>
      <c r="I26" s="13"/>
    </row>
    <row r="27" spans="1:9" x14ac:dyDescent="0.25">
      <c r="G27" s="113" t="s">
        <v>198</v>
      </c>
      <c r="H27" s="13"/>
      <c r="I27" s="13"/>
    </row>
    <row r="28" spans="1:9" x14ac:dyDescent="0.25">
      <c r="A28" s="2">
        <f>A22+1</f>
        <v>7</v>
      </c>
      <c r="D28" s="35" t="s">
        <v>162</v>
      </c>
      <c r="E28" s="986">
        <v>0</v>
      </c>
      <c r="G28" s="45" t="str">
        <f>"29-WholesaleTRRs, Line "&amp;'29-WholesaleTRRs'!A27&amp;", C2"</f>
        <v>29-WholesaleTRRs, Line 13, C2</v>
      </c>
      <c r="H28" s="13"/>
      <c r="I28" s="13"/>
    </row>
    <row r="29" spans="1:9" x14ac:dyDescent="0.25">
      <c r="A29" s="2">
        <f>A28+1</f>
        <v>8</v>
      </c>
      <c r="D29" s="91" t="s">
        <v>1566</v>
      </c>
      <c r="E29" s="973" t="s">
        <v>86</v>
      </c>
      <c r="F29" s="12" t="s">
        <v>312</v>
      </c>
      <c r="G29" s="45" t="str">
        <f>"32-Gross Load, Line "&amp;'32-GrossLoad'!A7&amp;""</f>
        <v>32-Gross Load, Line 3</v>
      </c>
      <c r="H29" s="13"/>
      <c r="I29" s="13"/>
    </row>
    <row r="30" spans="1:9" x14ac:dyDescent="0.25">
      <c r="A30" s="2">
        <f>A29+1</f>
        <v>9</v>
      </c>
      <c r="D30" s="91" t="s">
        <v>1570</v>
      </c>
      <c r="E30" s="986">
        <v>0</v>
      </c>
      <c r="F30" s="15" t="s">
        <v>158</v>
      </c>
      <c r="G30" s="105" t="str">
        <f>"Line "&amp;A28&amp;" / (Line "&amp;A29&amp;" * 1000)"</f>
        <v>Line 7 / (Line 8 * 1000)</v>
      </c>
      <c r="H30" s="13"/>
      <c r="I30" s="13"/>
    </row>
    <row r="31" spans="1:9" x14ac:dyDescent="0.25">
      <c r="G31" s="13"/>
      <c r="H31" s="13"/>
      <c r="I31" s="13"/>
    </row>
    <row r="32" spans="1:9" x14ac:dyDescent="0.25">
      <c r="B32" s="1" t="s">
        <v>163</v>
      </c>
      <c r="G32" s="13"/>
      <c r="H32" s="13"/>
      <c r="I32" s="13"/>
    </row>
    <row r="33" spans="1:9" x14ac:dyDescent="0.25">
      <c r="G33" s="113" t="s">
        <v>198</v>
      </c>
      <c r="H33" s="13"/>
      <c r="I33" s="13"/>
    </row>
    <row r="34" spans="1:9" x14ac:dyDescent="0.25">
      <c r="A34" s="2">
        <f>A30+1</f>
        <v>10</v>
      </c>
      <c r="D34" s="91" t="s">
        <v>1571</v>
      </c>
      <c r="E34" s="986">
        <v>0</v>
      </c>
      <c r="G34" s="45" t="str">
        <f>"29-WholesaleTRRs, Line "&amp;'29-WholesaleTRRs'!A27&amp;", C2"</f>
        <v>29-WholesaleTRRs, Line 13, C2</v>
      </c>
      <c r="H34" s="13"/>
      <c r="I34" s="13"/>
    </row>
    <row r="35" spans="1:9" x14ac:dyDescent="0.25">
      <c r="A35" s="2">
        <f>A34+1</f>
        <v>11</v>
      </c>
      <c r="D35" s="91" t="s">
        <v>1572</v>
      </c>
      <c r="E35" s="973" t="s">
        <v>86</v>
      </c>
      <c r="F35" s="15" t="s">
        <v>164</v>
      </c>
      <c r="G35" s="45" t="str">
        <f>"32-Gross Load, Line "&amp;'32-GrossLoad'!A10&amp;""</f>
        <v>32-Gross Load, Line 4</v>
      </c>
      <c r="H35" s="13"/>
      <c r="I35" s="13"/>
    </row>
    <row r="36" spans="1:9" x14ac:dyDescent="0.25">
      <c r="A36" s="2">
        <f>A35+1</f>
        <v>12</v>
      </c>
      <c r="D36" s="91" t="s">
        <v>1573</v>
      </c>
      <c r="E36" s="986">
        <v>0</v>
      </c>
      <c r="F36" s="12" t="s">
        <v>357</v>
      </c>
      <c r="G36" s="105" t="str">
        <f>"Line "&amp;A34&amp;" / (Line "&amp;A35&amp;" * 1000)"</f>
        <v>Line 10 / (Line 11 * 1000)</v>
      </c>
      <c r="H36" s="13"/>
      <c r="I36" s="13"/>
    </row>
    <row r="37" spans="1:9" x14ac:dyDescent="0.25">
      <c r="G37" s="13"/>
      <c r="H37" s="13"/>
      <c r="I37" s="13"/>
    </row>
    <row r="38" spans="1:9" x14ac:dyDescent="0.25">
      <c r="B38" s="1" t="s">
        <v>165</v>
      </c>
      <c r="G38" s="13"/>
      <c r="H38" s="13"/>
      <c r="I38" s="13"/>
    </row>
    <row r="39" spans="1:9" x14ac:dyDescent="0.25">
      <c r="G39" s="3" t="s">
        <v>198</v>
      </c>
    </row>
    <row r="40" spans="1:9" x14ac:dyDescent="0.25">
      <c r="A40" s="2">
        <f>A36+1</f>
        <v>13</v>
      </c>
      <c r="D40" s="91" t="s">
        <v>1574</v>
      </c>
      <c r="E40" s="986">
        <v>0</v>
      </c>
      <c r="G40" s="45" t="str">
        <f>"29-WholesaleTRRs, Line "&amp;'29-WholesaleTRRs'!A27&amp;", C3"</f>
        <v>29-WholesaleTRRs, Line 13, C3</v>
      </c>
      <c r="H40" s="13"/>
      <c r="I40" s="13"/>
    </row>
    <row r="41" spans="1:9" x14ac:dyDescent="0.25">
      <c r="A41" s="2">
        <f>A40+1</f>
        <v>14</v>
      </c>
      <c r="D41" s="91" t="s">
        <v>1572</v>
      </c>
      <c r="E41" s="973" t="s">
        <v>86</v>
      </c>
      <c r="F41" s="15" t="s">
        <v>164</v>
      </c>
      <c r="G41" s="45" t="str">
        <f>"32-Gross Load, Line "&amp;'32-GrossLoad'!A10&amp;""</f>
        <v>32-Gross Load, Line 4</v>
      </c>
      <c r="H41" s="13"/>
      <c r="I41" s="13"/>
    </row>
    <row r="42" spans="1:9" x14ac:dyDescent="0.25">
      <c r="A42" s="2">
        <f>A41+1</f>
        <v>15</v>
      </c>
      <c r="D42" s="91" t="s">
        <v>1575</v>
      </c>
      <c r="E42" s="986">
        <v>0</v>
      </c>
      <c r="F42" s="12" t="s">
        <v>357</v>
      </c>
      <c r="G42" s="15" t="str">
        <f>"Line "&amp;A40&amp;" / (Line "&amp;A41&amp;" * 1000)"</f>
        <v>Line 13 / (Line 14 * 1000)</v>
      </c>
    </row>
    <row r="45" spans="1:9" x14ac:dyDescent="0.25">
      <c r="B45" s="49" t="s">
        <v>256</v>
      </c>
    </row>
    <row r="46" spans="1:9" x14ac:dyDescent="0.25">
      <c r="B46" s="11" t="s">
        <v>1595</v>
      </c>
    </row>
    <row r="47" spans="1:9" x14ac:dyDescent="0.25">
      <c r="B47" s="466" t="s">
        <v>2062</v>
      </c>
      <c r="D47" s="13"/>
    </row>
  </sheetData>
  <phoneticPr fontId="9" type="noConversion"/>
  <pageMargins left="0.75" right="0.75" top="1" bottom="1" header="0.5" footer="0.5"/>
  <pageSetup scale="84" orientation="portrait" cellComments="asDisplayed" r:id="rId1"/>
  <headerFooter alignWithMargins="0">
    <oddHeader xml:space="preserve">&amp;C&amp;"Arial,Bold"Schedule 30
Wholesale Rates&amp;"Arial,Regular"
</oddHeader>
    <oddFooter>&amp;R&amp;A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90" zoomScaleNormal="90" workbookViewId="0"/>
  </sheetViews>
  <sheetFormatPr defaultRowHeight="13.8" x14ac:dyDescent="0.3"/>
  <cols>
    <col min="1" max="1" width="4.6640625" customWidth="1"/>
    <col min="2" max="2" width="38" style="130" customWidth="1"/>
    <col min="3" max="3" width="16.33203125" style="130" customWidth="1"/>
    <col min="4" max="4" width="14.6640625" style="130" customWidth="1"/>
    <col min="5" max="5" width="16" style="130" customWidth="1"/>
    <col min="6" max="6" width="3.44140625" style="130" bestFit="1" customWidth="1"/>
    <col min="7" max="8" width="14.6640625" style="130" customWidth="1"/>
    <col min="9" max="9" width="17.33203125" style="130" customWidth="1"/>
    <col min="10" max="11" width="14.6640625" style="130" customWidth="1"/>
  </cols>
  <sheetData>
    <row r="1" spans="1:11" ht="13.2" x14ac:dyDescent="0.25">
      <c r="A1" s="234" t="s">
        <v>504</v>
      </c>
      <c r="B1" s="16"/>
      <c r="C1" s="16"/>
      <c r="D1" s="16"/>
      <c r="E1" s="16"/>
      <c r="F1" s="16"/>
      <c r="G1" s="16"/>
      <c r="H1" s="16"/>
      <c r="I1" s="16"/>
      <c r="J1" s="16"/>
      <c r="K1" s="16"/>
    </row>
    <row r="2" spans="1:11" ht="13.2" x14ac:dyDescent="0.25">
      <c r="A2" s="16" t="s">
        <v>514</v>
      </c>
      <c r="B2" s="16"/>
      <c r="C2" s="16"/>
      <c r="D2" s="16"/>
      <c r="E2" s="16"/>
      <c r="F2" s="16"/>
      <c r="G2" s="16"/>
      <c r="H2" s="16"/>
      <c r="I2" s="235" t="s">
        <v>496</v>
      </c>
      <c r="J2" s="235"/>
      <c r="K2" s="16"/>
    </row>
    <row r="3" spans="1:11" ht="13.2" x14ac:dyDescent="0.25">
      <c r="A3" s="11"/>
      <c r="B3" s="16"/>
      <c r="C3" s="16"/>
      <c r="D3" s="16"/>
      <c r="E3" s="16"/>
      <c r="F3" s="16"/>
      <c r="G3" s="16"/>
      <c r="H3" s="16"/>
      <c r="I3" s="16"/>
      <c r="J3" s="16"/>
      <c r="K3" s="16"/>
    </row>
    <row r="4" spans="1:11" ht="13.2" x14ac:dyDescent="0.25">
      <c r="A4" s="11"/>
      <c r="B4" s="16"/>
      <c r="C4" s="16"/>
      <c r="D4" s="16"/>
      <c r="E4" s="16"/>
      <c r="F4" s="16"/>
      <c r="G4" s="477" t="s">
        <v>1996</v>
      </c>
      <c r="H4" s="245"/>
      <c r="I4" s="245"/>
      <c r="J4" s="245"/>
      <c r="K4" s="16"/>
    </row>
    <row r="5" spans="1:11" x14ac:dyDescent="0.3">
      <c r="A5" s="11"/>
      <c r="B5" s="234" t="s">
        <v>526</v>
      </c>
      <c r="C5" s="16"/>
      <c r="D5" s="16"/>
      <c r="E5" s="16"/>
      <c r="F5" s="16"/>
      <c r="G5" s="477" t="s">
        <v>1997</v>
      </c>
      <c r="H5" s="908"/>
      <c r="I5" s="245"/>
      <c r="J5" s="245"/>
      <c r="K5" s="16"/>
    </row>
    <row r="6" spans="1:11" ht="13.2" x14ac:dyDescent="0.25">
      <c r="A6" s="11"/>
      <c r="B6" s="16"/>
      <c r="C6" s="25" t="s">
        <v>506</v>
      </c>
      <c r="D6" s="25"/>
      <c r="E6" s="25"/>
      <c r="F6" s="25"/>
      <c r="G6" s="25"/>
      <c r="H6" s="25"/>
      <c r="I6" s="25" t="s">
        <v>14</v>
      </c>
      <c r="J6" s="25" t="s">
        <v>15</v>
      </c>
      <c r="K6" s="25" t="s">
        <v>85</v>
      </c>
    </row>
    <row r="7" spans="1:11" ht="13.2" x14ac:dyDescent="0.25">
      <c r="A7" s="11"/>
      <c r="B7" s="234" t="s">
        <v>511</v>
      </c>
      <c r="C7" s="30" t="s">
        <v>507</v>
      </c>
      <c r="D7" s="30" t="s">
        <v>469</v>
      </c>
      <c r="E7" s="30" t="s">
        <v>501</v>
      </c>
      <c r="F7" s="30"/>
      <c r="G7" s="30" t="s">
        <v>508</v>
      </c>
      <c r="H7" s="30" t="s">
        <v>509</v>
      </c>
      <c r="I7" s="30" t="s">
        <v>501</v>
      </c>
      <c r="J7" s="30" t="s">
        <v>501</v>
      </c>
      <c r="K7" s="30" t="s">
        <v>510</v>
      </c>
    </row>
    <row r="8" spans="1:11" ht="13.2" x14ac:dyDescent="0.25">
      <c r="A8" s="3" t="s">
        <v>360</v>
      </c>
      <c r="B8" s="234"/>
      <c r="C8" s="30"/>
      <c r="D8" s="30"/>
      <c r="E8" s="30"/>
      <c r="F8" s="30"/>
      <c r="G8" s="30"/>
      <c r="H8" s="30"/>
      <c r="I8" s="30"/>
      <c r="J8" s="30"/>
      <c r="K8" s="30"/>
    </row>
    <row r="9" spans="1:11" ht="13.2" x14ac:dyDescent="0.25">
      <c r="A9" s="2">
        <v>1</v>
      </c>
      <c r="B9" s="236" t="s">
        <v>513</v>
      </c>
      <c r="C9" s="237"/>
      <c r="D9" s="238"/>
      <c r="E9" s="238"/>
      <c r="F9" s="239"/>
      <c r="G9" s="237"/>
      <c r="H9" s="240"/>
      <c r="I9" s="240"/>
      <c r="J9" s="240"/>
      <c r="K9" s="240"/>
    </row>
    <row r="10" spans="1:11" ht="13.2" x14ac:dyDescent="0.25">
      <c r="A10" s="2">
        <f>A9+1</f>
        <v>2</v>
      </c>
      <c r="B10" s="241" t="s">
        <v>1334</v>
      </c>
      <c r="C10" s="986">
        <v>0</v>
      </c>
      <c r="D10" s="986">
        <v>0</v>
      </c>
      <c r="E10" s="986">
        <v>0</v>
      </c>
      <c r="F10" s="242"/>
      <c r="G10" s="977">
        <v>0</v>
      </c>
      <c r="H10" s="977">
        <v>0</v>
      </c>
      <c r="I10" s="977">
        <v>0</v>
      </c>
      <c r="J10" s="977">
        <v>0</v>
      </c>
      <c r="K10" s="977">
        <v>0</v>
      </c>
    </row>
    <row r="11" spans="1:11" ht="15" x14ac:dyDescent="0.4">
      <c r="A11" s="2">
        <f t="shared" ref="A11:A47" si="0">A10+1</f>
        <v>3</v>
      </c>
      <c r="B11" s="241" t="s">
        <v>505</v>
      </c>
      <c r="C11" s="987">
        <v>0</v>
      </c>
      <c r="D11" s="987">
        <v>0</v>
      </c>
      <c r="E11" s="987">
        <v>0</v>
      </c>
      <c r="F11" s="243"/>
      <c r="G11" s="978">
        <v>0</v>
      </c>
      <c r="H11" s="978">
        <v>0</v>
      </c>
      <c r="I11" s="978">
        <v>0</v>
      </c>
      <c r="J11" s="978">
        <v>0</v>
      </c>
      <c r="K11" s="978">
        <v>0</v>
      </c>
    </row>
    <row r="12" spans="1:11" ht="13.2" x14ac:dyDescent="0.25">
      <c r="A12" s="2">
        <f t="shared" si="0"/>
        <v>4</v>
      </c>
      <c r="B12" s="916" t="s">
        <v>1995</v>
      </c>
      <c r="C12" s="986">
        <v>0</v>
      </c>
      <c r="D12" s="986">
        <v>0</v>
      </c>
      <c r="E12" s="986">
        <v>0</v>
      </c>
      <c r="F12" s="244"/>
      <c r="G12" s="986">
        <v>0</v>
      </c>
      <c r="H12" s="986">
        <v>0</v>
      </c>
      <c r="I12" s="986">
        <v>0</v>
      </c>
      <c r="J12" s="986">
        <v>0</v>
      </c>
      <c r="K12" s="986">
        <v>0</v>
      </c>
    </row>
    <row r="13" spans="1:11" ht="13.2" x14ac:dyDescent="0.25">
      <c r="A13" s="2">
        <f t="shared" si="0"/>
        <v>5</v>
      </c>
      <c r="B13" s="245"/>
      <c r="C13" s="246"/>
      <c r="D13" s="246"/>
      <c r="E13" s="246"/>
      <c r="F13" s="247"/>
      <c r="G13" s="246"/>
      <c r="H13" s="248"/>
      <c r="I13" s="249"/>
      <c r="J13" s="248"/>
      <c r="K13" s="248"/>
    </row>
    <row r="14" spans="1:11" ht="13.2" x14ac:dyDescent="0.25">
      <c r="A14" s="2">
        <f t="shared" si="0"/>
        <v>6</v>
      </c>
      <c r="B14" s="250" t="s">
        <v>502</v>
      </c>
      <c r="C14" s="246"/>
      <c r="D14" s="246"/>
      <c r="E14" s="246"/>
      <c r="F14" s="247"/>
      <c r="G14" s="246"/>
      <c r="H14" s="248"/>
      <c r="I14" s="249"/>
      <c r="J14" s="248"/>
      <c r="K14" s="248"/>
    </row>
    <row r="15" spans="1:11" ht="13.2" x14ac:dyDescent="0.25">
      <c r="A15" s="2">
        <f t="shared" si="0"/>
        <v>7</v>
      </c>
      <c r="B15" s="251" t="s">
        <v>512</v>
      </c>
      <c r="C15" s="986">
        <v>0</v>
      </c>
      <c r="D15" s="986">
        <v>0</v>
      </c>
      <c r="E15" s="986">
        <v>0</v>
      </c>
      <c r="F15" s="252"/>
      <c r="G15" s="977">
        <v>0</v>
      </c>
      <c r="H15" s="977">
        <v>0</v>
      </c>
      <c r="I15" s="977">
        <v>0</v>
      </c>
      <c r="J15" s="977">
        <v>0</v>
      </c>
      <c r="K15" s="977">
        <v>0</v>
      </c>
    </row>
    <row r="16" spans="1:11" ht="13.2" x14ac:dyDescent="0.25">
      <c r="A16" s="2">
        <f t="shared" si="0"/>
        <v>8</v>
      </c>
      <c r="B16" s="878" t="s">
        <v>2710</v>
      </c>
      <c r="C16" s="986">
        <v>0</v>
      </c>
      <c r="D16" s="986">
        <v>0</v>
      </c>
      <c r="E16" s="986">
        <v>0</v>
      </c>
      <c r="F16" s="247"/>
      <c r="G16" s="977">
        <v>0</v>
      </c>
      <c r="H16" s="977">
        <v>0</v>
      </c>
      <c r="I16" s="977">
        <v>0</v>
      </c>
      <c r="J16" s="977">
        <v>0</v>
      </c>
      <c r="K16" s="977">
        <v>0</v>
      </c>
    </row>
    <row r="17" spans="1:11" ht="15" x14ac:dyDescent="0.4">
      <c r="A17" s="2">
        <f t="shared" si="0"/>
        <v>9</v>
      </c>
      <c r="B17" s="1035" t="s">
        <v>2781</v>
      </c>
      <c r="C17" s="987">
        <v>0</v>
      </c>
      <c r="D17" s="987">
        <v>0</v>
      </c>
      <c r="E17" s="987">
        <v>0</v>
      </c>
      <c r="F17" s="253"/>
      <c r="G17" s="978">
        <v>0</v>
      </c>
      <c r="H17" s="978">
        <v>0</v>
      </c>
      <c r="I17" s="978">
        <v>0</v>
      </c>
      <c r="J17" s="978">
        <v>0</v>
      </c>
      <c r="K17" s="978">
        <v>0</v>
      </c>
    </row>
    <row r="18" spans="1:11" ht="13.2" x14ac:dyDescent="0.25">
      <c r="A18" s="2">
        <f t="shared" si="0"/>
        <v>10</v>
      </c>
      <c r="B18" s="917" t="s">
        <v>2197</v>
      </c>
      <c r="C18" s="986">
        <v>0</v>
      </c>
      <c r="D18" s="986">
        <v>0</v>
      </c>
      <c r="E18" s="986">
        <v>0</v>
      </c>
      <c r="F18" s="255"/>
      <c r="G18" s="986">
        <v>0</v>
      </c>
      <c r="H18" s="986">
        <v>0</v>
      </c>
      <c r="I18" s="986">
        <v>0</v>
      </c>
      <c r="J18" s="986">
        <v>0</v>
      </c>
      <c r="K18" s="986">
        <v>0</v>
      </c>
    </row>
    <row r="19" spans="1:11" ht="13.2" x14ac:dyDescent="0.25">
      <c r="A19" s="2">
        <f t="shared" si="0"/>
        <v>11</v>
      </c>
      <c r="B19" s="16"/>
      <c r="C19" s="256"/>
      <c r="D19" s="256"/>
      <c r="E19" s="256"/>
      <c r="F19" s="257"/>
      <c r="G19" s="256"/>
      <c r="H19" s="256"/>
      <c r="I19" s="256"/>
      <c r="J19" s="256"/>
      <c r="K19" s="256"/>
    </row>
    <row r="20" spans="1:11" ht="13.2" x14ac:dyDescent="0.25">
      <c r="A20" s="2">
        <f t="shared" si="0"/>
        <v>12</v>
      </c>
      <c r="B20" s="254" t="s">
        <v>503</v>
      </c>
      <c r="C20" s="986">
        <v>0</v>
      </c>
      <c r="D20" s="986">
        <v>0</v>
      </c>
      <c r="E20" s="986">
        <v>0</v>
      </c>
      <c r="F20" s="258"/>
      <c r="G20" s="986">
        <v>0</v>
      </c>
      <c r="H20" s="986">
        <v>0</v>
      </c>
      <c r="I20" s="986">
        <v>0</v>
      </c>
      <c r="J20" s="986">
        <v>0</v>
      </c>
      <c r="K20" s="986">
        <v>0</v>
      </c>
    </row>
    <row r="21" spans="1:11" ht="13.2" x14ac:dyDescent="0.25">
      <c r="A21" s="2">
        <f t="shared" si="0"/>
        <v>13</v>
      </c>
      <c r="B21" s="16"/>
      <c r="C21" s="259"/>
      <c r="D21" s="260"/>
      <c r="E21" s="259"/>
      <c r="F21" s="16"/>
      <c r="G21" s="259"/>
      <c r="H21" s="259"/>
      <c r="I21" s="259"/>
      <c r="J21" s="259"/>
      <c r="K21" s="259"/>
    </row>
    <row r="22" spans="1:11" ht="13.2" x14ac:dyDescent="0.25">
      <c r="A22" s="2">
        <f t="shared" si="0"/>
        <v>14</v>
      </c>
      <c r="B22" s="16"/>
      <c r="C22" s="259"/>
      <c r="D22" s="260"/>
      <c r="E22" s="259"/>
      <c r="F22" s="16"/>
      <c r="G22" s="259"/>
      <c r="H22" s="259"/>
      <c r="I22" s="259"/>
      <c r="J22" s="259"/>
      <c r="K22" s="259"/>
    </row>
    <row r="23" spans="1:11" ht="13.2" x14ac:dyDescent="0.25">
      <c r="A23" s="2">
        <f t="shared" si="0"/>
        <v>15</v>
      </c>
      <c r="B23" s="479" t="s">
        <v>2715</v>
      </c>
      <c r="C23" s="259"/>
      <c r="D23" s="260"/>
      <c r="E23" s="259"/>
      <c r="F23" s="16"/>
      <c r="G23" s="259"/>
      <c r="H23" s="259"/>
      <c r="I23" s="259"/>
      <c r="J23" s="259"/>
      <c r="K23" s="259"/>
    </row>
    <row r="24" spans="1:11" ht="13.2" x14ac:dyDescent="0.25">
      <c r="A24" s="2">
        <f t="shared" si="0"/>
        <v>16</v>
      </c>
      <c r="B24" s="16"/>
      <c r="C24" s="261" t="s">
        <v>516</v>
      </c>
      <c r="D24" s="25" t="s">
        <v>517</v>
      </c>
      <c r="E24" s="25"/>
      <c r="F24" s="16"/>
      <c r="G24" s="16"/>
      <c r="H24" s="16"/>
      <c r="I24" s="16"/>
      <c r="J24" s="16"/>
      <c r="K24" s="16"/>
    </row>
    <row r="25" spans="1:11" ht="13.2" x14ac:dyDescent="0.25">
      <c r="A25" s="2">
        <f t="shared" si="0"/>
        <v>17</v>
      </c>
      <c r="B25" s="16" t="s">
        <v>359</v>
      </c>
      <c r="C25" s="30" t="s">
        <v>515</v>
      </c>
      <c r="D25" s="30" t="s">
        <v>515</v>
      </c>
      <c r="E25" s="30" t="s">
        <v>215</v>
      </c>
      <c r="F25" s="16"/>
      <c r="G25" s="262" t="s">
        <v>256</v>
      </c>
      <c r="H25" s="16"/>
      <c r="I25" s="16"/>
      <c r="J25" s="16"/>
      <c r="K25" s="16"/>
    </row>
    <row r="26" spans="1:11" ht="13.2" x14ac:dyDescent="0.25">
      <c r="A26" s="2">
        <f t="shared" si="0"/>
        <v>18</v>
      </c>
      <c r="B26" s="78" t="s">
        <v>469</v>
      </c>
      <c r="C26" s="986">
        <v>0</v>
      </c>
      <c r="D26" s="986">
        <v>0</v>
      </c>
      <c r="E26" s="986">
        <v>0</v>
      </c>
      <c r="F26" s="16"/>
      <c r="G26" s="16" t="s">
        <v>521</v>
      </c>
      <c r="H26" s="16"/>
      <c r="I26" s="16"/>
      <c r="J26" s="16"/>
      <c r="K26" s="16"/>
    </row>
    <row r="27" spans="1:11" ht="13.2" x14ac:dyDescent="0.25">
      <c r="A27" s="2">
        <f t="shared" si="0"/>
        <v>19</v>
      </c>
      <c r="B27" s="78" t="s">
        <v>501</v>
      </c>
      <c r="C27" s="986">
        <v>0</v>
      </c>
      <c r="D27" s="986">
        <v>0</v>
      </c>
      <c r="E27" s="986">
        <v>0</v>
      </c>
      <c r="F27" s="16"/>
      <c r="G27" s="16" t="s">
        <v>521</v>
      </c>
      <c r="H27" s="16"/>
      <c r="I27" s="16"/>
      <c r="J27" s="16"/>
      <c r="K27" s="16"/>
    </row>
    <row r="28" spans="1:11" ht="13.2" x14ac:dyDescent="0.25">
      <c r="A28" s="2">
        <f t="shared" si="0"/>
        <v>20</v>
      </c>
      <c r="B28" s="31" t="s">
        <v>519</v>
      </c>
      <c r="C28" s="986">
        <v>0</v>
      </c>
      <c r="D28" s="986">
        <v>0</v>
      </c>
      <c r="E28" s="986">
        <v>0</v>
      </c>
      <c r="F28" s="16"/>
      <c r="G28" s="16" t="s">
        <v>522</v>
      </c>
      <c r="H28" s="16"/>
      <c r="I28" s="16"/>
      <c r="J28" s="16"/>
      <c r="K28" s="16"/>
    </row>
    <row r="29" spans="1:11" ht="13.2" x14ac:dyDescent="0.25">
      <c r="A29" s="2">
        <f t="shared" si="0"/>
        <v>21</v>
      </c>
      <c r="B29" s="263" t="s">
        <v>518</v>
      </c>
      <c r="C29" s="970" t="s">
        <v>2690</v>
      </c>
      <c r="D29" s="970" t="s">
        <v>2690</v>
      </c>
      <c r="E29" s="264"/>
      <c r="F29" s="265"/>
      <c r="G29" s="266" t="s">
        <v>523</v>
      </c>
      <c r="H29" s="16"/>
      <c r="I29" s="16"/>
      <c r="J29" s="16"/>
      <c r="K29" s="265"/>
    </row>
    <row r="30" spans="1:11" ht="13.2" x14ac:dyDescent="0.25">
      <c r="A30" s="2">
        <f t="shared" si="0"/>
        <v>22</v>
      </c>
      <c r="B30" s="267"/>
      <c r="C30" s="268"/>
      <c r="D30" s="268"/>
      <c r="E30" s="268"/>
      <c r="F30" s="18"/>
      <c r="G30" s="18"/>
      <c r="H30" s="18"/>
      <c r="I30" s="18"/>
      <c r="J30" s="18"/>
      <c r="K30" s="18"/>
    </row>
    <row r="31" spans="1:11" ht="13.2" x14ac:dyDescent="0.25">
      <c r="A31" s="103">
        <f t="shared" si="0"/>
        <v>23</v>
      </c>
      <c r="B31" s="245" t="s">
        <v>520</v>
      </c>
      <c r="C31" s="986">
        <v>0</v>
      </c>
      <c r="D31" s="986">
        <v>0</v>
      </c>
      <c r="E31" s="986">
        <v>0</v>
      </c>
      <c r="F31" s="245"/>
      <c r="G31" s="477" t="str">
        <f>"Straddling Transformers split by Gross Plant Percentages on Line "&amp;A29&amp;""</f>
        <v>Straddling Transformers split by Gross Plant Percentages on Line 21</v>
      </c>
      <c r="H31" s="245"/>
      <c r="I31" s="245"/>
      <c r="J31" s="245"/>
      <c r="K31" s="16"/>
    </row>
    <row r="32" spans="1:11" x14ac:dyDescent="0.3">
      <c r="A32" s="103">
        <f t="shared" si="0"/>
        <v>24</v>
      </c>
      <c r="B32" s="618" t="s">
        <v>1930</v>
      </c>
      <c r="C32" s="986">
        <v>0</v>
      </c>
      <c r="D32" s="986">
        <v>0</v>
      </c>
      <c r="E32" s="986">
        <v>0</v>
      </c>
      <c r="F32" s="618"/>
      <c r="G32" s="618" t="s">
        <v>1931</v>
      </c>
      <c r="H32" s="909"/>
      <c r="I32" s="245"/>
      <c r="J32" s="245"/>
      <c r="K32" s="16"/>
    </row>
    <row r="33" spans="1:11" ht="13.2" x14ac:dyDescent="0.25">
      <c r="A33" s="103">
        <f t="shared" si="0"/>
        <v>25</v>
      </c>
      <c r="B33" s="245" t="s">
        <v>524</v>
      </c>
      <c r="C33" s="986">
        <v>0</v>
      </c>
      <c r="D33" s="986">
        <v>0</v>
      </c>
      <c r="E33" s="986">
        <v>0</v>
      </c>
      <c r="F33" s="245"/>
      <c r="G33" s="618" t="str">
        <f>"Line "&amp;A28&amp;" + Line "&amp;A31&amp;" + Line "&amp;A32&amp;""</f>
        <v>Line 20 + Line 23 + Line 24</v>
      </c>
      <c r="H33" s="618"/>
      <c r="I33" s="245"/>
      <c r="J33" s="245"/>
      <c r="K33" s="16"/>
    </row>
    <row r="34" spans="1:11" ht="13.2" x14ac:dyDescent="0.25">
      <c r="A34" s="103">
        <f t="shared" si="0"/>
        <v>26</v>
      </c>
      <c r="B34" s="245"/>
      <c r="C34" s="269"/>
      <c r="D34" s="269"/>
      <c r="E34" s="910"/>
      <c r="F34" s="245"/>
      <c r="G34" s="245"/>
      <c r="H34" s="245"/>
      <c r="I34" s="245"/>
      <c r="J34" s="245"/>
      <c r="K34" s="16"/>
    </row>
    <row r="35" spans="1:11" ht="13.2" x14ac:dyDescent="0.25">
      <c r="A35" s="103">
        <f t="shared" si="0"/>
        <v>27</v>
      </c>
      <c r="B35" s="245"/>
      <c r="C35" s="911"/>
      <c r="D35" s="911"/>
      <c r="E35" s="245"/>
      <c r="F35" s="245"/>
      <c r="G35" s="911"/>
      <c r="H35" s="911"/>
      <c r="I35" s="911"/>
      <c r="J35" s="245"/>
      <c r="K35" s="16"/>
    </row>
    <row r="36" spans="1:11" ht="13.2" x14ac:dyDescent="0.25">
      <c r="A36" s="103">
        <f t="shared" si="0"/>
        <v>28</v>
      </c>
      <c r="B36" s="250" t="s">
        <v>527</v>
      </c>
      <c r="C36" s="245"/>
      <c r="D36" s="245"/>
      <c r="E36" s="245"/>
      <c r="F36" s="245"/>
      <c r="G36" s="245"/>
      <c r="H36" s="245"/>
      <c r="I36" s="245"/>
      <c r="J36" s="245"/>
      <c r="K36" s="16"/>
    </row>
    <row r="37" spans="1:11" ht="13.2" x14ac:dyDescent="0.25">
      <c r="A37" s="103">
        <f t="shared" si="0"/>
        <v>29</v>
      </c>
      <c r="B37" s="250"/>
      <c r="C37" s="245"/>
      <c r="D37" s="245"/>
      <c r="E37" s="245"/>
      <c r="F37" s="245"/>
      <c r="G37" s="245"/>
      <c r="H37" s="245"/>
      <c r="I37" s="245"/>
      <c r="J37" s="245"/>
      <c r="K37" s="16"/>
    </row>
    <row r="38" spans="1:11" ht="13.2" x14ac:dyDescent="0.25">
      <c r="A38" s="103">
        <f t="shared" si="0"/>
        <v>30</v>
      </c>
      <c r="B38" s="250"/>
      <c r="C38" s="912" t="s">
        <v>516</v>
      </c>
      <c r="D38" s="411" t="s">
        <v>517</v>
      </c>
      <c r="E38" s="411"/>
      <c r="F38" s="245"/>
      <c r="G38" s="245"/>
      <c r="H38" s="245"/>
      <c r="I38" s="245"/>
      <c r="J38" s="245"/>
      <c r="K38" s="16"/>
    </row>
    <row r="39" spans="1:11" ht="13.2" x14ac:dyDescent="0.25">
      <c r="A39" s="103">
        <f t="shared" si="0"/>
        <v>31</v>
      </c>
      <c r="B39" s="250"/>
      <c r="C39" s="455" t="s">
        <v>515</v>
      </c>
      <c r="D39" s="455" t="s">
        <v>515</v>
      </c>
      <c r="E39" s="455" t="s">
        <v>215</v>
      </c>
      <c r="F39" s="245"/>
      <c r="G39" s="913" t="s">
        <v>256</v>
      </c>
      <c r="H39" s="245"/>
      <c r="I39" s="245"/>
      <c r="J39" s="245"/>
      <c r="K39" s="16"/>
    </row>
    <row r="40" spans="1:11" ht="13.2" x14ac:dyDescent="0.25">
      <c r="A40" s="103">
        <f t="shared" si="0"/>
        <v>32</v>
      </c>
      <c r="B40" s="245" t="s">
        <v>524</v>
      </c>
      <c r="C40" s="986">
        <v>0</v>
      </c>
      <c r="D40" s="986">
        <v>0</v>
      </c>
      <c r="E40" s="986">
        <v>0</v>
      </c>
      <c r="F40" s="245"/>
      <c r="G40" s="245" t="str">
        <f>"Line "&amp;A33&amp;""</f>
        <v>Line 25</v>
      </c>
      <c r="H40" s="245"/>
      <c r="I40" s="245"/>
      <c r="J40" s="245"/>
      <c r="K40" s="16"/>
    </row>
    <row r="41" spans="1:11" ht="13.2" x14ac:dyDescent="0.25">
      <c r="A41" s="103">
        <f t="shared" si="0"/>
        <v>33</v>
      </c>
      <c r="B41" s="477" t="s">
        <v>1835</v>
      </c>
      <c r="C41" s="986">
        <v>0</v>
      </c>
      <c r="D41" s="986">
        <v>0</v>
      </c>
      <c r="E41" s="986">
        <v>0</v>
      </c>
      <c r="F41" s="245"/>
      <c r="G41" s="245" t="str">
        <f>"13-Month Average: 16-PlantAdditions, Line "&amp;'16-PlantAdditions'!A37&amp;", Cols 7  (for Total) and 12 (for LV).  HV = C7 - C12."</f>
        <v>13-Month Average: 16-PlantAdditions, Line 25, Cols 7  (for Total) and 12 (for LV).  HV = C7 - C12.</v>
      </c>
      <c r="H41" s="245"/>
      <c r="I41" s="245"/>
      <c r="J41" s="245"/>
      <c r="K41" s="16"/>
    </row>
    <row r="42" spans="1:11" ht="15" x14ac:dyDescent="0.4">
      <c r="A42" s="103">
        <f t="shared" si="0"/>
        <v>34</v>
      </c>
      <c r="B42" s="477" t="s">
        <v>1834</v>
      </c>
      <c r="C42" s="987">
        <v>0</v>
      </c>
      <c r="D42" s="987">
        <v>0</v>
      </c>
      <c r="E42" s="987">
        <v>0</v>
      </c>
      <c r="F42" s="245"/>
      <c r="G42" s="245" t="str">
        <f>"13 Month Average: 10-CWIP, Line "&amp;'10-CWIP'!A79&amp;", Col. 8"</f>
        <v>13 Month Average: 10-CWIP, Line 54, Col. 8</v>
      </c>
      <c r="H42" s="245"/>
      <c r="I42" s="245"/>
      <c r="J42" s="245"/>
      <c r="K42" s="16"/>
    </row>
    <row r="43" spans="1:11" ht="13.2" x14ac:dyDescent="0.25">
      <c r="A43" s="103">
        <f t="shared" si="0"/>
        <v>35</v>
      </c>
      <c r="B43" s="245" t="s">
        <v>525</v>
      </c>
      <c r="C43" s="986">
        <v>0</v>
      </c>
      <c r="D43" s="986">
        <v>0</v>
      </c>
      <c r="E43" s="986">
        <v>0</v>
      </c>
      <c r="F43" s="245"/>
      <c r="G43" s="245" t="str">
        <f>"Line "&amp;A40&amp;" + Line "&amp;A41&amp;" + Line "&amp;A42&amp;""</f>
        <v>Line 32 + Line 33 + Line 34</v>
      </c>
      <c r="H43" s="245"/>
      <c r="I43" s="245"/>
      <c r="J43" s="245"/>
      <c r="K43" s="16"/>
    </row>
    <row r="44" spans="1:11" ht="13.2" x14ac:dyDescent="0.25">
      <c r="A44" s="103">
        <f t="shared" si="0"/>
        <v>36</v>
      </c>
      <c r="B44" s="245"/>
      <c r="C44" s="245"/>
      <c r="D44" s="245"/>
      <c r="E44" s="245"/>
      <c r="F44" s="245"/>
      <c r="G44" s="245"/>
      <c r="H44" s="245"/>
      <c r="I44" s="245"/>
      <c r="J44" s="245"/>
      <c r="K44" s="16"/>
    </row>
    <row r="45" spans="1:11" ht="13.2" x14ac:dyDescent="0.25">
      <c r="A45" s="103">
        <f t="shared" si="0"/>
        <v>37</v>
      </c>
      <c r="B45" s="245" t="s">
        <v>1257</v>
      </c>
      <c r="C45" s="970" t="s">
        <v>2690</v>
      </c>
      <c r="D45" s="970" t="s">
        <v>2690</v>
      </c>
      <c r="E45" s="245"/>
      <c r="F45" s="245"/>
      <c r="G45" s="914" t="str">
        <f>"Percent of Total on Line "&amp;A43&amp;""</f>
        <v>Percent of Total on Line 35</v>
      </c>
      <c r="H45" s="245"/>
      <c r="I45" s="245"/>
      <c r="J45" s="245"/>
      <c r="K45" s="16"/>
    </row>
    <row r="46" spans="1:11" ht="13.2" x14ac:dyDescent="0.25">
      <c r="A46" s="103">
        <f t="shared" si="0"/>
        <v>38</v>
      </c>
      <c r="B46" s="915" t="s">
        <v>1654</v>
      </c>
      <c r="C46" s="245"/>
      <c r="D46" s="245"/>
      <c r="E46" s="245"/>
      <c r="F46" s="245"/>
      <c r="G46" s="245"/>
      <c r="H46" s="245"/>
      <c r="I46" s="245"/>
      <c r="J46" s="245"/>
      <c r="K46" s="16"/>
    </row>
    <row r="47" spans="1:11" ht="13.2" x14ac:dyDescent="0.25">
      <c r="A47" s="103">
        <f t="shared" si="0"/>
        <v>39</v>
      </c>
      <c r="B47" s="477" t="s">
        <v>1838</v>
      </c>
      <c r="C47" s="245"/>
      <c r="D47" s="245"/>
      <c r="E47" s="245"/>
      <c r="F47" s="245"/>
      <c r="G47" s="245"/>
      <c r="H47" s="245"/>
      <c r="I47" s="245"/>
      <c r="J47" s="245"/>
      <c r="K47" s="16"/>
    </row>
    <row r="48" spans="1:11" ht="13.2" x14ac:dyDescent="0.25">
      <c r="A48" s="11"/>
      <c r="B48" s="1"/>
      <c r="C48" s="16"/>
      <c r="D48" s="16"/>
      <c r="E48" s="16"/>
      <c r="F48" s="16"/>
      <c r="G48" s="16"/>
      <c r="H48" s="16"/>
      <c r="I48" s="16"/>
      <c r="J48" s="16"/>
      <c r="K48" s="16"/>
    </row>
    <row r="49" spans="1:11" ht="13.2" x14ac:dyDescent="0.25">
      <c r="A49" s="11"/>
      <c r="B49" s="43" t="s">
        <v>256</v>
      </c>
      <c r="C49" s="618"/>
      <c r="D49" s="618"/>
      <c r="E49" s="618"/>
      <c r="F49" s="618"/>
      <c r="G49" s="618"/>
      <c r="H49" s="618"/>
      <c r="I49" s="16"/>
      <c r="J49" s="16"/>
      <c r="K49" s="16"/>
    </row>
    <row r="50" spans="1:11" ht="13.2" x14ac:dyDescent="0.25">
      <c r="A50" s="11"/>
      <c r="B50" s="618" t="s">
        <v>1932</v>
      </c>
      <c r="C50" s="618"/>
      <c r="D50" s="618"/>
      <c r="E50" s="618"/>
      <c r="F50" s="618"/>
      <c r="G50" s="618"/>
      <c r="H50" s="618"/>
      <c r="I50" s="16"/>
      <c r="J50" s="16"/>
      <c r="K50" s="16"/>
    </row>
    <row r="51" spans="1:11" x14ac:dyDescent="0.3">
      <c r="B51" s="618" t="s">
        <v>1933</v>
      </c>
      <c r="C51" s="909"/>
      <c r="D51" s="909"/>
      <c r="E51" s="909"/>
      <c r="F51" s="909"/>
      <c r="G51" s="909"/>
      <c r="H51" s="909"/>
    </row>
  </sheetData>
  <pageMargins left="0.7" right="0.7" top="0.75" bottom="0.75" header="0.3" footer="0.3"/>
  <pageSetup scale="70" orientation="landscape" cellComments="asDisplayed" r:id="rId1"/>
  <headerFooter>
    <oddHeader xml:space="preserve">&amp;C&amp;"Arial,Bold"Schedule 31
High and Low Voltage Gross Plant&amp;"Arial,Regular"
</oddHeader>
    <oddFooter>&amp;R31-HVLV</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selection activeCell="F7" sqref="F7"/>
    </sheetView>
  </sheetViews>
  <sheetFormatPr defaultRowHeight="13.2" x14ac:dyDescent="0.25"/>
  <cols>
    <col min="1" max="1" width="4.6640625" customWidth="1"/>
    <col min="5" max="5" width="3.109375" customWidth="1"/>
    <col min="6" max="6" width="12.6640625" customWidth="1"/>
    <col min="7" max="7" width="22.6640625" customWidth="1"/>
    <col min="8" max="8" width="25.6640625" customWidth="1"/>
  </cols>
  <sheetData>
    <row r="1" spans="1:8" x14ac:dyDescent="0.25">
      <c r="A1" s="1" t="s">
        <v>1854</v>
      </c>
    </row>
    <row r="3" spans="1:8" x14ac:dyDescent="0.25">
      <c r="G3" s="2"/>
    </row>
    <row r="4" spans="1:8" x14ac:dyDescent="0.25">
      <c r="A4" s="3" t="s">
        <v>360</v>
      </c>
      <c r="F4" s="3" t="s">
        <v>312</v>
      </c>
      <c r="G4" s="3" t="s">
        <v>171</v>
      </c>
      <c r="H4" s="49" t="s">
        <v>198</v>
      </c>
    </row>
    <row r="5" spans="1:8" x14ac:dyDescent="0.25">
      <c r="A5" s="2">
        <v>1</v>
      </c>
      <c r="B5" s="466" t="s">
        <v>366</v>
      </c>
      <c r="F5" s="1002" t="s">
        <v>86</v>
      </c>
      <c r="G5" s="15"/>
      <c r="H5" t="s">
        <v>395</v>
      </c>
    </row>
    <row r="6" spans="1:8" x14ac:dyDescent="0.25">
      <c r="A6" s="2">
        <v>2</v>
      </c>
      <c r="B6" s="11" t="s">
        <v>367</v>
      </c>
      <c r="F6" s="1004" t="s">
        <v>86</v>
      </c>
      <c r="G6" s="15"/>
      <c r="H6" t="s">
        <v>396</v>
      </c>
    </row>
    <row r="7" spans="1:8" x14ac:dyDescent="0.25">
      <c r="A7" s="2">
        <v>3</v>
      </c>
      <c r="B7" s="48" t="s">
        <v>355</v>
      </c>
      <c r="F7" s="1003" t="s">
        <v>86</v>
      </c>
      <c r="G7" s="12" t="s">
        <v>368</v>
      </c>
      <c r="H7" s="11" t="s">
        <v>356</v>
      </c>
    </row>
    <row r="8" spans="1:8" x14ac:dyDescent="0.25">
      <c r="A8" s="2"/>
      <c r="F8" s="485"/>
      <c r="G8" s="15"/>
    </row>
    <row r="9" spans="1:8" x14ac:dyDescent="0.25">
      <c r="A9" s="2"/>
      <c r="F9" s="485"/>
      <c r="G9" s="15"/>
    </row>
    <row r="10" spans="1:8" x14ac:dyDescent="0.25">
      <c r="A10" s="2">
        <v>4</v>
      </c>
      <c r="B10" s="468" t="s">
        <v>2684</v>
      </c>
      <c r="C10" s="13"/>
      <c r="D10" s="13"/>
      <c r="E10" s="35"/>
      <c r="F10" s="1002" t="s">
        <v>86</v>
      </c>
      <c r="G10" s="15"/>
      <c r="H10" s="11" t="s">
        <v>395</v>
      </c>
    </row>
    <row r="13" spans="1:8" x14ac:dyDescent="0.25">
      <c r="B13" s="49" t="s">
        <v>256</v>
      </c>
    </row>
    <row r="14" spans="1:8" x14ac:dyDescent="0.25">
      <c r="B14" s="11" t="s">
        <v>1366</v>
      </c>
    </row>
    <row r="15" spans="1:8" x14ac:dyDescent="0.25">
      <c r="B15" s="11" t="s">
        <v>1367</v>
      </c>
    </row>
    <row r="16" spans="1:8" x14ac:dyDescent="0.25">
      <c r="B16" s="468" t="s">
        <v>2217</v>
      </c>
      <c r="C16" s="13"/>
      <c r="D16" s="13"/>
      <c r="E16" s="13"/>
      <c r="F16" s="13"/>
      <c r="G16" s="13"/>
      <c r="H16" s="13"/>
    </row>
    <row r="18" spans="2:2" ht="15.6" x14ac:dyDescent="0.3">
      <c r="B18" s="599"/>
    </row>
  </sheetData>
  <pageMargins left="0.7" right="0.7" top="0.75" bottom="0.75" header="0.3" footer="0.3"/>
  <pageSetup orientation="landscape" cellComments="asDisplayed" r:id="rId1"/>
  <headerFooter>
    <oddHeader xml:space="preserve">&amp;C&amp;"Arial,Bold"Schedule 32 
Gross Load&amp;"Arial,Regular"
</oddHeader>
    <oddFooter>&amp;R&amp;A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0"/>
  <sheetViews>
    <sheetView zoomScale="80" zoomScaleNormal="80" zoomScalePageLayoutView="75" workbookViewId="0"/>
  </sheetViews>
  <sheetFormatPr defaultColWidth="9.109375" defaultRowHeight="13.2" x14ac:dyDescent="0.25"/>
  <cols>
    <col min="1" max="1" width="5.44140625" style="739" customWidth="1"/>
    <col min="2" max="2" width="18.5546875" style="739" customWidth="1"/>
    <col min="3" max="12" width="15.77734375" style="739" customWidth="1"/>
    <col min="13" max="13" width="15.77734375" style="738" customWidth="1"/>
    <col min="14" max="14" width="15.77734375" style="739" customWidth="1"/>
    <col min="15" max="16384" width="9.109375" style="739"/>
  </cols>
  <sheetData>
    <row r="1" spans="1:16" ht="15.6" x14ac:dyDescent="0.3">
      <c r="A1" s="735" t="s">
        <v>412</v>
      </c>
      <c r="B1" s="736"/>
      <c r="C1" s="736"/>
      <c r="D1" s="736"/>
      <c r="E1" s="736"/>
      <c r="F1" s="736"/>
      <c r="G1" s="736"/>
      <c r="H1" s="736"/>
      <c r="I1" s="736"/>
      <c r="J1" s="736"/>
      <c r="K1" s="737"/>
      <c r="L1" s="737"/>
    </row>
    <row r="2" spans="1:16" ht="14.25" customHeight="1" x14ac:dyDescent="0.3">
      <c r="A2" s="735"/>
      <c r="B2" s="736"/>
      <c r="C2" s="736"/>
      <c r="D2" s="736"/>
      <c r="E2" s="736"/>
      <c r="F2" s="736"/>
      <c r="G2" s="736"/>
      <c r="H2" s="736"/>
      <c r="I2" s="736"/>
      <c r="J2" s="736"/>
      <c r="K2" s="737"/>
      <c r="L2" s="737"/>
    </row>
    <row r="3" spans="1:16" x14ac:dyDescent="0.25">
      <c r="E3" s="740" t="s">
        <v>198</v>
      </c>
      <c r="K3" s="741"/>
      <c r="L3" s="741"/>
    </row>
    <row r="4" spans="1:16" x14ac:dyDescent="0.25">
      <c r="C4" s="742" t="s">
        <v>1289</v>
      </c>
      <c r="D4" s="986">
        <v>0</v>
      </c>
      <c r="E4" s="743" t="s">
        <v>2792</v>
      </c>
      <c r="G4" s="744" t="s">
        <v>496</v>
      </c>
      <c r="H4" s="745"/>
      <c r="J4" s="746"/>
      <c r="K4" s="741"/>
      <c r="L4" s="741"/>
    </row>
    <row r="5" spans="1:16" x14ac:dyDescent="0.25">
      <c r="C5" s="742"/>
      <c r="D5" s="747"/>
      <c r="E5" s="743"/>
      <c r="K5" s="741"/>
      <c r="L5" s="741"/>
    </row>
    <row r="6" spans="1:16" ht="15.6" x14ac:dyDescent="0.3">
      <c r="B6" s="735" t="s">
        <v>1290</v>
      </c>
      <c r="D6" s="742"/>
      <c r="E6" s="747"/>
      <c r="F6" s="743"/>
      <c r="K6" s="741"/>
      <c r="L6" s="741"/>
    </row>
    <row r="7" spans="1:16" x14ac:dyDescent="0.25">
      <c r="C7" s="748" t="s">
        <v>394</v>
      </c>
      <c r="D7" s="748" t="s">
        <v>378</v>
      </c>
      <c r="E7" s="748" t="s">
        <v>379</v>
      </c>
      <c r="F7" s="816" t="s">
        <v>380</v>
      </c>
      <c r="G7" s="816" t="s">
        <v>381</v>
      </c>
      <c r="H7" s="816" t="s">
        <v>382</v>
      </c>
      <c r="I7" s="816" t="s">
        <v>383</v>
      </c>
      <c r="J7" s="816" t="s">
        <v>595</v>
      </c>
      <c r="K7" s="816" t="s">
        <v>1043</v>
      </c>
      <c r="L7" s="816" t="s">
        <v>1059</v>
      </c>
      <c r="M7" s="816" t="s">
        <v>1062</v>
      </c>
      <c r="N7" s="740" t="s">
        <v>1080</v>
      </c>
      <c r="O7" s="740" t="s">
        <v>1663</v>
      </c>
      <c r="P7" s="740" t="s">
        <v>1664</v>
      </c>
    </row>
    <row r="8" spans="1:16" x14ac:dyDescent="0.25">
      <c r="C8" s="799" t="s">
        <v>395</v>
      </c>
      <c r="D8" s="746"/>
      <c r="E8" s="799" t="s">
        <v>396</v>
      </c>
      <c r="F8" s="799" t="s">
        <v>1291</v>
      </c>
      <c r="G8" s="799" t="s">
        <v>1306</v>
      </c>
      <c r="H8" s="799" t="s">
        <v>1308</v>
      </c>
      <c r="I8" s="799" t="s">
        <v>1309</v>
      </c>
      <c r="J8" s="799" t="s">
        <v>1310</v>
      </c>
      <c r="K8" s="746"/>
      <c r="L8" s="746"/>
    </row>
    <row r="9" spans="1:16" s="752" customFormat="1" x14ac:dyDescent="0.25">
      <c r="A9" s="750"/>
      <c r="B9" s="750"/>
      <c r="C9" s="748"/>
      <c r="D9" s="751"/>
      <c r="E9" s="1155" t="s">
        <v>2608</v>
      </c>
      <c r="F9" s="1156"/>
      <c r="G9" s="1156"/>
      <c r="H9" s="1157"/>
      <c r="I9" s="1158"/>
      <c r="J9" s="1037"/>
      <c r="K9" s="1037"/>
      <c r="L9" s="799" t="s">
        <v>2801</v>
      </c>
      <c r="M9" s="799" t="s">
        <v>2801</v>
      </c>
      <c r="N9" s="799" t="s">
        <v>2801</v>
      </c>
    </row>
    <row r="10" spans="1:16" s="757" customFormat="1" ht="53.25" customHeight="1" x14ac:dyDescent="0.25">
      <c r="A10" s="753"/>
      <c r="B10" s="753"/>
      <c r="C10" s="754"/>
      <c r="D10" s="1038" t="s">
        <v>2609</v>
      </c>
      <c r="E10" s="1039" t="s">
        <v>2802</v>
      </c>
      <c r="F10" s="1039" t="s">
        <v>2803</v>
      </c>
      <c r="G10" s="1040" t="s">
        <v>2793</v>
      </c>
      <c r="H10" s="1039" t="s">
        <v>2610</v>
      </c>
      <c r="I10" s="1039" t="s">
        <v>2611</v>
      </c>
      <c r="J10" s="1041" t="s">
        <v>2804</v>
      </c>
      <c r="K10" s="755" t="s">
        <v>2805</v>
      </c>
      <c r="L10" s="755" t="s">
        <v>2806</v>
      </c>
      <c r="M10" s="1055" t="s">
        <v>2612</v>
      </c>
      <c r="N10" s="1056"/>
      <c r="O10" s="1057"/>
      <c r="P10" s="756"/>
    </row>
    <row r="11" spans="1:16" s="752" customFormat="1" ht="55.05" customHeight="1" x14ac:dyDescent="0.25">
      <c r="A11" s="740" t="s">
        <v>350</v>
      </c>
      <c r="B11" s="758" t="s">
        <v>1292</v>
      </c>
      <c r="C11" s="759" t="s">
        <v>1293</v>
      </c>
      <c r="D11" s="760" t="s">
        <v>1294</v>
      </c>
      <c r="E11" s="758" t="s">
        <v>2807</v>
      </c>
      <c r="F11" s="827" t="s">
        <v>2808</v>
      </c>
      <c r="G11" s="1058" t="s">
        <v>2794</v>
      </c>
      <c r="H11" s="758" t="s">
        <v>2614</v>
      </c>
      <c r="I11" s="758" t="s">
        <v>2615</v>
      </c>
      <c r="J11" s="758" t="s">
        <v>2795</v>
      </c>
      <c r="K11" s="762" t="s">
        <v>2616</v>
      </c>
      <c r="L11" s="763" t="s">
        <v>2617</v>
      </c>
      <c r="M11" s="761" t="s">
        <v>2613</v>
      </c>
      <c r="N11" s="758" t="s">
        <v>2614</v>
      </c>
      <c r="O11" s="758" t="s">
        <v>2615</v>
      </c>
      <c r="P11" s="758" t="s">
        <v>187</v>
      </c>
    </row>
    <row r="12" spans="1:16" s="746" customFormat="1" x14ac:dyDescent="0.25">
      <c r="A12" s="764" t="s">
        <v>637</v>
      </c>
      <c r="B12" s="471" t="s">
        <v>2593</v>
      </c>
      <c r="C12" s="1096" t="s">
        <v>2690</v>
      </c>
      <c r="D12" s="986">
        <v>0</v>
      </c>
      <c r="E12" s="1059"/>
      <c r="F12" s="814"/>
      <c r="G12" s="814"/>
      <c r="H12" s="1060"/>
      <c r="I12" s="1061"/>
      <c r="J12" s="1099" t="s">
        <v>86</v>
      </c>
      <c r="K12" s="986">
        <v>0</v>
      </c>
      <c r="L12" s="767"/>
      <c r="N12" s="741"/>
      <c r="O12" s="739"/>
      <c r="P12" s="738"/>
    </row>
    <row r="13" spans="1:16" s="746" customFormat="1" ht="13.8" thickBot="1" x14ac:dyDescent="0.3">
      <c r="A13" s="764" t="s">
        <v>639</v>
      </c>
      <c r="B13" s="471" t="s">
        <v>2594</v>
      </c>
      <c r="C13" s="1097" t="s">
        <v>2690</v>
      </c>
      <c r="D13" s="986">
        <v>0</v>
      </c>
      <c r="E13" s="1059"/>
      <c r="F13" s="814"/>
      <c r="G13" s="814"/>
      <c r="H13" s="1060"/>
      <c r="I13" s="1061"/>
      <c r="J13" s="1099" t="s">
        <v>86</v>
      </c>
      <c r="K13" s="986">
        <v>0</v>
      </c>
      <c r="L13" s="767"/>
      <c r="M13" s="1062"/>
      <c r="N13" s="1063"/>
      <c r="O13" s="1064"/>
      <c r="P13" s="738"/>
    </row>
    <row r="14" spans="1:16" s="746" customFormat="1" ht="16.2" thickBot="1" x14ac:dyDescent="0.4">
      <c r="A14" s="764" t="s">
        <v>2618</v>
      </c>
      <c r="B14" s="471" t="s">
        <v>2595</v>
      </c>
      <c r="C14" s="768"/>
      <c r="D14" s="768"/>
      <c r="E14" s="1042"/>
      <c r="F14" s="814"/>
      <c r="G14" s="814"/>
      <c r="H14" s="1065"/>
      <c r="I14" s="1065"/>
      <c r="J14" s="1099" t="s">
        <v>86</v>
      </c>
      <c r="K14" s="769"/>
      <c r="L14" s="1066" t="str">
        <f>N14</f>
        <v>---</v>
      </c>
      <c r="M14" s="1101" t="s">
        <v>86</v>
      </c>
      <c r="N14" s="1100" t="s">
        <v>86</v>
      </c>
      <c r="O14" s="1102" t="s">
        <v>86</v>
      </c>
      <c r="P14" s="1043" t="s">
        <v>2809</v>
      </c>
    </row>
    <row r="15" spans="1:16" s="746" customFormat="1" x14ac:dyDescent="0.25">
      <c r="A15" s="764" t="s">
        <v>642</v>
      </c>
      <c r="B15" s="471" t="s">
        <v>2596</v>
      </c>
      <c r="C15" s="1097" t="s">
        <v>2690</v>
      </c>
      <c r="D15" s="986">
        <v>0</v>
      </c>
      <c r="E15" s="1059"/>
      <c r="F15" s="814"/>
      <c r="G15" s="814"/>
      <c r="H15" s="1060"/>
      <c r="I15" s="1061"/>
      <c r="J15" s="1099" t="s">
        <v>86</v>
      </c>
      <c r="K15" s="986">
        <v>0</v>
      </c>
      <c r="L15" s="767"/>
      <c r="N15" s="741"/>
      <c r="O15" s="739"/>
      <c r="P15" s="738"/>
    </row>
    <row r="16" spans="1:16" s="746" customFormat="1" x14ac:dyDescent="0.25">
      <c r="A16" s="764" t="s">
        <v>1295</v>
      </c>
      <c r="B16" s="471" t="s">
        <v>2597</v>
      </c>
      <c r="C16" s="1097" t="s">
        <v>2690</v>
      </c>
      <c r="D16" s="986">
        <v>0</v>
      </c>
      <c r="E16" s="1059"/>
      <c r="F16" s="814"/>
      <c r="G16" s="814"/>
      <c r="H16" s="1060"/>
      <c r="I16" s="1061"/>
      <c r="J16" s="1099" t="s">
        <v>86</v>
      </c>
      <c r="K16" s="767"/>
      <c r="L16" s="986">
        <v>0</v>
      </c>
      <c r="N16" s="741"/>
      <c r="O16" s="770"/>
      <c r="P16" s="738"/>
    </row>
    <row r="17" spans="1:16" s="746" customFormat="1" x14ac:dyDescent="0.25">
      <c r="A17" s="764" t="s">
        <v>1296</v>
      </c>
      <c r="B17" s="471" t="s">
        <v>2598</v>
      </c>
      <c r="C17" s="1097" t="s">
        <v>2690</v>
      </c>
      <c r="D17" s="986">
        <v>0</v>
      </c>
      <c r="E17" s="1059"/>
      <c r="F17" s="814"/>
      <c r="G17" s="814"/>
      <c r="H17" s="1060"/>
      <c r="I17" s="1061"/>
      <c r="J17" s="1099" t="s">
        <v>86</v>
      </c>
      <c r="K17" s="767"/>
      <c r="L17" s="986">
        <v>0</v>
      </c>
      <c r="N17" s="741"/>
      <c r="O17" s="770"/>
      <c r="P17" s="738"/>
    </row>
    <row r="18" spans="1:16" s="746" customFormat="1" x14ac:dyDescent="0.25">
      <c r="A18" s="764" t="s">
        <v>1297</v>
      </c>
      <c r="B18" s="471" t="s">
        <v>2599</v>
      </c>
      <c r="C18" s="1097" t="s">
        <v>2690</v>
      </c>
      <c r="D18" s="986">
        <v>0</v>
      </c>
      <c r="E18" s="1067"/>
      <c r="F18" s="814"/>
      <c r="G18" s="814"/>
      <c r="H18" s="1068"/>
      <c r="I18" s="1069"/>
      <c r="J18" s="1099" t="s">
        <v>86</v>
      </c>
      <c r="K18" s="767"/>
      <c r="L18" s="986">
        <v>0</v>
      </c>
      <c r="N18" s="741"/>
      <c r="O18" s="770"/>
      <c r="P18" s="738"/>
    </row>
    <row r="19" spans="1:16" s="746" customFormat="1" x14ac:dyDescent="0.25">
      <c r="A19" s="764" t="s">
        <v>1298</v>
      </c>
      <c r="B19" s="471" t="s">
        <v>2600</v>
      </c>
      <c r="C19" s="1097" t="s">
        <v>2690</v>
      </c>
      <c r="D19" s="986">
        <v>0</v>
      </c>
      <c r="E19" s="1067"/>
      <c r="F19" s="814"/>
      <c r="G19" s="814"/>
      <c r="H19" s="1068"/>
      <c r="I19" s="1069"/>
      <c r="J19" s="1099" t="s">
        <v>86</v>
      </c>
      <c r="K19" s="767"/>
      <c r="L19" s="986">
        <v>0</v>
      </c>
      <c r="N19" s="741"/>
      <c r="O19" s="770"/>
      <c r="P19" s="738"/>
    </row>
    <row r="20" spans="1:16" s="746" customFormat="1" x14ac:dyDescent="0.25">
      <c r="A20" s="764" t="s">
        <v>1299</v>
      </c>
      <c r="B20" s="471" t="s">
        <v>2601</v>
      </c>
      <c r="C20" s="1097" t="s">
        <v>2690</v>
      </c>
      <c r="D20" s="986">
        <v>0</v>
      </c>
      <c r="E20" s="1067"/>
      <c r="F20" s="814"/>
      <c r="G20" s="814"/>
      <c r="H20" s="1068"/>
      <c r="I20" s="1069"/>
      <c r="J20" s="1099" t="s">
        <v>86</v>
      </c>
      <c r="K20" s="767"/>
      <c r="L20" s="986">
        <v>0</v>
      </c>
      <c r="N20" s="771"/>
      <c r="O20" s="772"/>
      <c r="P20" s="738"/>
    </row>
    <row r="21" spans="1:16" s="746" customFormat="1" x14ac:dyDescent="0.25">
      <c r="A21" s="764" t="s">
        <v>1300</v>
      </c>
      <c r="B21" s="471" t="s">
        <v>2602</v>
      </c>
      <c r="C21" s="1097" t="s">
        <v>2690</v>
      </c>
      <c r="D21" s="986">
        <v>0</v>
      </c>
      <c r="E21" s="1070"/>
      <c r="F21" s="1070"/>
      <c r="G21" s="814"/>
      <c r="H21" s="1068"/>
      <c r="I21" s="1069"/>
      <c r="J21" s="1099" t="s">
        <v>86</v>
      </c>
      <c r="K21" s="767"/>
      <c r="L21" s="986">
        <v>0</v>
      </c>
      <c r="N21" s="773"/>
      <c r="O21" s="774"/>
      <c r="P21" s="738"/>
    </row>
    <row r="22" spans="1:16" s="746" customFormat="1" x14ac:dyDescent="0.25">
      <c r="A22" s="764" t="s">
        <v>1301</v>
      </c>
      <c r="B22" s="471" t="s">
        <v>2603</v>
      </c>
      <c r="C22" s="1097" t="s">
        <v>2690</v>
      </c>
      <c r="D22" s="986">
        <v>0</v>
      </c>
      <c r="E22" s="1070"/>
      <c r="F22" s="1070"/>
      <c r="G22" s="814"/>
      <c r="H22" s="1068"/>
      <c r="I22" s="1069"/>
      <c r="J22" s="1099" t="s">
        <v>86</v>
      </c>
      <c r="K22" s="767"/>
      <c r="L22" s="986">
        <v>0</v>
      </c>
      <c r="N22" s="773"/>
      <c r="O22" s="774"/>
      <c r="P22" s="738"/>
    </row>
    <row r="23" spans="1:16" s="746" customFormat="1" x14ac:dyDescent="0.25">
      <c r="A23" s="764" t="s">
        <v>1302</v>
      </c>
      <c r="B23" s="471" t="s">
        <v>2604</v>
      </c>
      <c r="C23" s="1097" t="s">
        <v>2690</v>
      </c>
      <c r="D23" s="986">
        <v>0</v>
      </c>
      <c r="E23" s="1070"/>
      <c r="F23" s="1070"/>
      <c r="G23" s="814"/>
      <c r="H23" s="1068"/>
      <c r="I23" s="1069"/>
      <c r="J23" s="1099" t="s">
        <v>86</v>
      </c>
      <c r="K23" s="767"/>
      <c r="L23" s="986">
        <v>0</v>
      </c>
      <c r="N23" s="771"/>
      <c r="O23" s="772"/>
      <c r="P23" s="738"/>
    </row>
    <row r="24" spans="1:16" s="746" customFormat="1" x14ac:dyDescent="0.25">
      <c r="A24" s="764" t="s">
        <v>1303</v>
      </c>
      <c r="B24" s="471" t="s">
        <v>2605</v>
      </c>
      <c r="C24" s="1097" t="s">
        <v>2690</v>
      </c>
      <c r="D24" s="986">
        <v>0</v>
      </c>
      <c r="E24" s="1059"/>
      <c r="F24" s="814"/>
      <c r="G24" s="814"/>
      <c r="H24" s="1059"/>
      <c r="I24" s="1059"/>
      <c r="J24" s="1099" t="s">
        <v>86</v>
      </c>
      <c r="K24" s="767"/>
      <c r="L24" s="986">
        <v>0</v>
      </c>
      <c r="N24" s="775"/>
      <c r="O24" s="775"/>
      <c r="P24" s="776"/>
    </row>
    <row r="25" spans="1:16" s="746" customFormat="1" x14ac:dyDescent="0.25">
      <c r="A25" s="764" t="s">
        <v>1304</v>
      </c>
      <c r="B25" s="471" t="s">
        <v>2606</v>
      </c>
      <c r="C25" s="1097" t="s">
        <v>2690</v>
      </c>
      <c r="D25" s="986">
        <v>0</v>
      </c>
      <c r="E25" s="1059"/>
      <c r="F25" s="814"/>
      <c r="G25" s="814"/>
      <c r="H25" s="1059"/>
      <c r="I25" s="1059"/>
      <c r="J25" s="1099" t="s">
        <v>86</v>
      </c>
      <c r="K25" s="767"/>
      <c r="L25" s="986">
        <v>0</v>
      </c>
      <c r="M25" s="770"/>
      <c r="N25" s="739"/>
      <c r="O25" s="777"/>
      <c r="P25" s="738"/>
    </row>
    <row r="26" spans="1:16" s="746" customFormat="1" x14ac:dyDescent="0.25">
      <c r="A26" s="764" t="s">
        <v>1305</v>
      </c>
      <c r="B26" s="471" t="s">
        <v>2607</v>
      </c>
      <c r="C26" s="1097" t="s">
        <v>2690</v>
      </c>
      <c r="D26" s="986">
        <v>0</v>
      </c>
      <c r="E26" s="1059"/>
      <c r="F26" s="814"/>
      <c r="G26" s="814"/>
      <c r="H26" s="1060"/>
      <c r="I26" s="1061"/>
      <c r="J26" s="1099" t="s">
        <v>86</v>
      </c>
      <c r="K26" s="986">
        <v>0</v>
      </c>
      <c r="L26" s="767"/>
      <c r="M26" s="739"/>
      <c r="N26" s="739"/>
      <c r="O26" s="777"/>
      <c r="P26" s="738"/>
    </row>
    <row r="27" spans="1:16" s="746" customFormat="1" x14ac:dyDescent="0.25">
      <c r="A27" s="764" t="s">
        <v>1307</v>
      </c>
      <c r="B27" s="779" t="s">
        <v>86</v>
      </c>
      <c r="C27" s="765"/>
      <c r="D27" s="778"/>
      <c r="E27" s="780"/>
      <c r="F27" s="814"/>
      <c r="G27" s="814"/>
      <c r="H27" s="781"/>
      <c r="I27" s="782"/>
      <c r="J27" s="1099" t="s">
        <v>86</v>
      </c>
      <c r="K27" s="766"/>
      <c r="L27" s="767"/>
      <c r="M27" s="739"/>
      <c r="N27" s="739"/>
      <c r="O27" s="777"/>
      <c r="P27" s="738"/>
    </row>
    <row r="28" spans="1:16" s="746" customFormat="1" x14ac:dyDescent="0.25">
      <c r="A28" s="764">
        <v>2</v>
      </c>
      <c r="B28" s="474" t="s">
        <v>216</v>
      </c>
      <c r="C28" s="1095" t="s">
        <v>2690</v>
      </c>
      <c r="D28" s="997">
        <v>0</v>
      </c>
      <c r="E28" s="1098" t="s">
        <v>86</v>
      </c>
      <c r="F28" s="1098" t="s">
        <v>86</v>
      </c>
      <c r="G28" s="1098" t="s">
        <v>86</v>
      </c>
      <c r="H28" s="1098" t="s">
        <v>86</v>
      </c>
      <c r="I28" s="1098" t="s">
        <v>86</v>
      </c>
      <c r="J28" s="1098" t="s">
        <v>86</v>
      </c>
      <c r="K28" s="783"/>
      <c r="L28" s="739"/>
      <c r="M28" s="739"/>
      <c r="N28" s="739"/>
      <c r="O28" s="739"/>
      <c r="P28" s="738"/>
    </row>
    <row r="29" spans="1:16" s="746" customFormat="1" x14ac:dyDescent="0.25">
      <c r="A29" s="764">
        <f>A28+1</f>
        <v>3</v>
      </c>
      <c r="B29" s="739"/>
      <c r="C29" s="739"/>
      <c r="D29" s="739"/>
      <c r="E29" s="739"/>
      <c r="F29" s="739"/>
      <c r="G29" s="739"/>
      <c r="H29" s="739"/>
      <c r="I29" s="739"/>
      <c r="J29" s="784"/>
      <c r="K29" s="784"/>
      <c r="M29" s="738"/>
    </row>
    <row r="30" spans="1:16" s="746" customFormat="1" x14ac:dyDescent="0.25">
      <c r="A30" s="764">
        <f t="shared" ref="A30:A34" si="0">A29+1</f>
        <v>4</v>
      </c>
      <c r="B30" s="739"/>
      <c r="C30" s="739"/>
      <c r="D30" s="739"/>
      <c r="E30" s="739"/>
      <c r="G30" s="1044"/>
      <c r="I30" s="816"/>
      <c r="J30" s="785"/>
      <c r="K30" s="785"/>
      <c r="L30" s="785"/>
      <c r="M30" s="738"/>
    </row>
    <row r="31" spans="1:16" s="746" customFormat="1" ht="15.6" x14ac:dyDescent="0.3">
      <c r="A31" s="764">
        <f t="shared" si="0"/>
        <v>5</v>
      </c>
      <c r="B31" s="1071" t="s">
        <v>2810</v>
      </c>
      <c r="C31" s="739"/>
      <c r="D31" s="739"/>
      <c r="E31" s="739"/>
      <c r="F31" s="739"/>
      <c r="G31" s="739"/>
      <c r="H31" s="739"/>
      <c r="I31" s="739"/>
      <c r="J31" s="739"/>
      <c r="K31" s="739"/>
      <c r="L31" s="739"/>
      <c r="M31" s="738"/>
    </row>
    <row r="32" spans="1:16" s="746" customFormat="1" x14ac:dyDescent="0.25">
      <c r="A32" s="764">
        <f t="shared" si="0"/>
        <v>6</v>
      </c>
      <c r="B32" s="739"/>
      <c r="C32" s="748" t="s">
        <v>394</v>
      </c>
      <c r="D32" s="748" t="s">
        <v>378</v>
      </c>
      <c r="E32" s="748" t="s">
        <v>379</v>
      </c>
      <c r="F32" s="748" t="s">
        <v>380</v>
      </c>
      <c r="G32" s="748" t="s">
        <v>381</v>
      </c>
      <c r="H32" s="748" t="s">
        <v>382</v>
      </c>
      <c r="I32" s="748" t="s">
        <v>383</v>
      </c>
      <c r="J32" s="748" t="s">
        <v>595</v>
      </c>
      <c r="K32" s="739"/>
      <c r="M32" s="738"/>
    </row>
    <row r="33" spans="1:13" s="757" customFormat="1" ht="26.4" x14ac:dyDescent="0.25">
      <c r="A33" s="764">
        <f t="shared" si="0"/>
        <v>7</v>
      </c>
      <c r="B33" s="753"/>
      <c r="C33" s="786" t="s">
        <v>2619</v>
      </c>
      <c r="D33" s="787" t="s">
        <v>2811</v>
      </c>
      <c r="E33" s="787" t="s">
        <v>2812</v>
      </c>
      <c r="F33" s="1072"/>
      <c r="H33" s="1073" t="s">
        <v>2619</v>
      </c>
      <c r="I33" s="1040" t="s">
        <v>1312</v>
      </c>
      <c r="J33" s="1074" t="s">
        <v>2813</v>
      </c>
      <c r="K33" s="1075"/>
      <c r="L33" s="1075"/>
      <c r="M33" s="1075"/>
    </row>
    <row r="34" spans="1:13" s="746" customFormat="1" x14ac:dyDescent="0.25">
      <c r="A34" s="764">
        <f t="shared" si="0"/>
        <v>8</v>
      </c>
      <c r="B34" s="739"/>
      <c r="C34" s="748"/>
      <c r="D34" s="748"/>
      <c r="E34" s="748"/>
      <c r="F34" s="1076"/>
      <c r="K34" s="1076"/>
      <c r="L34" s="1076"/>
      <c r="M34" s="1077"/>
    </row>
    <row r="35" spans="1:13" s="791" customFormat="1" ht="52.8" x14ac:dyDescent="0.25">
      <c r="A35" s="764">
        <v>9</v>
      </c>
      <c r="B35" s="1045" t="s">
        <v>1292</v>
      </c>
      <c r="C35" s="763" t="s">
        <v>2814</v>
      </c>
      <c r="D35" s="789" t="s">
        <v>2815</v>
      </c>
      <c r="E35" s="789" t="s">
        <v>2816</v>
      </c>
      <c r="F35" s="1078"/>
      <c r="G35" s="1079" t="s">
        <v>1292</v>
      </c>
      <c r="H35" s="789" t="s">
        <v>2817</v>
      </c>
      <c r="I35" s="789" t="s">
        <v>2818</v>
      </c>
      <c r="J35" s="789" t="s">
        <v>2819</v>
      </c>
      <c r="K35" s="1078"/>
      <c r="L35" s="1080"/>
      <c r="M35" s="1080"/>
    </row>
    <row r="36" spans="1:13" s="794" customFormat="1" ht="14.4" x14ac:dyDescent="0.3">
      <c r="A36" s="792" t="s">
        <v>2620</v>
      </c>
      <c r="B36" s="793" t="s">
        <v>2602</v>
      </c>
      <c r="C36" s="986">
        <v>0</v>
      </c>
      <c r="D36" s="1103" t="s">
        <v>86</v>
      </c>
      <c r="E36" s="986">
        <v>0</v>
      </c>
      <c r="F36" s="1081"/>
      <c r="G36" s="793" t="s">
        <v>2599</v>
      </c>
      <c r="H36" s="986">
        <v>0</v>
      </c>
      <c r="I36" s="1104" t="s">
        <v>86</v>
      </c>
      <c r="J36" s="986">
        <v>0</v>
      </c>
      <c r="K36" s="1082"/>
      <c r="L36" s="1083"/>
      <c r="M36" s="1081"/>
    </row>
    <row r="37" spans="1:13" s="794" customFormat="1" ht="14.4" x14ac:dyDescent="0.3">
      <c r="A37" s="792" t="s">
        <v>2621</v>
      </c>
      <c r="B37" s="793" t="s">
        <v>2603</v>
      </c>
      <c r="C37" s="986">
        <v>0</v>
      </c>
      <c r="D37" s="1103" t="s">
        <v>86</v>
      </c>
      <c r="E37" s="986">
        <v>0</v>
      </c>
      <c r="F37" s="1081"/>
      <c r="G37" s="793" t="s">
        <v>2600</v>
      </c>
      <c r="H37" s="986">
        <v>0</v>
      </c>
      <c r="I37" s="1104" t="s">
        <v>86</v>
      </c>
      <c r="J37" s="986">
        <v>0</v>
      </c>
      <c r="K37" s="1082"/>
      <c r="L37" s="1083"/>
      <c r="M37" s="1081"/>
    </row>
    <row r="38" spans="1:13" s="794" customFormat="1" ht="14.4" x14ac:dyDescent="0.3">
      <c r="A38" s="792" t="s">
        <v>2622</v>
      </c>
      <c r="B38" s="793" t="s">
        <v>2604</v>
      </c>
      <c r="C38" s="986">
        <v>0</v>
      </c>
      <c r="D38" s="1103" t="s">
        <v>86</v>
      </c>
      <c r="E38" s="986">
        <v>0</v>
      </c>
      <c r="F38" s="1081"/>
      <c r="G38" s="793" t="s">
        <v>2601</v>
      </c>
      <c r="H38" s="986">
        <v>0</v>
      </c>
      <c r="I38" s="1104" t="s">
        <v>86</v>
      </c>
      <c r="J38" s="986">
        <v>0</v>
      </c>
      <c r="K38" s="1082"/>
      <c r="L38" s="1083"/>
      <c r="M38" s="1081"/>
    </row>
    <row r="39" spans="1:13" s="746" customFormat="1" x14ac:dyDescent="0.25">
      <c r="A39" s="792" t="s">
        <v>2623</v>
      </c>
      <c r="B39" s="779" t="s">
        <v>86</v>
      </c>
      <c r="C39" s="748"/>
      <c r="D39" s="748"/>
      <c r="E39" s="748"/>
      <c r="F39" s="748"/>
      <c r="G39" s="779" t="s">
        <v>86</v>
      </c>
      <c r="H39" s="748"/>
      <c r="I39" s="788"/>
      <c r="K39" s="739"/>
      <c r="M39" s="738"/>
    </row>
    <row r="40" spans="1:13" s="746" customFormat="1" x14ac:dyDescent="0.25">
      <c r="A40" s="764">
        <v>10</v>
      </c>
      <c r="B40" s="739"/>
      <c r="C40" s="748"/>
      <c r="D40" s="748"/>
      <c r="E40" s="748"/>
      <c r="F40" s="748"/>
      <c r="G40" s="748"/>
      <c r="H40" s="748"/>
      <c r="I40" s="788"/>
      <c r="K40" s="739"/>
      <c r="M40" s="738"/>
    </row>
    <row r="41" spans="1:13" s="746" customFormat="1" ht="15.6" x14ac:dyDescent="0.3">
      <c r="A41" s="764">
        <v>11</v>
      </c>
      <c r="B41" s="796" t="s">
        <v>1864</v>
      </c>
      <c r="C41" s="739"/>
      <c r="D41" s="739"/>
      <c r="E41" s="739"/>
      <c r="G41" s="739"/>
      <c r="H41" s="739"/>
      <c r="I41" s="739"/>
      <c r="J41" s="739"/>
      <c r="K41" s="739"/>
      <c r="L41" s="739"/>
      <c r="M41" s="738"/>
    </row>
    <row r="42" spans="1:13" s="746" customFormat="1" x14ac:dyDescent="0.25">
      <c r="A42" s="764">
        <v>12</v>
      </c>
      <c r="B42" s="739"/>
      <c r="C42" s="748" t="s">
        <v>394</v>
      </c>
      <c r="D42" s="748" t="s">
        <v>378</v>
      </c>
      <c r="E42" s="748" t="s">
        <v>379</v>
      </c>
      <c r="F42" s="748" t="s">
        <v>380</v>
      </c>
      <c r="G42" s="748" t="s">
        <v>381</v>
      </c>
      <c r="H42" s="748" t="s">
        <v>382</v>
      </c>
      <c r="I42" s="748" t="s">
        <v>383</v>
      </c>
      <c r="J42" s="748" t="s">
        <v>595</v>
      </c>
      <c r="K42" s="748" t="s">
        <v>1043</v>
      </c>
      <c r="L42" s="748" t="s">
        <v>1059</v>
      </c>
      <c r="M42" s="738"/>
    </row>
    <row r="43" spans="1:13" s="757" customFormat="1" ht="39.6" x14ac:dyDescent="0.25">
      <c r="A43" s="797">
        <v>13</v>
      </c>
      <c r="B43" s="753"/>
      <c r="C43" s="787" t="s">
        <v>2820</v>
      </c>
      <c r="D43" s="787" t="s">
        <v>2821</v>
      </c>
      <c r="E43" s="1046" t="s">
        <v>2822</v>
      </c>
      <c r="G43" s="1046" t="s">
        <v>2823</v>
      </c>
      <c r="H43" s="1046" t="s">
        <v>2824</v>
      </c>
      <c r="I43" s="1046" t="s">
        <v>2825</v>
      </c>
      <c r="J43" s="1046" t="s">
        <v>2624</v>
      </c>
      <c r="K43" s="1046" t="s">
        <v>2625</v>
      </c>
      <c r="L43" s="754"/>
      <c r="M43" s="754"/>
    </row>
    <row r="44" spans="1:13" s="746" customFormat="1" x14ac:dyDescent="0.25">
      <c r="A44" s="764">
        <v>14</v>
      </c>
      <c r="B44" s="739"/>
      <c r="C44" s="749"/>
      <c r="D44" s="798" t="s">
        <v>2797</v>
      </c>
      <c r="E44" s="1047"/>
      <c r="G44" s="783"/>
      <c r="H44" s="799" t="s">
        <v>2798</v>
      </c>
      <c r="I44" s="799" t="s">
        <v>2826</v>
      </c>
      <c r="J44" s="799"/>
      <c r="K44" s="799"/>
      <c r="L44" s="749"/>
      <c r="M44" s="783"/>
    </row>
    <row r="45" spans="1:13" s="752" customFormat="1" ht="66" x14ac:dyDescent="0.25">
      <c r="A45" s="764">
        <v>15</v>
      </c>
      <c r="B45" s="761" t="str">
        <f>B11</f>
        <v>CPUC Rate Group</v>
      </c>
      <c r="C45" s="763" t="s">
        <v>2827</v>
      </c>
      <c r="D45" s="763" t="s">
        <v>2796</v>
      </c>
      <c r="E45" s="763" t="s">
        <v>2626</v>
      </c>
      <c r="G45" s="763" t="s">
        <v>1313</v>
      </c>
      <c r="H45" s="763" t="s">
        <v>2627</v>
      </c>
      <c r="I45" s="790" t="s">
        <v>2628</v>
      </c>
      <c r="J45" s="763" t="s">
        <v>2629</v>
      </c>
      <c r="K45" s="790" t="s">
        <v>2630</v>
      </c>
      <c r="L45" s="800" t="s">
        <v>187</v>
      </c>
      <c r="M45" s="738"/>
    </row>
    <row r="46" spans="1:13" s="746" customFormat="1" ht="13.8" thickBot="1" x14ac:dyDescent="0.3">
      <c r="A46" s="764" t="s">
        <v>2631</v>
      </c>
      <c r="B46" s="471" t="str">
        <f>B12</f>
        <v>Domestic</v>
      </c>
      <c r="C46" s="986">
        <v>0</v>
      </c>
      <c r="D46" s="986">
        <v>0</v>
      </c>
      <c r="E46" s="801"/>
      <c r="G46" s="986">
        <v>0</v>
      </c>
      <c r="H46" s="801"/>
      <c r="I46" s="1049"/>
      <c r="J46" s="802"/>
      <c r="K46" s="801"/>
      <c r="L46" s="801"/>
      <c r="M46" s="783"/>
    </row>
    <row r="47" spans="1:13" s="746" customFormat="1" ht="13.8" thickBot="1" x14ac:dyDescent="0.3">
      <c r="A47" s="764" t="s">
        <v>2632</v>
      </c>
      <c r="B47" s="471" t="str">
        <f>B13</f>
        <v>GS-1</v>
      </c>
      <c r="C47" s="986">
        <v>0</v>
      </c>
      <c r="D47" s="986">
        <v>0</v>
      </c>
      <c r="E47" s="986">
        <v>0</v>
      </c>
      <c r="G47" s="986">
        <v>0</v>
      </c>
      <c r="H47" s="986">
        <v>0</v>
      </c>
      <c r="I47" s="1107">
        <v>0</v>
      </c>
      <c r="J47" s="1109">
        <v>0</v>
      </c>
      <c r="K47" s="1109">
        <v>0</v>
      </c>
      <c r="L47" s="1043" t="s">
        <v>2828</v>
      </c>
      <c r="M47" s="783"/>
    </row>
    <row r="48" spans="1:13" s="746" customFormat="1" x14ac:dyDescent="0.25">
      <c r="A48" s="764" t="s">
        <v>2633</v>
      </c>
      <c r="B48" s="471" t="str">
        <f t="shared" ref="B48:B59" si="1">B15</f>
        <v>TC-1</v>
      </c>
      <c r="C48" s="986">
        <v>0</v>
      </c>
      <c r="D48" s="986">
        <v>0</v>
      </c>
      <c r="E48" s="801"/>
      <c r="G48" s="986">
        <v>0</v>
      </c>
      <c r="H48" s="801"/>
      <c r="I48" s="1049"/>
      <c r="J48" s="802"/>
      <c r="K48" s="801"/>
      <c r="L48" s="801"/>
      <c r="M48" s="783"/>
    </row>
    <row r="49" spans="1:13" s="746" customFormat="1" x14ac:dyDescent="0.25">
      <c r="A49" s="764" t="s">
        <v>2634</v>
      </c>
      <c r="B49" s="471" t="str">
        <f t="shared" si="1"/>
        <v>GS-2</v>
      </c>
      <c r="C49" s="986">
        <v>0</v>
      </c>
      <c r="D49" s="986">
        <v>0</v>
      </c>
      <c r="E49" s="986">
        <v>0</v>
      </c>
      <c r="G49" s="1084"/>
      <c r="H49" s="986">
        <v>0</v>
      </c>
      <c r="I49" s="986">
        <v>0</v>
      </c>
      <c r="J49" s="802"/>
      <c r="K49" s="801"/>
      <c r="L49" s="801"/>
      <c r="M49" s="783"/>
    </row>
    <row r="50" spans="1:13" s="746" customFormat="1" x14ac:dyDescent="0.25">
      <c r="A50" s="764" t="s">
        <v>2635</v>
      </c>
      <c r="B50" s="471" t="str">
        <f t="shared" si="1"/>
        <v>TOU-GS-3</v>
      </c>
      <c r="C50" s="986">
        <v>0</v>
      </c>
      <c r="D50" s="986">
        <v>0</v>
      </c>
      <c r="E50" s="986">
        <v>0</v>
      </c>
      <c r="G50" s="1084"/>
      <c r="H50" s="986">
        <v>0</v>
      </c>
      <c r="I50" s="986">
        <v>0</v>
      </c>
      <c r="J50" s="802"/>
      <c r="K50" s="801"/>
      <c r="L50" s="801"/>
      <c r="M50" s="783"/>
    </row>
    <row r="51" spans="1:13" s="746" customFormat="1" x14ac:dyDescent="0.25">
      <c r="A51" s="764" t="s">
        <v>2636</v>
      </c>
      <c r="B51" s="471" t="str">
        <f t="shared" si="1"/>
        <v>TOU-8-SEC</v>
      </c>
      <c r="C51" s="986">
        <v>0</v>
      </c>
      <c r="D51" s="986">
        <v>0</v>
      </c>
      <c r="E51" s="801"/>
      <c r="G51" s="1084"/>
      <c r="H51" s="986">
        <v>0</v>
      </c>
      <c r="I51" s="1049"/>
      <c r="J51" s="802"/>
      <c r="K51" s="801"/>
      <c r="L51" s="801"/>
      <c r="M51" s="783"/>
    </row>
    <row r="52" spans="1:13" s="746" customFormat="1" x14ac:dyDescent="0.25">
      <c r="A52" s="764" t="s">
        <v>2637</v>
      </c>
      <c r="B52" s="471" t="str">
        <f t="shared" si="1"/>
        <v>TOU-8-PRI</v>
      </c>
      <c r="C52" s="986">
        <v>0</v>
      </c>
      <c r="D52" s="986">
        <v>0</v>
      </c>
      <c r="E52" s="801"/>
      <c r="G52" s="1084"/>
      <c r="H52" s="986">
        <v>0</v>
      </c>
      <c r="I52" s="1049"/>
      <c r="J52" s="802"/>
      <c r="K52" s="801"/>
      <c r="L52" s="801"/>
      <c r="M52" s="783"/>
    </row>
    <row r="53" spans="1:13" s="746" customFormat="1" x14ac:dyDescent="0.25">
      <c r="A53" s="764" t="s">
        <v>2638</v>
      </c>
      <c r="B53" s="471" t="str">
        <f t="shared" si="1"/>
        <v>TOU-8-SUB</v>
      </c>
      <c r="C53" s="986">
        <v>0</v>
      </c>
      <c r="D53" s="986">
        <v>0</v>
      </c>
      <c r="E53" s="801"/>
      <c r="G53" s="1084"/>
      <c r="H53" s="986">
        <v>0</v>
      </c>
      <c r="I53" s="1049"/>
      <c r="J53" s="1085"/>
      <c r="K53" s="803"/>
      <c r="L53" s="803"/>
      <c r="M53" s="783"/>
    </row>
    <row r="54" spans="1:13" s="746" customFormat="1" x14ac:dyDescent="0.25">
      <c r="A54" s="764" t="s">
        <v>2639</v>
      </c>
      <c r="B54" s="471" t="str">
        <f t="shared" si="1"/>
        <v>TOU-8-Standby-SEC</v>
      </c>
      <c r="C54" s="986">
        <v>0</v>
      </c>
      <c r="D54" s="986">
        <v>0</v>
      </c>
      <c r="E54" s="986">
        <v>0</v>
      </c>
      <c r="G54" s="1084"/>
      <c r="H54" s="986">
        <v>0</v>
      </c>
      <c r="I54" s="986">
        <v>0</v>
      </c>
      <c r="J54" s="1085"/>
      <c r="K54" s="803"/>
      <c r="L54" s="803"/>
      <c r="M54" s="783"/>
    </row>
    <row r="55" spans="1:13" s="746" customFormat="1" x14ac:dyDescent="0.25">
      <c r="A55" s="764" t="s">
        <v>2640</v>
      </c>
      <c r="B55" s="471" t="str">
        <f t="shared" si="1"/>
        <v>TOU-8-Standby-PRI</v>
      </c>
      <c r="C55" s="986">
        <v>0</v>
      </c>
      <c r="D55" s="986">
        <v>0</v>
      </c>
      <c r="E55" s="986">
        <v>0</v>
      </c>
      <c r="G55" s="1084"/>
      <c r="H55" s="986">
        <v>0</v>
      </c>
      <c r="I55" s="986">
        <v>0</v>
      </c>
      <c r="J55" s="1085"/>
      <c r="K55" s="803"/>
      <c r="L55" s="803"/>
      <c r="M55" s="783"/>
    </row>
    <row r="56" spans="1:13" s="746" customFormat="1" ht="13.8" thickBot="1" x14ac:dyDescent="0.3">
      <c r="A56" s="764" t="s">
        <v>2641</v>
      </c>
      <c r="B56" s="471" t="str">
        <f t="shared" si="1"/>
        <v>TOU-8-Standby-SUB</v>
      </c>
      <c r="C56" s="986">
        <v>0</v>
      </c>
      <c r="D56" s="986">
        <v>0</v>
      </c>
      <c r="E56" s="986">
        <v>0</v>
      </c>
      <c r="G56" s="1084"/>
      <c r="H56" s="986">
        <v>0</v>
      </c>
      <c r="I56" s="986">
        <v>0</v>
      </c>
      <c r="J56" s="1085"/>
      <c r="K56" s="803"/>
      <c r="L56" s="803"/>
      <c r="M56" s="783"/>
    </row>
    <row r="57" spans="1:13" s="746" customFormat="1" ht="13.8" thickBot="1" x14ac:dyDescent="0.3">
      <c r="A57" s="764" t="s">
        <v>2642</v>
      </c>
      <c r="B57" s="471" t="str">
        <f t="shared" si="1"/>
        <v>TOU-PA-2</v>
      </c>
      <c r="C57" s="986">
        <v>0</v>
      </c>
      <c r="D57" s="986">
        <v>0</v>
      </c>
      <c r="E57" s="986">
        <v>0</v>
      </c>
      <c r="G57" s="1084"/>
      <c r="H57" s="986">
        <v>0</v>
      </c>
      <c r="I57" s="986">
        <v>0</v>
      </c>
      <c r="J57" s="1108">
        <v>0</v>
      </c>
      <c r="K57" s="1109">
        <f>I57*0.746</f>
        <v>0</v>
      </c>
      <c r="L57" s="1043" t="s">
        <v>2829</v>
      </c>
      <c r="M57" s="749"/>
    </row>
    <row r="58" spans="1:13" s="746" customFormat="1" x14ac:dyDescent="0.25">
      <c r="A58" s="764" t="s">
        <v>2643</v>
      </c>
      <c r="B58" s="471" t="str">
        <f t="shared" si="1"/>
        <v>TOU-PA-3</v>
      </c>
      <c r="C58" s="986">
        <v>0</v>
      </c>
      <c r="D58" s="986">
        <v>0</v>
      </c>
      <c r="E58" s="986">
        <v>0</v>
      </c>
      <c r="G58" s="1084"/>
      <c r="H58" s="986">
        <v>0</v>
      </c>
      <c r="I58" s="986">
        <v>0</v>
      </c>
      <c r="J58" s="802"/>
      <c r="K58" s="801"/>
      <c r="L58" s="801"/>
      <c r="M58" s="749"/>
    </row>
    <row r="59" spans="1:13" s="746" customFormat="1" x14ac:dyDescent="0.25">
      <c r="A59" s="764" t="s">
        <v>2644</v>
      </c>
      <c r="B59" s="471" t="str">
        <f t="shared" si="1"/>
        <v>Street Lighting</v>
      </c>
      <c r="C59" s="986">
        <v>0</v>
      </c>
      <c r="D59" s="986">
        <v>0</v>
      </c>
      <c r="E59" s="801"/>
      <c r="G59" s="986">
        <v>0</v>
      </c>
      <c r="H59" s="801"/>
      <c r="I59" s="1049"/>
      <c r="J59" s="802"/>
      <c r="K59" s="801"/>
      <c r="L59" s="801"/>
      <c r="M59" s="749"/>
    </row>
    <row r="60" spans="1:13" s="746" customFormat="1" x14ac:dyDescent="0.25">
      <c r="A60" s="764" t="s">
        <v>2645</v>
      </c>
      <c r="B60" s="779" t="s">
        <v>86</v>
      </c>
      <c r="C60" s="1048"/>
      <c r="D60" s="1048"/>
      <c r="E60" s="801"/>
      <c r="G60" s="801"/>
      <c r="H60" s="801"/>
      <c r="I60" s="1049"/>
      <c r="J60" s="802"/>
      <c r="K60" s="801"/>
      <c r="L60" s="801"/>
      <c r="M60" s="749"/>
    </row>
    <row r="61" spans="1:13" s="746" customFormat="1" x14ac:dyDescent="0.25">
      <c r="A61" s="764">
        <v>17</v>
      </c>
      <c r="B61" s="472" t="s">
        <v>216</v>
      </c>
      <c r="C61" s="1105">
        <v>0</v>
      </c>
      <c r="D61" s="997">
        <v>0</v>
      </c>
      <c r="E61" s="1106">
        <v>0</v>
      </c>
      <c r="G61" s="804"/>
      <c r="H61" s="804"/>
      <c r="I61" s="804"/>
      <c r="J61" s="804"/>
      <c r="K61" s="736"/>
      <c r="L61" s="736"/>
      <c r="M61" s="749"/>
    </row>
    <row r="62" spans="1:13" s="746" customFormat="1" x14ac:dyDescent="0.25">
      <c r="A62" s="764">
        <v>18</v>
      </c>
      <c r="B62" s="739"/>
      <c r="C62" s="739"/>
      <c r="D62" s="739"/>
      <c r="E62" s="739"/>
      <c r="F62" s="739"/>
      <c r="G62" s="739"/>
      <c r="H62" s="739"/>
      <c r="I62" s="736"/>
      <c r="J62" s="736"/>
      <c r="K62" s="736"/>
      <c r="L62" s="736"/>
      <c r="M62" s="738"/>
    </row>
    <row r="63" spans="1:13" s="746" customFormat="1" x14ac:dyDescent="0.25">
      <c r="A63" s="764">
        <v>19</v>
      </c>
      <c r="B63" s="805" t="s">
        <v>256</v>
      </c>
      <c r="C63" s="739"/>
      <c r="D63" s="739"/>
      <c r="E63" s="739"/>
      <c r="F63" s="739"/>
      <c r="G63" s="739"/>
      <c r="H63" s="739"/>
      <c r="I63" s="736"/>
      <c r="J63" s="736"/>
      <c r="K63" s="736"/>
      <c r="L63" s="736"/>
      <c r="M63" s="738"/>
    </row>
    <row r="64" spans="1:13" s="746" customFormat="1" x14ac:dyDescent="0.25">
      <c r="A64" s="739"/>
      <c r="B64" s="806" t="s">
        <v>2646</v>
      </c>
      <c r="I64" s="806"/>
      <c r="J64" s="806"/>
      <c r="K64" s="806"/>
      <c r="L64" s="806"/>
      <c r="M64" s="738"/>
    </row>
    <row r="65" spans="1:13" s="746" customFormat="1" x14ac:dyDescent="0.25">
      <c r="A65" s="739"/>
      <c r="B65" s="806" t="s">
        <v>2799</v>
      </c>
      <c r="I65" s="806"/>
      <c r="J65" s="806"/>
      <c r="K65" s="806"/>
      <c r="L65" s="806"/>
      <c r="M65" s="738"/>
    </row>
    <row r="66" spans="1:13" s="746" customFormat="1" x14ac:dyDescent="0.25">
      <c r="A66" s="739"/>
      <c r="B66" s="806" t="s">
        <v>2830</v>
      </c>
      <c r="I66" s="806"/>
      <c r="J66" s="806"/>
      <c r="K66" s="806"/>
      <c r="L66" s="806"/>
      <c r="M66" s="738"/>
    </row>
    <row r="67" spans="1:13" s="746" customFormat="1" x14ac:dyDescent="0.25">
      <c r="A67" s="739"/>
      <c r="B67" s="1050" t="s">
        <v>2831</v>
      </c>
      <c r="C67" s="806"/>
      <c r="D67" s="806"/>
      <c r="E67" s="806"/>
      <c r="F67" s="806"/>
      <c r="G67" s="806"/>
      <c r="I67" s="806"/>
      <c r="J67" s="806"/>
      <c r="K67" s="806"/>
      <c r="L67" s="806"/>
      <c r="M67" s="738"/>
    </row>
    <row r="68" spans="1:13" s="746" customFormat="1" x14ac:dyDescent="0.25">
      <c r="A68" s="739"/>
      <c r="B68" s="1050" t="s">
        <v>2832</v>
      </c>
      <c r="C68" s="806"/>
      <c r="D68" s="806"/>
      <c r="E68" s="806"/>
      <c r="F68" s="806"/>
      <c r="G68" s="806"/>
      <c r="I68" s="806"/>
      <c r="J68" s="806"/>
      <c r="K68" s="806"/>
      <c r="L68" s="806"/>
      <c r="M68" s="738"/>
    </row>
    <row r="69" spans="1:13" s="746" customFormat="1" x14ac:dyDescent="0.25">
      <c r="A69" s="739"/>
      <c r="B69" s="1086" t="s">
        <v>2833</v>
      </c>
      <c r="I69" s="806"/>
      <c r="J69" s="806"/>
      <c r="K69" s="806"/>
      <c r="L69" s="806"/>
      <c r="M69" s="738"/>
    </row>
    <row r="70" spans="1:13" s="746" customFormat="1" x14ac:dyDescent="0.25">
      <c r="A70" s="739"/>
      <c r="B70" s="806" t="s">
        <v>2834</v>
      </c>
      <c r="I70" s="806"/>
      <c r="J70" s="806"/>
      <c r="K70" s="806"/>
      <c r="L70" s="806"/>
      <c r="M70" s="738"/>
    </row>
    <row r="71" spans="1:13" s="746" customFormat="1" x14ac:dyDescent="0.25">
      <c r="A71" s="739"/>
      <c r="B71" s="806" t="s">
        <v>2835</v>
      </c>
      <c r="I71" s="806"/>
      <c r="J71" s="806"/>
      <c r="K71" s="806"/>
      <c r="L71" s="806"/>
      <c r="M71" s="738"/>
    </row>
    <row r="72" spans="1:13" s="746" customFormat="1" x14ac:dyDescent="0.25">
      <c r="A72" s="739"/>
      <c r="B72" s="806" t="s">
        <v>2836</v>
      </c>
      <c r="I72" s="806"/>
      <c r="J72" s="806"/>
      <c r="K72" s="806"/>
      <c r="L72" s="806"/>
      <c r="M72" s="738"/>
    </row>
    <row r="73" spans="1:13" s="746" customFormat="1" x14ac:dyDescent="0.25">
      <c r="A73" s="739"/>
      <c r="B73" s="806" t="s">
        <v>2837</v>
      </c>
      <c r="I73" s="806"/>
      <c r="J73" s="806"/>
      <c r="K73" s="806"/>
      <c r="L73" s="806"/>
      <c r="M73" s="738"/>
    </row>
    <row r="74" spans="1:13" s="746" customFormat="1" x14ac:dyDescent="0.25">
      <c r="A74" s="739"/>
      <c r="B74" s="806" t="s">
        <v>2838</v>
      </c>
      <c r="I74" s="806"/>
      <c r="J74" s="806"/>
      <c r="K74" s="806"/>
      <c r="L74" s="806"/>
      <c r="M74" s="738"/>
    </row>
    <row r="75" spans="1:13" s="746" customFormat="1" x14ac:dyDescent="0.25">
      <c r="A75" s="739"/>
      <c r="B75" s="1050" t="s">
        <v>2839</v>
      </c>
      <c r="I75" s="806"/>
      <c r="J75" s="806"/>
      <c r="K75" s="806"/>
      <c r="L75" s="806"/>
      <c r="M75" s="738"/>
    </row>
    <row r="76" spans="1:13" s="746" customFormat="1" x14ac:dyDescent="0.25">
      <c r="A76" s="739"/>
      <c r="B76" s="1050" t="s">
        <v>2840</v>
      </c>
      <c r="I76" s="806"/>
      <c r="J76" s="806"/>
      <c r="K76" s="806"/>
      <c r="L76" s="806"/>
      <c r="M76" s="738"/>
    </row>
    <row r="77" spans="1:13" s="746" customFormat="1" x14ac:dyDescent="0.25">
      <c r="A77" s="739"/>
      <c r="B77" s="1050" t="s">
        <v>2841</v>
      </c>
      <c r="I77" s="806"/>
      <c r="J77" s="806"/>
      <c r="K77" s="806"/>
      <c r="L77" s="806"/>
      <c r="M77" s="738"/>
    </row>
    <row r="78" spans="1:13" s="746" customFormat="1" ht="15.6" x14ac:dyDescent="0.35">
      <c r="A78" s="739"/>
      <c r="B78" s="806" t="s">
        <v>2842</v>
      </c>
      <c r="I78" s="806"/>
      <c r="J78" s="806"/>
      <c r="K78" s="806"/>
      <c r="L78" s="806"/>
      <c r="M78" s="738"/>
    </row>
    <row r="79" spans="1:13" s="746" customFormat="1" x14ac:dyDescent="0.25">
      <c r="A79" s="739"/>
      <c r="B79" s="806" t="s">
        <v>2843</v>
      </c>
      <c r="I79" s="806"/>
      <c r="J79" s="806"/>
      <c r="K79" s="806"/>
      <c r="L79" s="806"/>
      <c r="M79" s="738"/>
    </row>
    <row r="80" spans="1:13" s="746" customFormat="1" x14ac:dyDescent="0.25">
      <c r="A80" s="739"/>
      <c r="B80" s="806" t="s">
        <v>2844</v>
      </c>
      <c r="I80" s="806"/>
      <c r="J80" s="806"/>
      <c r="K80" s="806"/>
      <c r="L80" s="806"/>
      <c r="M80" s="738"/>
    </row>
    <row r="81" spans="1:13" s="746" customFormat="1" x14ac:dyDescent="0.25">
      <c r="A81" s="739"/>
      <c r="B81" s="806" t="s">
        <v>2845</v>
      </c>
      <c r="I81" s="806"/>
      <c r="J81" s="806"/>
      <c r="K81" s="806"/>
      <c r="L81" s="806"/>
      <c r="M81" s="738"/>
    </row>
    <row r="82" spans="1:13" s="746" customFormat="1" x14ac:dyDescent="0.25">
      <c r="A82" s="739"/>
      <c r="B82" s="806" t="s">
        <v>2846</v>
      </c>
      <c r="I82" s="806"/>
      <c r="J82" s="806"/>
      <c r="K82" s="806"/>
      <c r="L82" s="806"/>
      <c r="M82" s="738"/>
    </row>
    <row r="83" spans="1:13" x14ac:dyDescent="0.25">
      <c r="A83" s="764">
        <v>20</v>
      </c>
    </row>
    <row r="84" spans="1:13" s="746" customFormat="1" x14ac:dyDescent="0.25">
      <c r="A84" s="764">
        <v>21</v>
      </c>
      <c r="B84" s="807"/>
      <c r="C84" s="739"/>
      <c r="D84" s="739"/>
      <c r="M84" s="738"/>
    </row>
    <row r="85" spans="1:13" s="746" customFormat="1" ht="15.6" x14ac:dyDescent="0.3">
      <c r="A85" s="764">
        <v>22</v>
      </c>
      <c r="B85" s="735" t="s">
        <v>1314</v>
      </c>
      <c r="C85" s="739"/>
      <c r="D85" s="739"/>
      <c r="E85" s="739"/>
      <c r="F85" s="739"/>
      <c r="G85" s="739"/>
      <c r="H85" s="739"/>
      <c r="I85" s="739"/>
      <c r="J85" s="739"/>
      <c r="K85" s="739"/>
      <c r="L85" s="739"/>
      <c r="M85" s="738"/>
    </row>
    <row r="86" spans="1:13" x14ac:dyDescent="0.25">
      <c r="A86" s="764">
        <v>23</v>
      </c>
    </row>
    <row r="87" spans="1:13" x14ac:dyDescent="0.25">
      <c r="A87" s="764">
        <v>24</v>
      </c>
    </row>
    <row r="88" spans="1:13" s="746" customFormat="1" ht="25.5" customHeight="1" x14ac:dyDescent="0.25">
      <c r="A88" s="764">
        <v>25</v>
      </c>
      <c r="B88" s="761" t="str">
        <f>B11</f>
        <v>CPUC Rate Group</v>
      </c>
      <c r="C88" s="808" t="s">
        <v>1315</v>
      </c>
      <c r="D88" s="809"/>
      <c r="E88" s="809"/>
      <c r="F88" s="809"/>
      <c r="G88" s="809"/>
      <c r="H88" s="809"/>
      <c r="I88" s="809"/>
      <c r="J88" s="810"/>
      <c r="K88" s="739"/>
      <c r="L88" s="739"/>
      <c r="M88" s="738"/>
    </row>
    <row r="89" spans="1:13" s="746" customFormat="1" x14ac:dyDescent="0.25">
      <c r="A89" s="764" t="s">
        <v>2647</v>
      </c>
      <c r="B89" s="811" t="s">
        <v>2593</v>
      </c>
      <c r="C89" s="812" t="s">
        <v>2847</v>
      </c>
      <c r="D89" s="813"/>
      <c r="E89" s="813"/>
      <c r="F89" s="813"/>
      <c r="G89" s="813"/>
      <c r="H89" s="813"/>
      <c r="I89" s="814"/>
      <c r="J89" s="814"/>
      <c r="K89" s="739"/>
      <c r="L89" s="739"/>
      <c r="M89" s="738"/>
    </row>
    <row r="90" spans="1:13" s="746" customFormat="1" x14ac:dyDescent="0.25">
      <c r="A90" s="764"/>
      <c r="B90" s="1051" t="s">
        <v>2800</v>
      </c>
      <c r="C90" s="1052"/>
      <c r="D90" s="1052" t="s">
        <v>2848</v>
      </c>
      <c r="E90" s="1053"/>
      <c r="F90" s="1053"/>
      <c r="G90" s="1053"/>
      <c r="H90" s="1053"/>
      <c r="I90" s="814"/>
      <c r="J90" s="814"/>
      <c r="K90" s="739"/>
      <c r="L90" s="739"/>
      <c r="M90" s="738"/>
    </row>
    <row r="91" spans="1:13" s="746" customFormat="1" x14ac:dyDescent="0.25">
      <c r="A91" s="764" t="s">
        <v>2648</v>
      </c>
      <c r="B91" s="811" t="s">
        <v>2594</v>
      </c>
      <c r="C91" s="812" t="s">
        <v>2849</v>
      </c>
      <c r="D91" s="813"/>
      <c r="E91" s="813"/>
      <c r="F91" s="813"/>
      <c r="G91" s="813"/>
      <c r="H91" s="813"/>
      <c r="I91" s="814"/>
      <c r="J91" s="811"/>
      <c r="K91" s="739"/>
      <c r="L91" s="739"/>
      <c r="M91" s="738"/>
    </row>
    <row r="92" spans="1:13" s="746" customFormat="1" x14ac:dyDescent="0.25">
      <c r="A92" s="764" t="s">
        <v>2649</v>
      </c>
      <c r="B92" s="811" t="s">
        <v>2596</v>
      </c>
      <c r="C92" s="812" t="s">
        <v>2850</v>
      </c>
      <c r="D92" s="813"/>
      <c r="E92" s="813"/>
      <c r="F92" s="813"/>
      <c r="G92" s="813"/>
      <c r="H92" s="813"/>
      <c r="I92" s="814"/>
      <c r="J92" s="811"/>
      <c r="K92" s="739"/>
      <c r="L92" s="739"/>
      <c r="M92" s="738"/>
    </row>
    <row r="93" spans="1:13" s="746" customFormat="1" x14ac:dyDescent="0.25">
      <c r="A93" s="764" t="s">
        <v>2650</v>
      </c>
      <c r="B93" s="811" t="s">
        <v>2597</v>
      </c>
      <c r="C93" s="812" t="s">
        <v>2851</v>
      </c>
      <c r="D93" s="813"/>
      <c r="E93" s="813"/>
      <c r="F93" s="813"/>
      <c r="G93" s="813"/>
      <c r="H93" s="813"/>
      <c r="I93" s="814"/>
      <c r="J93" s="811"/>
      <c r="K93" s="739"/>
      <c r="L93" s="739"/>
      <c r="M93" s="738"/>
    </row>
    <row r="94" spans="1:13" s="746" customFormat="1" x14ac:dyDescent="0.25">
      <c r="A94" s="764" t="s">
        <v>2651</v>
      </c>
      <c r="B94" s="811" t="s">
        <v>2598</v>
      </c>
      <c r="C94" s="812" t="s">
        <v>2852</v>
      </c>
      <c r="D94" s="813"/>
      <c r="E94" s="813"/>
      <c r="F94" s="813"/>
      <c r="G94" s="813"/>
      <c r="H94" s="813"/>
      <c r="I94" s="814"/>
      <c r="J94" s="811"/>
      <c r="K94" s="739"/>
      <c r="L94" s="739"/>
      <c r="M94" s="738"/>
    </row>
    <row r="95" spans="1:13" s="746" customFormat="1" x14ac:dyDescent="0.25">
      <c r="A95" s="764" t="s">
        <v>2652</v>
      </c>
      <c r="B95" s="1051" t="s">
        <v>2599</v>
      </c>
      <c r="C95" s="1052" t="s">
        <v>2853</v>
      </c>
      <c r="D95" s="1053"/>
      <c r="E95" s="1053"/>
      <c r="F95" s="1053"/>
      <c r="G95" s="1053"/>
      <c r="H95" s="1053"/>
      <c r="I95" s="1053"/>
      <c r="J95" s="1051"/>
      <c r="K95" s="739"/>
      <c r="L95" s="739"/>
      <c r="M95" s="738"/>
    </row>
    <row r="96" spans="1:13" x14ac:dyDescent="0.25">
      <c r="A96" s="764" t="s">
        <v>2653</v>
      </c>
      <c r="B96" s="1051" t="s">
        <v>2600</v>
      </c>
      <c r="C96" s="1052" t="s">
        <v>2853</v>
      </c>
      <c r="D96" s="1053"/>
      <c r="E96" s="1053"/>
      <c r="F96" s="1053"/>
      <c r="G96" s="1053"/>
      <c r="H96" s="1053"/>
      <c r="I96" s="1053"/>
      <c r="J96" s="1051"/>
    </row>
    <row r="97" spans="1:13" x14ac:dyDescent="0.25">
      <c r="A97" s="764" t="s">
        <v>2654</v>
      </c>
      <c r="B97" s="1051" t="s">
        <v>2601</v>
      </c>
      <c r="C97" s="1052" t="s">
        <v>2853</v>
      </c>
      <c r="D97" s="1053"/>
      <c r="E97" s="1053"/>
      <c r="F97" s="1053"/>
      <c r="G97" s="1053"/>
      <c r="H97" s="1053"/>
      <c r="I97" s="1053"/>
      <c r="J97" s="1051"/>
    </row>
    <row r="98" spans="1:13" x14ac:dyDescent="0.25">
      <c r="A98" s="764" t="s">
        <v>2655</v>
      </c>
      <c r="B98" s="1051" t="s">
        <v>2602</v>
      </c>
      <c r="C98" s="1052" t="s">
        <v>2854</v>
      </c>
      <c r="D98" s="1053"/>
      <c r="E98" s="1053"/>
      <c r="F98" s="1053"/>
      <c r="G98" s="1053"/>
      <c r="H98" s="1053"/>
      <c r="I98" s="1054"/>
      <c r="J98" s="1051"/>
    </row>
    <row r="99" spans="1:13" x14ac:dyDescent="0.25">
      <c r="A99" s="764" t="s">
        <v>2656</v>
      </c>
      <c r="B99" s="1051" t="s">
        <v>2603</v>
      </c>
      <c r="C99" s="1052" t="s">
        <v>2855</v>
      </c>
      <c r="D99" s="1053"/>
      <c r="E99" s="1053"/>
      <c r="F99" s="1053"/>
      <c r="G99" s="1053"/>
      <c r="H99" s="1053"/>
      <c r="I99" s="1054"/>
      <c r="J99" s="1051"/>
    </row>
    <row r="100" spans="1:13" x14ac:dyDescent="0.25">
      <c r="A100" s="764" t="s">
        <v>2657</v>
      </c>
      <c r="B100" s="1051" t="s">
        <v>2604</v>
      </c>
      <c r="C100" s="1052" t="s">
        <v>2855</v>
      </c>
      <c r="D100" s="1053"/>
      <c r="E100" s="1053"/>
      <c r="F100" s="1053"/>
      <c r="G100" s="1053"/>
      <c r="H100" s="1053"/>
      <c r="I100" s="1054"/>
      <c r="J100" s="1051"/>
    </row>
    <row r="101" spans="1:13" x14ac:dyDescent="0.25">
      <c r="A101" s="764" t="s">
        <v>2658</v>
      </c>
      <c r="B101" s="811" t="s">
        <v>2605</v>
      </c>
      <c r="C101" s="812" t="s">
        <v>2856</v>
      </c>
      <c r="D101" s="813"/>
      <c r="E101" s="813"/>
      <c r="F101" s="813"/>
      <c r="G101" s="813"/>
      <c r="H101" s="813"/>
      <c r="I101" s="814"/>
      <c r="J101" s="811"/>
    </row>
    <row r="102" spans="1:13" x14ac:dyDescent="0.25">
      <c r="A102" s="764" t="s">
        <v>2659</v>
      </c>
      <c r="B102" s="811" t="s">
        <v>2606</v>
      </c>
      <c r="C102" s="812" t="s">
        <v>2857</v>
      </c>
      <c r="D102" s="813"/>
      <c r="E102" s="813"/>
      <c r="F102" s="813"/>
      <c r="G102" s="813"/>
      <c r="H102" s="813"/>
      <c r="I102" s="814"/>
      <c r="J102" s="811"/>
    </row>
    <row r="103" spans="1:13" x14ac:dyDescent="0.25">
      <c r="A103" s="764" t="s">
        <v>2660</v>
      </c>
      <c r="B103" s="811" t="s">
        <v>2607</v>
      </c>
      <c r="C103" s="812" t="s">
        <v>2858</v>
      </c>
      <c r="D103" s="813"/>
      <c r="E103" s="813"/>
      <c r="F103" s="813"/>
      <c r="G103" s="813"/>
      <c r="H103" s="813"/>
      <c r="I103" s="814"/>
      <c r="J103" s="811"/>
    </row>
    <row r="104" spans="1:13" x14ac:dyDescent="0.25">
      <c r="A104" s="764" t="s">
        <v>2661</v>
      </c>
      <c r="B104" s="815" t="s">
        <v>86</v>
      </c>
      <c r="C104" s="812"/>
      <c r="D104" s="813"/>
      <c r="E104" s="813"/>
      <c r="F104" s="813"/>
      <c r="G104" s="813"/>
      <c r="H104" s="813"/>
      <c r="I104" s="814"/>
      <c r="J104" s="811"/>
    </row>
    <row r="105" spans="1:13" x14ac:dyDescent="0.25">
      <c r="A105" s="764">
        <v>27</v>
      </c>
    </row>
    <row r="106" spans="1:13" x14ac:dyDescent="0.25">
      <c r="A106" s="764">
        <f t="shared" ref="A106:A112" si="2">A105+1</f>
        <v>28</v>
      </c>
    </row>
    <row r="107" spans="1:13" ht="15.6" x14ac:dyDescent="0.3">
      <c r="A107" s="764">
        <f t="shared" si="2"/>
        <v>29</v>
      </c>
      <c r="B107" s="735" t="s">
        <v>1316</v>
      </c>
    </row>
    <row r="108" spans="1:13" x14ac:dyDescent="0.25">
      <c r="A108" s="764">
        <f t="shared" si="2"/>
        <v>30</v>
      </c>
      <c r="C108" s="748" t="s">
        <v>394</v>
      </c>
      <c r="D108" s="748" t="s">
        <v>378</v>
      </c>
      <c r="E108" s="748" t="s">
        <v>379</v>
      </c>
      <c r="F108" s="748" t="s">
        <v>380</v>
      </c>
      <c r="G108" s="816" t="s">
        <v>381</v>
      </c>
      <c r="H108" s="816" t="s">
        <v>382</v>
      </c>
      <c r="I108" s="816" t="s">
        <v>383</v>
      </c>
      <c r="J108" s="816" t="s">
        <v>595</v>
      </c>
      <c r="K108" s="816" t="s">
        <v>1043</v>
      </c>
      <c r="L108" s="816" t="s">
        <v>1059</v>
      </c>
      <c r="M108" s="816" t="s">
        <v>1062</v>
      </c>
    </row>
    <row r="109" spans="1:13" s="753" customFormat="1" ht="39.6" x14ac:dyDescent="0.25">
      <c r="A109" s="817">
        <f t="shared" si="2"/>
        <v>31</v>
      </c>
      <c r="C109" s="754"/>
      <c r="D109" s="754"/>
      <c r="E109" s="754"/>
      <c r="F109" s="787" t="s">
        <v>2662</v>
      </c>
      <c r="G109" s="818"/>
      <c r="H109" s="787"/>
      <c r="I109" s="1087" t="s">
        <v>2663</v>
      </c>
      <c r="J109" s="1087" t="s">
        <v>2859</v>
      </c>
      <c r="K109" s="1087" t="s">
        <v>2860</v>
      </c>
      <c r="L109" s="1087" t="s">
        <v>2861</v>
      </c>
      <c r="M109" s="1087" t="s">
        <v>2862</v>
      </c>
    </row>
    <row r="110" spans="1:13" s="819" customFormat="1" x14ac:dyDescent="0.25">
      <c r="A110" s="764">
        <f t="shared" si="2"/>
        <v>32</v>
      </c>
      <c r="C110" s="820"/>
      <c r="D110" s="820"/>
      <c r="E110" s="820"/>
      <c r="F110" s="821"/>
      <c r="G110" s="822"/>
      <c r="H110" s="821"/>
      <c r="I110" s="1073" t="s">
        <v>2863</v>
      </c>
      <c r="J110" s="1088"/>
      <c r="K110" s="821"/>
      <c r="L110" s="821"/>
      <c r="M110" s="821"/>
    </row>
    <row r="111" spans="1:13" ht="21.75" customHeight="1" x14ac:dyDescent="0.25">
      <c r="A111" s="764">
        <f t="shared" si="2"/>
        <v>33</v>
      </c>
      <c r="B111" s="823"/>
      <c r="C111" s="1155" t="s">
        <v>1647</v>
      </c>
      <c r="D111" s="1156"/>
      <c r="E111" s="1156"/>
      <c r="F111" s="1159"/>
      <c r="G111" s="823"/>
      <c r="H111" s="824"/>
      <c r="I111" s="825"/>
      <c r="J111" s="825"/>
      <c r="K111" s="823"/>
      <c r="L111" s="825"/>
      <c r="M111" s="826"/>
    </row>
    <row r="112" spans="1:13" s="783" customFormat="1" ht="51.75" customHeight="1" x14ac:dyDescent="0.25">
      <c r="A112" s="764">
        <f t="shared" si="2"/>
        <v>34</v>
      </c>
      <c r="B112" s="827" t="str">
        <f>B11</f>
        <v>CPUC Rate Group</v>
      </c>
      <c r="C112" s="1089"/>
      <c r="D112" s="1090"/>
      <c r="E112" s="1090"/>
      <c r="F112" s="827" t="s">
        <v>2664</v>
      </c>
      <c r="G112" s="827" t="s">
        <v>1317</v>
      </c>
      <c r="H112" s="828" t="s">
        <v>2864</v>
      </c>
      <c r="I112" s="1091" t="s">
        <v>2865</v>
      </c>
      <c r="J112" s="827" t="s">
        <v>2808</v>
      </c>
      <c r="K112" s="827" t="s">
        <v>2866</v>
      </c>
      <c r="L112" s="827" t="s">
        <v>1648</v>
      </c>
      <c r="M112" s="827" t="s">
        <v>2665</v>
      </c>
    </row>
    <row r="113" spans="1:13" x14ac:dyDescent="0.25">
      <c r="A113" s="764" t="s">
        <v>2666</v>
      </c>
      <c r="B113" s="471" t="str">
        <f>B12</f>
        <v>Domestic</v>
      </c>
      <c r="C113" s="1092"/>
      <c r="D113" s="1092"/>
      <c r="E113" s="1092"/>
      <c r="F113" s="1110" t="s">
        <v>86</v>
      </c>
      <c r="G113" s="831"/>
      <c r="H113" s="832"/>
      <c r="I113" s="1110" t="s">
        <v>86</v>
      </c>
      <c r="J113" s="1110" t="s">
        <v>86</v>
      </c>
      <c r="K113" s="1110" t="s">
        <v>86</v>
      </c>
      <c r="L113" s="1110" t="s">
        <v>86</v>
      </c>
      <c r="M113" s="1097" t="s">
        <v>2690</v>
      </c>
    </row>
    <row r="114" spans="1:13" x14ac:dyDescent="0.25">
      <c r="A114" s="764" t="s">
        <v>2667</v>
      </c>
      <c r="B114" s="471" t="str">
        <f>B13</f>
        <v>GS-1</v>
      </c>
      <c r="C114" s="1092"/>
      <c r="D114" s="1092"/>
      <c r="E114" s="1092"/>
      <c r="F114" s="1110" t="s">
        <v>86</v>
      </c>
      <c r="G114" s="831"/>
      <c r="H114" s="832"/>
      <c r="I114" s="1110" t="s">
        <v>86</v>
      </c>
      <c r="J114" s="1110" t="s">
        <v>86</v>
      </c>
      <c r="K114" s="1110" t="s">
        <v>86</v>
      </c>
      <c r="L114" s="1110" t="s">
        <v>86</v>
      </c>
      <c r="M114" s="1097" t="s">
        <v>2690</v>
      </c>
    </row>
    <row r="115" spans="1:13" x14ac:dyDescent="0.25">
      <c r="A115" s="764" t="s">
        <v>2668</v>
      </c>
      <c r="B115" s="471" t="str">
        <f t="shared" ref="B115:B126" si="3">B15</f>
        <v>TC-1</v>
      </c>
      <c r="C115" s="1092"/>
      <c r="D115" s="1092"/>
      <c r="E115" s="1092"/>
      <c r="F115" s="1110" t="s">
        <v>86</v>
      </c>
      <c r="G115" s="831"/>
      <c r="H115" s="832"/>
      <c r="I115" s="1110" t="s">
        <v>86</v>
      </c>
      <c r="J115" s="1110" t="s">
        <v>86</v>
      </c>
      <c r="K115" s="1110" t="s">
        <v>86</v>
      </c>
      <c r="L115" s="1110" t="s">
        <v>86</v>
      </c>
      <c r="M115" s="1097" t="s">
        <v>2690</v>
      </c>
    </row>
    <row r="116" spans="1:13" x14ac:dyDescent="0.25">
      <c r="A116" s="764" t="s">
        <v>2669</v>
      </c>
      <c r="B116" s="471" t="str">
        <f t="shared" si="3"/>
        <v>GS-2</v>
      </c>
      <c r="C116" s="1092"/>
      <c r="D116" s="1092"/>
      <c r="E116" s="1092"/>
      <c r="F116" s="1110" t="s">
        <v>86</v>
      </c>
      <c r="G116" s="831"/>
      <c r="H116" s="832"/>
      <c r="I116" s="1110" t="s">
        <v>86</v>
      </c>
      <c r="J116" s="1110" t="s">
        <v>86</v>
      </c>
      <c r="K116" s="1110" t="s">
        <v>86</v>
      </c>
      <c r="L116" s="1110" t="s">
        <v>86</v>
      </c>
      <c r="M116" s="1097" t="s">
        <v>2690</v>
      </c>
    </row>
    <row r="117" spans="1:13" x14ac:dyDescent="0.25">
      <c r="A117" s="764" t="s">
        <v>2670</v>
      </c>
      <c r="B117" s="471" t="str">
        <f t="shared" si="3"/>
        <v>TOU-GS-3</v>
      </c>
      <c r="C117" s="1092"/>
      <c r="D117" s="1092"/>
      <c r="E117" s="1092"/>
      <c r="F117" s="1110" t="s">
        <v>86</v>
      </c>
      <c r="G117" s="831"/>
      <c r="H117" s="832"/>
      <c r="I117" s="1110" t="s">
        <v>86</v>
      </c>
      <c r="J117" s="1110" t="s">
        <v>86</v>
      </c>
      <c r="K117" s="1110" t="s">
        <v>86</v>
      </c>
      <c r="L117" s="1110" t="s">
        <v>86</v>
      </c>
      <c r="M117" s="1097" t="s">
        <v>2690</v>
      </c>
    </row>
    <row r="118" spans="1:13" x14ac:dyDescent="0.25">
      <c r="A118" s="764" t="s">
        <v>2671</v>
      </c>
      <c r="B118" s="471" t="str">
        <f t="shared" si="3"/>
        <v>TOU-8-SEC</v>
      </c>
      <c r="C118" s="1092"/>
      <c r="D118" s="1092"/>
      <c r="E118" s="1092"/>
      <c r="F118" s="1110" t="s">
        <v>86</v>
      </c>
      <c r="G118" s="831"/>
      <c r="H118" s="1094"/>
      <c r="I118" s="1110" t="s">
        <v>86</v>
      </c>
      <c r="J118" s="1110" t="s">
        <v>86</v>
      </c>
      <c r="K118" s="1110" t="s">
        <v>86</v>
      </c>
      <c r="L118" s="1110" t="s">
        <v>86</v>
      </c>
      <c r="M118" s="1097" t="s">
        <v>2690</v>
      </c>
    </row>
    <row r="119" spans="1:13" x14ac:dyDescent="0.25">
      <c r="A119" s="764" t="s">
        <v>2672</v>
      </c>
      <c r="B119" s="471" t="str">
        <f t="shared" si="3"/>
        <v>TOU-8-PRI</v>
      </c>
      <c r="C119" s="1092"/>
      <c r="D119" s="1092"/>
      <c r="E119" s="1092"/>
      <c r="F119" s="1110" t="s">
        <v>86</v>
      </c>
      <c r="G119" s="831"/>
      <c r="H119" s="1094"/>
      <c r="I119" s="1110" t="s">
        <v>86</v>
      </c>
      <c r="J119" s="1110" t="s">
        <v>86</v>
      </c>
      <c r="K119" s="1110" t="s">
        <v>86</v>
      </c>
      <c r="L119" s="1110" t="s">
        <v>86</v>
      </c>
      <c r="M119" s="1097" t="s">
        <v>2690</v>
      </c>
    </row>
    <row r="120" spans="1:13" x14ac:dyDescent="0.25">
      <c r="A120" s="764" t="s">
        <v>2673</v>
      </c>
      <c r="B120" s="471" t="str">
        <f t="shared" si="3"/>
        <v>TOU-8-SUB</v>
      </c>
      <c r="C120" s="1092"/>
      <c r="D120" s="1092"/>
      <c r="E120" s="1092"/>
      <c r="F120" s="1110" t="s">
        <v>86</v>
      </c>
      <c r="G120" s="831"/>
      <c r="H120" s="1094"/>
      <c r="I120" s="1110" t="s">
        <v>86</v>
      </c>
      <c r="J120" s="1110" t="s">
        <v>86</v>
      </c>
      <c r="K120" s="1110" t="s">
        <v>86</v>
      </c>
      <c r="L120" s="1110" t="s">
        <v>86</v>
      </c>
      <c r="M120" s="1097" t="s">
        <v>2690</v>
      </c>
    </row>
    <row r="121" spans="1:13" x14ac:dyDescent="0.25">
      <c r="A121" s="764" t="s">
        <v>2674</v>
      </c>
      <c r="B121" s="471" t="str">
        <f t="shared" si="3"/>
        <v>TOU-8-Standby-SEC</v>
      </c>
      <c r="C121" s="1092"/>
      <c r="D121" s="1092"/>
      <c r="E121" s="1092"/>
      <c r="F121" s="1110" t="s">
        <v>86</v>
      </c>
      <c r="G121" s="831"/>
      <c r="H121" s="1094"/>
      <c r="I121" s="1110" t="s">
        <v>86</v>
      </c>
      <c r="J121" s="1110" t="s">
        <v>86</v>
      </c>
      <c r="K121" s="1110" t="s">
        <v>86</v>
      </c>
      <c r="L121" s="1110" t="s">
        <v>86</v>
      </c>
      <c r="M121" s="1097" t="s">
        <v>2690</v>
      </c>
    </row>
    <row r="122" spans="1:13" x14ac:dyDescent="0.25">
      <c r="A122" s="764" t="s">
        <v>2675</v>
      </c>
      <c r="B122" s="471" t="str">
        <f t="shared" si="3"/>
        <v>TOU-8-Standby-PRI</v>
      </c>
      <c r="C122" s="1092"/>
      <c r="D122" s="1092"/>
      <c r="E122" s="1092"/>
      <c r="F122" s="1110" t="s">
        <v>86</v>
      </c>
      <c r="G122" s="831"/>
      <c r="H122" s="1094"/>
      <c r="I122" s="1110" t="s">
        <v>86</v>
      </c>
      <c r="J122" s="1110" t="s">
        <v>86</v>
      </c>
      <c r="K122" s="1110" t="s">
        <v>86</v>
      </c>
      <c r="L122" s="1110" t="s">
        <v>86</v>
      </c>
      <c r="M122" s="1097" t="s">
        <v>2690</v>
      </c>
    </row>
    <row r="123" spans="1:13" x14ac:dyDescent="0.25">
      <c r="A123" s="764" t="s">
        <v>2676</v>
      </c>
      <c r="B123" s="471" t="str">
        <f t="shared" si="3"/>
        <v>TOU-8-Standby-SUB</v>
      </c>
      <c r="C123" s="1065"/>
      <c r="D123" s="1065"/>
      <c r="E123" s="1065"/>
      <c r="F123" s="1110" t="s">
        <v>86</v>
      </c>
      <c r="G123" s="831"/>
      <c r="H123" s="1094"/>
      <c r="I123" s="1110" t="s">
        <v>86</v>
      </c>
      <c r="J123" s="1110" t="s">
        <v>86</v>
      </c>
      <c r="K123" s="1110" t="s">
        <v>86</v>
      </c>
      <c r="L123" s="1110" t="s">
        <v>86</v>
      </c>
      <c r="M123" s="1097" t="s">
        <v>2690</v>
      </c>
    </row>
    <row r="124" spans="1:13" x14ac:dyDescent="0.25">
      <c r="A124" s="764" t="s">
        <v>2677</v>
      </c>
      <c r="B124" s="471" t="str">
        <f t="shared" si="3"/>
        <v>TOU-PA-2</v>
      </c>
      <c r="C124" s="1092"/>
      <c r="D124" s="1092"/>
      <c r="E124" s="1092"/>
      <c r="F124" s="1110" t="s">
        <v>86</v>
      </c>
      <c r="G124" s="831"/>
      <c r="H124" s="832"/>
      <c r="I124" s="1110" t="s">
        <v>86</v>
      </c>
      <c r="J124" s="1110" t="s">
        <v>86</v>
      </c>
      <c r="K124" s="1110" t="s">
        <v>86</v>
      </c>
      <c r="L124" s="1110" t="s">
        <v>86</v>
      </c>
      <c r="M124" s="1097" t="s">
        <v>2690</v>
      </c>
    </row>
    <row r="125" spans="1:13" x14ac:dyDescent="0.25">
      <c r="A125" s="764" t="s">
        <v>2678</v>
      </c>
      <c r="B125" s="471" t="str">
        <f t="shared" si="3"/>
        <v>TOU-PA-3</v>
      </c>
      <c r="C125" s="1092"/>
      <c r="D125" s="1092"/>
      <c r="E125" s="1092"/>
      <c r="F125" s="1110" t="s">
        <v>86</v>
      </c>
      <c r="G125" s="831"/>
      <c r="H125" s="832"/>
      <c r="I125" s="1110" t="s">
        <v>86</v>
      </c>
      <c r="J125" s="1110" t="s">
        <v>86</v>
      </c>
      <c r="K125" s="1110" t="s">
        <v>86</v>
      </c>
      <c r="L125" s="1110" t="s">
        <v>86</v>
      </c>
      <c r="M125" s="1097" t="s">
        <v>2690</v>
      </c>
    </row>
    <row r="126" spans="1:13" x14ac:dyDescent="0.25">
      <c r="A126" s="764" t="s">
        <v>2679</v>
      </c>
      <c r="B126" s="471" t="str">
        <f t="shared" si="3"/>
        <v>Street Lighting</v>
      </c>
      <c r="C126" s="1092"/>
      <c r="D126" s="1092"/>
      <c r="E126" s="1092"/>
      <c r="F126" s="1110" t="s">
        <v>86</v>
      </c>
      <c r="G126" s="831"/>
      <c r="H126" s="832"/>
      <c r="I126" s="1110" t="s">
        <v>86</v>
      </c>
      <c r="J126" s="1110" t="s">
        <v>86</v>
      </c>
      <c r="K126" s="1110" t="s">
        <v>86</v>
      </c>
      <c r="L126" s="1110" t="s">
        <v>86</v>
      </c>
      <c r="M126" s="1097" t="s">
        <v>2690</v>
      </c>
    </row>
    <row r="127" spans="1:13" x14ac:dyDescent="0.25">
      <c r="A127" s="764" t="s">
        <v>2680</v>
      </c>
      <c r="B127" s="779" t="s">
        <v>86</v>
      </c>
      <c r="C127" s="829"/>
      <c r="D127" s="829"/>
      <c r="E127" s="829"/>
      <c r="F127" s="830"/>
      <c r="G127" s="831"/>
      <c r="H127" s="832"/>
      <c r="I127" s="736"/>
      <c r="J127" s="736"/>
      <c r="K127" s="784"/>
      <c r="L127" s="830"/>
      <c r="M127" s="1093"/>
    </row>
    <row r="128" spans="1:13" x14ac:dyDescent="0.25">
      <c r="A128" s="764">
        <v>36</v>
      </c>
      <c r="B128" s="474" t="s">
        <v>216</v>
      </c>
      <c r="C128" s="1098" t="s">
        <v>86</v>
      </c>
      <c r="D128" s="1098" t="s">
        <v>86</v>
      </c>
      <c r="E128" s="1098" t="s">
        <v>86</v>
      </c>
      <c r="F128" s="1098" t="s">
        <v>86</v>
      </c>
      <c r="G128" s="1098" t="s">
        <v>86</v>
      </c>
      <c r="H128" s="1098" t="s">
        <v>86</v>
      </c>
      <c r="I128" s="1098" t="s">
        <v>86</v>
      </c>
      <c r="J128" s="1098" t="s">
        <v>86</v>
      </c>
      <c r="K128" s="1098" t="s">
        <v>86</v>
      </c>
      <c r="L128" s="1098" t="s">
        <v>86</v>
      </c>
      <c r="M128" s="1095" t="s">
        <v>2690</v>
      </c>
    </row>
    <row r="129" spans="10:13" x14ac:dyDescent="0.25">
      <c r="J129" s="833"/>
      <c r="L129" s="794"/>
      <c r="M129" s="795"/>
    </row>
    <row r="130" spans="10:13" x14ac:dyDescent="0.25">
      <c r="J130" s="833"/>
      <c r="L130" s="794"/>
      <c r="M130" s="795"/>
    </row>
    <row r="131" spans="10:13" x14ac:dyDescent="0.25">
      <c r="J131" s="833"/>
      <c r="L131" s="794"/>
      <c r="M131" s="795"/>
    </row>
    <row r="132" spans="10:13" x14ac:dyDescent="0.25">
      <c r="J132" s="833"/>
      <c r="L132" s="794"/>
      <c r="M132" s="795"/>
    </row>
    <row r="133" spans="10:13" x14ac:dyDescent="0.25">
      <c r="J133" s="833"/>
      <c r="L133" s="794"/>
      <c r="M133" s="795"/>
    </row>
    <row r="134" spans="10:13" x14ac:dyDescent="0.25">
      <c r="J134" s="833"/>
      <c r="L134" s="794"/>
      <c r="M134" s="795"/>
    </row>
    <row r="135" spans="10:13" x14ac:dyDescent="0.25">
      <c r="J135" s="833"/>
      <c r="L135" s="794"/>
      <c r="M135" s="795"/>
    </row>
    <row r="136" spans="10:13" x14ac:dyDescent="0.25">
      <c r="J136" s="833"/>
      <c r="L136" s="794"/>
      <c r="M136" s="795"/>
    </row>
    <row r="137" spans="10:13" x14ac:dyDescent="0.25">
      <c r="J137" s="833"/>
      <c r="L137" s="794"/>
      <c r="M137" s="795"/>
    </row>
    <row r="138" spans="10:13" x14ac:dyDescent="0.25">
      <c r="L138" s="794"/>
    </row>
    <row r="142" spans="10:13" x14ac:dyDescent="0.25">
      <c r="M142" s="739"/>
    </row>
    <row r="143" spans="10:13" x14ac:dyDescent="0.25">
      <c r="M143" s="739"/>
    </row>
    <row r="144" spans="10:13" x14ac:dyDescent="0.25">
      <c r="M144" s="739"/>
    </row>
    <row r="145" spans="13:13" x14ac:dyDescent="0.25">
      <c r="M145" s="739"/>
    </row>
    <row r="146" spans="13:13" x14ac:dyDescent="0.25">
      <c r="M146" s="739"/>
    </row>
    <row r="147" spans="13:13" x14ac:dyDescent="0.25">
      <c r="M147" s="739"/>
    </row>
    <row r="148" spans="13:13" x14ac:dyDescent="0.25">
      <c r="M148" s="739"/>
    </row>
    <row r="149" spans="13:13" x14ac:dyDescent="0.25">
      <c r="M149" s="739"/>
    </row>
    <row r="150" spans="13:13" x14ac:dyDescent="0.25">
      <c r="M150" s="739"/>
    </row>
    <row r="151" spans="13:13" x14ac:dyDescent="0.25">
      <c r="M151" s="739"/>
    </row>
    <row r="152" spans="13:13" x14ac:dyDescent="0.25">
      <c r="M152" s="739"/>
    </row>
    <row r="153" spans="13:13" x14ac:dyDescent="0.25">
      <c r="M153" s="739"/>
    </row>
    <row r="154" spans="13:13" x14ac:dyDescent="0.25">
      <c r="M154" s="739"/>
    </row>
    <row r="155" spans="13:13" x14ac:dyDescent="0.25">
      <c r="M155" s="739"/>
    </row>
    <row r="156" spans="13:13" x14ac:dyDescent="0.25">
      <c r="M156" s="739"/>
    </row>
    <row r="157" spans="13:13" x14ac:dyDescent="0.25">
      <c r="M157" s="739"/>
    </row>
    <row r="158" spans="13:13" x14ac:dyDescent="0.25">
      <c r="M158" s="739"/>
    </row>
    <row r="159" spans="13:13" x14ac:dyDescent="0.25">
      <c r="M159" s="739"/>
    </row>
    <row r="160" spans="13:13" x14ac:dyDescent="0.25">
      <c r="M160" s="739"/>
    </row>
    <row r="161" spans="13:13" x14ac:dyDescent="0.25">
      <c r="M161" s="739"/>
    </row>
    <row r="162" spans="13:13" x14ac:dyDescent="0.25">
      <c r="M162" s="739"/>
    </row>
    <row r="163" spans="13:13" x14ac:dyDescent="0.25">
      <c r="M163" s="739"/>
    </row>
    <row r="164" spans="13:13" x14ac:dyDescent="0.25">
      <c r="M164" s="739"/>
    </row>
    <row r="165" spans="13:13" x14ac:dyDescent="0.25">
      <c r="M165" s="739"/>
    </row>
    <row r="166" spans="13:13" x14ac:dyDescent="0.25">
      <c r="M166" s="739"/>
    </row>
    <row r="167" spans="13:13" x14ac:dyDescent="0.25">
      <c r="M167" s="739"/>
    </row>
    <row r="168" spans="13:13" x14ac:dyDescent="0.25">
      <c r="M168" s="739"/>
    </row>
    <row r="169" spans="13:13" x14ac:dyDescent="0.25">
      <c r="M169" s="739"/>
    </row>
    <row r="170" spans="13:13" x14ac:dyDescent="0.25">
      <c r="M170" s="739"/>
    </row>
    <row r="171" spans="13:13" x14ac:dyDescent="0.25">
      <c r="M171" s="739"/>
    </row>
    <row r="172" spans="13:13" x14ac:dyDescent="0.25">
      <c r="M172" s="739"/>
    </row>
    <row r="173" spans="13:13" x14ac:dyDescent="0.25">
      <c r="M173" s="739"/>
    </row>
    <row r="174" spans="13:13" x14ac:dyDescent="0.25">
      <c r="M174" s="739"/>
    </row>
    <row r="175" spans="13:13" x14ac:dyDescent="0.25">
      <c r="M175" s="739"/>
    </row>
    <row r="176" spans="13:13" x14ac:dyDescent="0.25">
      <c r="M176" s="739"/>
    </row>
    <row r="177" spans="13:13" x14ac:dyDescent="0.25">
      <c r="M177" s="739"/>
    </row>
    <row r="178" spans="13:13" x14ac:dyDescent="0.25">
      <c r="M178" s="739"/>
    </row>
    <row r="179" spans="13:13" x14ac:dyDescent="0.25">
      <c r="M179" s="739"/>
    </row>
    <row r="180" spans="13:13" x14ac:dyDescent="0.25">
      <c r="M180" s="739"/>
    </row>
    <row r="181" spans="13:13" x14ac:dyDescent="0.25">
      <c r="M181" s="739"/>
    </row>
    <row r="182" spans="13:13" x14ac:dyDescent="0.25">
      <c r="M182" s="739"/>
    </row>
    <row r="183" spans="13:13" x14ac:dyDescent="0.25">
      <c r="M183" s="739"/>
    </row>
    <row r="184" spans="13:13" x14ac:dyDescent="0.25">
      <c r="M184" s="739"/>
    </row>
    <row r="185" spans="13:13" x14ac:dyDescent="0.25">
      <c r="M185" s="739"/>
    </row>
    <row r="186" spans="13:13" x14ac:dyDescent="0.25">
      <c r="M186" s="739"/>
    </row>
    <row r="187" spans="13:13" x14ac:dyDescent="0.25">
      <c r="M187" s="739"/>
    </row>
    <row r="188" spans="13:13" x14ac:dyDescent="0.25">
      <c r="M188" s="739"/>
    </row>
    <row r="189" spans="13:13" x14ac:dyDescent="0.25">
      <c r="M189" s="739"/>
    </row>
    <row r="190" spans="13:13" x14ac:dyDescent="0.25">
      <c r="M190" s="739"/>
    </row>
    <row r="191" spans="13:13" x14ac:dyDescent="0.25">
      <c r="M191" s="739"/>
    </row>
    <row r="192" spans="13:13" x14ac:dyDescent="0.25">
      <c r="M192" s="739"/>
    </row>
    <row r="193" spans="13:13" x14ac:dyDescent="0.25">
      <c r="M193" s="739"/>
    </row>
    <row r="194" spans="13:13" x14ac:dyDescent="0.25">
      <c r="M194" s="739"/>
    </row>
    <row r="195" spans="13:13" x14ac:dyDescent="0.25">
      <c r="M195" s="739"/>
    </row>
    <row r="196" spans="13:13" x14ac:dyDescent="0.25">
      <c r="M196" s="739"/>
    </row>
    <row r="197" spans="13:13" x14ac:dyDescent="0.25">
      <c r="M197" s="739"/>
    </row>
    <row r="198" spans="13:13" x14ac:dyDescent="0.25">
      <c r="M198" s="739"/>
    </row>
    <row r="199" spans="13:13" x14ac:dyDescent="0.25">
      <c r="M199" s="739"/>
    </row>
    <row r="200" spans="13:13" x14ac:dyDescent="0.25">
      <c r="M200" s="739"/>
    </row>
    <row r="201" spans="13:13" x14ac:dyDescent="0.25">
      <c r="M201" s="739"/>
    </row>
    <row r="202" spans="13:13" x14ac:dyDescent="0.25">
      <c r="M202" s="739"/>
    </row>
    <row r="203" spans="13:13" x14ac:dyDescent="0.25">
      <c r="M203" s="739"/>
    </row>
    <row r="204" spans="13:13" x14ac:dyDescent="0.25">
      <c r="M204" s="739"/>
    </row>
    <row r="205" spans="13:13" x14ac:dyDescent="0.25">
      <c r="M205" s="739"/>
    </row>
    <row r="206" spans="13:13" x14ac:dyDescent="0.25">
      <c r="M206" s="739"/>
    </row>
    <row r="207" spans="13:13" x14ac:dyDescent="0.25">
      <c r="M207" s="739"/>
    </row>
    <row r="208" spans="13:13" x14ac:dyDescent="0.25">
      <c r="M208" s="739"/>
    </row>
    <row r="209" spans="13:13" x14ac:dyDescent="0.25">
      <c r="M209" s="739"/>
    </row>
    <row r="210" spans="13:13" x14ac:dyDescent="0.25">
      <c r="M210" s="739"/>
    </row>
    <row r="211" spans="13:13" x14ac:dyDescent="0.25">
      <c r="M211" s="739"/>
    </row>
    <row r="212" spans="13:13" x14ac:dyDescent="0.25">
      <c r="M212" s="739"/>
    </row>
    <row r="213" spans="13:13" x14ac:dyDescent="0.25">
      <c r="M213" s="739"/>
    </row>
    <row r="214" spans="13:13" x14ac:dyDescent="0.25">
      <c r="M214" s="739"/>
    </row>
    <row r="215" spans="13:13" x14ac:dyDescent="0.25">
      <c r="M215" s="739"/>
    </row>
    <row r="216" spans="13:13" x14ac:dyDescent="0.25">
      <c r="M216" s="739"/>
    </row>
    <row r="217" spans="13:13" x14ac:dyDescent="0.25">
      <c r="M217" s="739"/>
    </row>
    <row r="218" spans="13:13" x14ac:dyDescent="0.25">
      <c r="M218" s="739"/>
    </row>
    <row r="219" spans="13:13" x14ac:dyDescent="0.25">
      <c r="M219" s="739"/>
    </row>
    <row r="220" spans="13:13" x14ac:dyDescent="0.25">
      <c r="M220" s="739"/>
    </row>
    <row r="221" spans="13:13" x14ac:dyDescent="0.25">
      <c r="M221" s="739"/>
    </row>
    <row r="222" spans="13:13" x14ac:dyDescent="0.25">
      <c r="M222" s="739"/>
    </row>
    <row r="223" spans="13:13" x14ac:dyDescent="0.25">
      <c r="M223" s="739"/>
    </row>
    <row r="224" spans="13:13" x14ac:dyDescent="0.25">
      <c r="M224" s="739"/>
    </row>
    <row r="225" spans="13:13" x14ac:dyDescent="0.25">
      <c r="M225" s="739"/>
    </row>
    <row r="226" spans="13:13" x14ac:dyDescent="0.25">
      <c r="M226" s="739"/>
    </row>
    <row r="227" spans="13:13" x14ac:dyDescent="0.25">
      <c r="M227" s="739"/>
    </row>
    <row r="228" spans="13:13" x14ac:dyDescent="0.25">
      <c r="M228" s="739"/>
    </row>
    <row r="229" spans="13:13" x14ac:dyDescent="0.25">
      <c r="M229" s="739"/>
    </row>
    <row r="230" spans="13:13" x14ac:dyDescent="0.25">
      <c r="M230" s="739"/>
    </row>
    <row r="231" spans="13:13" x14ac:dyDescent="0.25">
      <c r="M231" s="739"/>
    </row>
    <row r="232" spans="13:13" x14ac:dyDescent="0.25">
      <c r="M232" s="739"/>
    </row>
    <row r="233" spans="13:13" x14ac:dyDescent="0.25">
      <c r="M233" s="739"/>
    </row>
    <row r="234" spans="13:13" x14ac:dyDescent="0.25">
      <c r="M234" s="739"/>
    </row>
    <row r="235" spans="13:13" x14ac:dyDescent="0.25">
      <c r="M235" s="739"/>
    </row>
    <row r="236" spans="13:13" x14ac:dyDescent="0.25">
      <c r="M236" s="739"/>
    </row>
    <row r="237" spans="13:13" x14ac:dyDescent="0.25">
      <c r="M237" s="739"/>
    </row>
    <row r="238" spans="13:13" x14ac:dyDescent="0.25">
      <c r="M238" s="739"/>
    </row>
    <row r="239" spans="13:13" x14ac:dyDescent="0.25">
      <c r="M239" s="739"/>
    </row>
    <row r="240" spans="13:13" x14ac:dyDescent="0.25">
      <c r="M240" s="739"/>
    </row>
    <row r="241" spans="13:13" x14ac:dyDescent="0.25">
      <c r="M241" s="739"/>
    </row>
    <row r="242" spans="13:13" x14ac:dyDescent="0.25">
      <c r="M242" s="739"/>
    </row>
    <row r="243" spans="13:13" x14ac:dyDescent="0.25">
      <c r="M243" s="739"/>
    </row>
    <row r="244" spans="13:13" x14ac:dyDescent="0.25">
      <c r="M244" s="739"/>
    </row>
    <row r="245" spans="13:13" x14ac:dyDescent="0.25">
      <c r="M245" s="739"/>
    </row>
    <row r="246" spans="13:13" x14ac:dyDescent="0.25">
      <c r="M246" s="739"/>
    </row>
    <row r="247" spans="13:13" x14ac:dyDescent="0.25">
      <c r="M247" s="739"/>
    </row>
    <row r="248" spans="13:13" x14ac:dyDescent="0.25">
      <c r="M248" s="739"/>
    </row>
    <row r="249" spans="13:13" x14ac:dyDescent="0.25">
      <c r="M249" s="739"/>
    </row>
    <row r="250" spans="13:13" x14ac:dyDescent="0.25">
      <c r="M250" s="739"/>
    </row>
  </sheetData>
  <mergeCells count="2">
    <mergeCell ref="E9:I9"/>
    <mergeCell ref="C111:F111"/>
  </mergeCells>
  <pageMargins left="0.7" right="0.7" top="0.75" bottom="0.75" header="0.3" footer="0.3"/>
  <pageSetup scale="50" orientation="landscape" cellComments="asDisplayed" r:id="rId1"/>
  <headerFooter>
    <oddHeader xml:space="preserve">&amp;C&amp;"Arial,Bold"Schedule 33
Retail Transmission Rates&amp;"Arial,Regular"
</oddHeader>
    <oddFooter>&amp;R33-RetailRates</oddFooter>
  </headerFooter>
  <rowBreaks count="4" manualBreakCount="4">
    <brk id="40" max="16383" man="1"/>
    <brk id="76" max="16383" man="1"/>
    <brk id="181" max="16383" man="1"/>
    <brk id="228"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90" zoomScaleNormal="90" workbookViewId="0">
      <selection activeCell="K18" sqref="K18"/>
    </sheetView>
  </sheetViews>
  <sheetFormatPr defaultRowHeight="13.2" x14ac:dyDescent="0.25"/>
  <cols>
    <col min="1" max="1" width="4.6640625" customWidth="1"/>
    <col min="2" max="2" width="1.6640625" customWidth="1"/>
    <col min="3" max="3" width="46" customWidth="1"/>
    <col min="4" max="4" width="1.6640625" customWidth="1"/>
    <col min="5" max="5" width="34" customWidth="1"/>
    <col min="6" max="6" width="1.6640625" customWidth="1"/>
    <col min="7" max="7" width="16.6640625" customWidth="1"/>
    <col min="8" max="8" width="1.6640625" customWidth="1"/>
    <col min="9" max="9" width="16.6640625" customWidth="1"/>
    <col min="10" max="10" width="1.6640625" customWidth="1"/>
    <col min="11" max="11" width="16.6640625" customWidth="1"/>
    <col min="12" max="12" width="2.88671875" customWidth="1"/>
    <col min="13" max="13" width="35.44140625" bestFit="1" customWidth="1"/>
    <col min="14" max="14" width="20.109375" customWidth="1"/>
    <col min="257" max="257" width="4.88671875" customWidth="1"/>
    <col min="258" max="258" width="1.6640625" customWidth="1"/>
    <col min="259" max="259" width="46" customWidth="1"/>
    <col min="260" max="260" width="1.6640625" customWidth="1"/>
    <col min="261" max="261" width="34" customWidth="1"/>
    <col min="262" max="262" width="1.6640625" customWidth="1"/>
    <col min="263" max="263" width="16" customWidth="1"/>
    <col min="264" max="264" width="1.6640625" customWidth="1"/>
    <col min="265" max="265" width="14" customWidth="1"/>
    <col min="266" max="266" width="1.6640625" customWidth="1"/>
    <col min="267" max="267" width="11.5546875" customWidth="1"/>
    <col min="268" max="268" width="2.88671875" customWidth="1"/>
    <col min="269" max="269" width="35.44140625" bestFit="1" customWidth="1"/>
    <col min="270" max="270" width="20.109375" customWidth="1"/>
    <col min="513" max="513" width="4.88671875" customWidth="1"/>
    <col min="514" max="514" width="1.6640625" customWidth="1"/>
    <col min="515" max="515" width="46" customWidth="1"/>
    <col min="516" max="516" width="1.6640625" customWidth="1"/>
    <col min="517" max="517" width="34" customWidth="1"/>
    <col min="518" max="518" width="1.6640625" customWidth="1"/>
    <col min="519" max="519" width="16" customWidth="1"/>
    <col min="520" max="520" width="1.6640625" customWidth="1"/>
    <col min="521" max="521" width="14" customWidth="1"/>
    <col min="522" max="522" width="1.6640625" customWidth="1"/>
    <col min="523" max="523" width="11.5546875" customWidth="1"/>
    <col min="524" max="524" width="2.88671875" customWidth="1"/>
    <col min="525" max="525" width="35.44140625" bestFit="1" customWidth="1"/>
    <col min="526" max="526" width="20.109375" customWidth="1"/>
    <col min="769" max="769" width="4.88671875" customWidth="1"/>
    <col min="770" max="770" width="1.6640625" customWidth="1"/>
    <col min="771" max="771" width="46" customWidth="1"/>
    <col min="772" max="772" width="1.6640625" customWidth="1"/>
    <col min="773" max="773" width="34" customWidth="1"/>
    <col min="774" max="774" width="1.6640625" customWidth="1"/>
    <col min="775" max="775" width="16" customWidth="1"/>
    <col min="776" max="776" width="1.6640625" customWidth="1"/>
    <col min="777" max="777" width="14" customWidth="1"/>
    <col min="778" max="778" width="1.6640625" customWidth="1"/>
    <col min="779" max="779" width="11.5546875" customWidth="1"/>
    <col min="780" max="780" width="2.88671875" customWidth="1"/>
    <col min="781" max="781" width="35.44140625" bestFit="1" customWidth="1"/>
    <col min="782" max="782" width="20.109375" customWidth="1"/>
    <col min="1025" max="1025" width="4.88671875" customWidth="1"/>
    <col min="1026" max="1026" width="1.6640625" customWidth="1"/>
    <col min="1027" max="1027" width="46" customWidth="1"/>
    <col min="1028" max="1028" width="1.6640625" customWidth="1"/>
    <col min="1029" max="1029" width="34" customWidth="1"/>
    <col min="1030" max="1030" width="1.6640625" customWidth="1"/>
    <col min="1031" max="1031" width="16" customWidth="1"/>
    <col min="1032" max="1032" width="1.6640625" customWidth="1"/>
    <col min="1033" max="1033" width="14" customWidth="1"/>
    <col min="1034" max="1034" width="1.6640625" customWidth="1"/>
    <col min="1035" max="1035" width="11.5546875" customWidth="1"/>
    <col min="1036" max="1036" width="2.88671875" customWidth="1"/>
    <col min="1037" max="1037" width="35.44140625" bestFit="1" customWidth="1"/>
    <col min="1038" max="1038" width="20.109375" customWidth="1"/>
    <col min="1281" max="1281" width="4.88671875" customWidth="1"/>
    <col min="1282" max="1282" width="1.6640625" customWidth="1"/>
    <col min="1283" max="1283" width="46" customWidth="1"/>
    <col min="1284" max="1284" width="1.6640625" customWidth="1"/>
    <col min="1285" max="1285" width="34" customWidth="1"/>
    <col min="1286" max="1286" width="1.6640625" customWidth="1"/>
    <col min="1287" max="1287" width="16" customWidth="1"/>
    <col min="1288" max="1288" width="1.6640625" customWidth="1"/>
    <col min="1289" max="1289" width="14" customWidth="1"/>
    <col min="1290" max="1290" width="1.6640625" customWidth="1"/>
    <col min="1291" max="1291" width="11.5546875" customWidth="1"/>
    <col min="1292" max="1292" width="2.88671875" customWidth="1"/>
    <col min="1293" max="1293" width="35.44140625" bestFit="1" customWidth="1"/>
    <col min="1294" max="1294" width="20.109375" customWidth="1"/>
    <col min="1537" max="1537" width="4.88671875" customWidth="1"/>
    <col min="1538" max="1538" width="1.6640625" customWidth="1"/>
    <col min="1539" max="1539" width="46" customWidth="1"/>
    <col min="1540" max="1540" width="1.6640625" customWidth="1"/>
    <col min="1541" max="1541" width="34" customWidth="1"/>
    <col min="1542" max="1542" width="1.6640625" customWidth="1"/>
    <col min="1543" max="1543" width="16" customWidth="1"/>
    <col min="1544" max="1544" width="1.6640625" customWidth="1"/>
    <col min="1545" max="1545" width="14" customWidth="1"/>
    <col min="1546" max="1546" width="1.6640625" customWidth="1"/>
    <col min="1547" max="1547" width="11.5546875" customWidth="1"/>
    <col min="1548" max="1548" width="2.88671875" customWidth="1"/>
    <col min="1549" max="1549" width="35.44140625" bestFit="1" customWidth="1"/>
    <col min="1550" max="1550" width="20.109375" customWidth="1"/>
    <col min="1793" max="1793" width="4.88671875" customWidth="1"/>
    <col min="1794" max="1794" width="1.6640625" customWidth="1"/>
    <col min="1795" max="1795" width="46" customWidth="1"/>
    <col min="1796" max="1796" width="1.6640625" customWidth="1"/>
    <col min="1797" max="1797" width="34" customWidth="1"/>
    <col min="1798" max="1798" width="1.6640625" customWidth="1"/>
    <col min="1799" max="1799" width="16" customWidth="1"/>
    <col min="1800" max="1800" width="1.6640625" customWidth="1"/>
    <col min="1801" max="1801" width="14" customWidth="1"/>
    <col min="1802" max="1802" width="1.6640625" customWidth="1"/>
    <col min="1803" max="1803" width="11.5546875" customWidth="1"/>
    <col min="1804" max="1804" width="2.88671875" customWidth="1"/>
    <col min="1805" max="1805" width="35.44140625" bestFit="1" customWidth="1"/>
    <col min="1806" max="1806" width="20.109375" customWidth="1"/>
    <col min="2049" max="2049" width="4.88671875" customWidth="1"/>
    <col min="2050" max="2050" width="1.6640625" customWidth="1"/>
    <col min="2051" max="2051" width="46" customWidth="1"/>
    <col min="2052" max="2052" width="1.6640625" customWidth="1"/>
    <col min="2053" max="2053" width="34" customWidth="1"/>
    <col min="2054" max="2054" width="1.6640625" customWidth="1"/>
    <col min="2055" max="2055" width="16" customWidth="1"/>
    <col min="2056" max="2056" width="1.6640625" customWidth="1"/>
    <col min="2057" max="2057" width="14" customWidth="1"/>
    <col min="2058" max="2058" width="1.6640625" customWidth="1"/>
    <col min="2059" max="2059" width="11.5546875" customWidth="1"/>
    <col min="2060" max="2060" width="2.88671875" customWidth="1"/>
    <col min="2061" max="2061" width="35.44140625" bestFit="1" customWidth="1"/>
    <col min="2062" max="2062" width="20.109375" customWidth="1"/>
    <col min="2305" max="2305" width="4.88671875" customWidth="1"/>
    <col min="2306" max="2306" width="1.6640625" customWidth="1"/>
    <col min="2307" max="2307" width="46" customWidth="1"/>
    <col min="2308" max="2308" width="1.6640625" customWidth="1"/>
    <col min="2309" max="2309" width="34" customWidth="1"/>
    <col min="2310" max="2310" width="1.6640625" customWidth="1"/>
    <col min="2311" max="2311" width="16" customWidth="1"/>
    <col min="2312" max="2312" width="1.6640625" customWidth="1"/>
    <col min="2313" max="2313" width="14" customWidth="1"/>
    <col min="2314" max="2314" width="1.6640625" customWidth="1"/>
    <col min="2315" max="2315" width="11.5546875" customWidth="1"/>
    <col min="2316" max="2316" width="2.88671875" customWidth="1"/>
    <col min="2317" max="2317" width="35.44140625" bestFit="1" customWidth="1"/>
    <col min="2318" max="2318" width="20.109375" customWidth="1"/>
    <col min="2561" max="2561" width="4.88671875" customWidth="1"/>
    <col min="2562" max="2562" width="1.6640625" customWidth="1"/>
    <col min="2563" max="2563" width="46" customWidth="1"/>
    <col min="2564" max="2564" width="1.6640625" customWidth="1"/>
    <col min="2565" max="2565" width="34" customWidth="1"/>
    <col min="2566" max="2566" width="1.6640625" customWidth="1"/>
    <col min="2567" max="2567" width="16" customWidth="1"/>
    <col min="2568" max="2568" width="1.6640625" customWidth="1"/>
    <col min="2569" max="2569" width="14" customWidth="1"/>
    <col min="2570" max="2570" width="1.6640625" customWidth="1"/>
    <col min="2571" max="2571" width="11.5546875" customWidth="1"/>
    <col min="2572" max="2572" width="2.88671875" customWidth="1"/>
    <col min="2573" max="2573" width="35.44140625" bestFit="1" customWidth="1"/>
    <col min="2574" max="2574" width="20.109375" customWidth="1"/>
    <col min="2817" max="2817" width="4.88671875" customWidth="1"/>
    <col min="2818" max="2818" width="1.6640625" customWidth="1"/>
    <col min="2819" max="2819" width="46" customWidth="1"/>
    <col min="2820" max="2820" width="1.6640625" customWidth="1"/>
    <col min="2821" max="2821" width="34" customWidth="1"/>
    <col min="2822" max="2822" width="1.6640625" customWidth="1"/>
    <col min="2823" max="2823" width="16" customWidth="1"/>
    <col min="2824" max="2824" width="1.6640625" customWidth="1"/>
    <col min="2825" max="2825" width="14" customWidth="1"/>
    <col min="2826" max="2826" width="1.6640625" customWidth="1"/>
    <col min="2827" max="2827" width="11.5546875" customWidth="1"/>
    <col min="2828" max="2828" width="2.88671875" customWidth="1"/>
    <col min="2829" max="2829" width="35.44140625" bestFit="1" customWidth="1"/>
    <col min="2830" max="2830" width="20.109375" customWidth="1"/>
    <col min="3073" max="3073" width="4.88671875" customWidth="1"/>
    <col min="3074" max="3074" width="1.6640625" customWidth="1"/>
    <col min="3075" max="3075" width="46" customWidth="1"/>
    <col min="3076" max="3076" width="1.6640625" customWidth="1"/>
    <col min="3077" max="3077" width="34" customWidth="1"/>
    <col min="3078" max="3078" width="1.6640625" customWidth="1"/>
    <col min="3079" max="3079" width="16" customWidth="1"/>
    <col min="3080" max="3080" width="1.6640625" customWidth="1"/>
    <col min="3081" max="3081" width="14" customWidth="1"/>
    <col min="3082" max="3082" width="1.6640625" customWidth="1"/>
    <col min="3083" max="3083" width="11.5546875" customWidth="1"/>
    <col min="3084" max="3084" width="2.88671875" customWidth="1"/>
    <col min="3085" max="3085" width="35.44140625" bestFit="1" customWidth="1"/>
    <col min="3086" max="3086" width="20.109375" customWidth="1"/>
    <col min="3329" max="3329" width="4.88671875" customWidth="1"/>
    <col min="3330" max="3330" width="1.6640625" customWidth="1"/>
    <col min="3331" max="3331" width="46" customWidth="1"/>
    <col min="3332" max="3332" width="1.6640625" customWidth="1"/>
    <col min="3333" max="3333" width="34" customWidth="1"/>
    <col min="3334" max="3334" width="1.6640625" customWidth="1"/>
    <col min="3335" max="3335" width="16" customWidth="1"/>
    <col min="3336" max="3336" width="1.6640625" customWidth="1"/>
    <col min="3337" max="3337" width="14" customWidth="1"/>
    <col min="3338" max="3338" width="1.6640625" customWidth="1"/>
    <col min="3339" max="3339" width="11.5546875" customWidth="1"/>
    <col min="3340" max="3340" width="2.88671875" customWidth="1"/>
    <col min="3341" max="3341" width="35.44140625" bestFit="1" customWidth="1"/>
    <col min="3342" max="3342" width="20.109375" customWidth="1"/>
    <col min="3585" max="3585" width="4.88671875" customWidth="1"/>
    <col min="3586" max="3586" width="1.6640625" customWidth="1"/>
    <col min="3587" max="3587" width="46" customWidth="1"/>
    <col min="3588" max="3588" width="1.6640625" customWidth="1"/>
    <col min="3589" max="3589" width="34" customWidth="1"/>
    <col min="3590" max="3590" width="1.6640625" customWidth="1"/>
    <col min="3591" max="3591" width="16" customWidth="1"/>
    <col min="3592" max="3592" width="1.6640625" customWidth="1"/>
    <col min="3593" max="3593" width="14" customWidth="1"/>
    <col min="3594" max="3594" width="1.6640625" customWidth="1"/>
    <col min="3595" max="3595" width="11.5546875" customWidth="1"/>
    <col min="3596" max="3596" width="2.88671875" customWidth="1"/>
    <col min="3597" max="3597" width="35.44140625" bestFit="1" customWidth="1"/>
    <col min="3598" max="3598" width="20.109375" customWidth="1"/>
    <col min="3841" max="3841" width="4.88671875" customWidth="1"/>
    <col min="3842" max="3842" width="1.6640625" customWidth="1"/>
    <col min="3843" max="3843" width="46" customWidth="1"/>
    <col min="3844" max="3844" width="1.6640625" customWidth="1"/>
    <col min="3845" max="3845" width="34" customWidth="1"/>
    <col min="3846" max="3846" width="1.6640625" customWidth="1"/>
    <col min="3847" max="3847" width="16" customWidth="1"/>
    <col min="3848" max="3848" width="1.6640625" customWidth="1"/>
    <col min="3849" max="3849" width="14" customWidth="1"/>
    <col min="3850" max="3850" width="1.6640625" customWidth="1"/>
    <col min="3851" max="3851" width="11.5546875" customWidth="1"/>
    <col min="3852" max="3852" width="2.88671875" customWidth="1"/>
    <col min="3853" max="3853" width="35.44140625" bestFit="1" customWidth="1"/>
    <col min="3854" max="3854" width="20.109375" customWidth="1"/>
    <col min="4097" max="4097" width="4.88671875" customWidth="1"/>
    <col min="4098" max="4098" width="1.6640625" customWidth="1"/>
    <col min="4099" max="4099" width="46" customWidth="1"/>
    <col min="4100" max="4100" width="1.6640625" customWidth="1"/>
    <col min="4101" max="4101" width="34" customWidth="1"/>
    <col min="4102" max="4102" width="1.6640625" customWidth="1"/>
    <col min="4103" max="4103" width="16" customWidth="1"/>
    <col min="4104" max="4104" width="1.6640625" customWidth="1"/>
    <col min="4105" max="4105" width="14" customWidth="1"/>
    <col min="4106" max="4106" width="1.6640625" customWidth="1"/>
    <col min="4107" max="4107" width="11.5546875" customWidth="1"/>
    <col min="4108" max="4108" width="2.88671875" customWidth="1"/>
    <col min="4109" max="4109" width="35.44140625" bestFit="1" customWidth="1"/>
    <col min="4110" max="4110" width="20.109375" customWidth="1"/>
    <col min="4353" max="4353" width="4.88671875" customWidth="1"/>
    <col min="4354" max="4354" width="1.6640625" customWidth="1"/>
    <col min="4355" max="4355" width="46" customWidth="1"/>
    <col min="4356" max="4356" width="1.6640625" customWidth="1"/>
    <col min="4357" max="4357" width="34" customWidth="1"/>
    <col min="4358" max="4358" width="1.6640625" customWidth="1"/>
    <col min="4359" max="4359" width="16" customWidth="1"/>
    <col min="4360" max="4360" width="1.6640625" customWidth="1"/>
    <col min="4361" max="4361" width="14" customWidth="1"/>
    <col min="4362" max="4362" width="1.6640625" customWidth="1"/>
    <col min="4363" max="4363" width="11.5546875" customWidth="1"/>
    <col min="4364" max="4364" width="2.88671875" customWidth="1"/>
    <col min="4365" max="4365" width="35.44140625" bestFit="1" customWidth="1"/>
    <col min="4366" max="4366" width="20.109375" customWidth="1"/>
    <col min="4609" max="4609" width="4.88671875" customWidth="1"/>
    <col min="4610" max="4610" width="1.6640625" customWidth="1"/>
    <col min="4611" max="4611" width="46" customWidth="1"/>
    <col min="4612" max="4612" width="1.6640625" customWidth="1"/>
    <col min="4613" max="4613" width="34" customWidth="1"/>
    <col min="4614" max="4614" width="1.6640625" customWidth="1"/>
    <col min="4615" max="4615" width="16" customWidth="1"/>
    <col min="4616" max="4616" width="1.6640625" customWidth="1"/>
    <col min="4617" max="4617" width="14" customWidth="1"/>
    <col min="4618" max="4618" width="1.6640625" customWidth="1"/>
    <col min="4619" max="4619" width="11.5546875" customWidth="1"/>
    <col min="4620" max="4620" width="2.88671875" customWidth="1"/>
    <col min="4621" max="4621" width="35.44140625" bestFit="1" customWidth="1"/>
    <col min="4622" max="4622" width="20.109375" customWidth="1"/>
    <col min="4865" max="4865" width="4.88671875" customWidth="1"/>
    <col min="4866" max="4866" width="1.6640625" customWidth="1"/>
    <col min="4867" max="4867" width="46" customWidth="1"/>
    <col min="4868" max="4868" width="1.6640625" customWidth="1"/>
    <col min="4869" max="4869" width="34" customWidth="1"/>
    <col min="4870" max="4870" width="1.6640625" customWidth="1"/>
    <col min="4871" max="4871" width="16" customWidth="1"/>
    <col min="4872" max="4872" width="1.6640625" customWidth="1"/>
    <col min="4873" max="4873" width="14" customWidth="1"/>
    <col min="4874" max="4874" width="1.6640625" customWidth="1"/>
    <col min="4875" max="4875" width="11.5546875" customWidth="1"/>
    <col min="4876" max="4876" width="2.88671875" customWidth="1"/>
    <col min="4877" max="4877" width="35.44140625" bestFit="1" customWidth="1"/>
    <col min="4878" max="4878" width="20.109375" customWidth="1"/>
    <col min="5121" max="5121" width="4.88671875" customWidth="1"/>
    <col min="5122" max="5122" width="1.6640625" customWidth="1"/>
    <col min="5123" max="5123" width="46" customWidth="1"/>
    <col min="5124" max="5124" width="1.6640625" customWidth="1"/>
    <col min="5125" max="5125" width="34" customWidth="1"/>
    <col min="5126" max="5126" width="1.6640625" customWidth="1"/>
    <col min="5127" max="5127" width="16" customWidth="1"/>
    <col min="5128" max="5128" width="1.6640625" customWidth="1"/>
    <col min="5129" max="5129" width="14" customWidth="1"/>
    <col min="5130" max="5130" width="1.6640625" customWidth="1"/>
    <col min="5131" max="5131" width="11.5546875" customWidth="1"/>
    <col min="5132" max="5132" width="2.88671875" customWidth="1"/>
    <col min="5133" max="5133" width="35.44140625" bestFit="1" customWidth="1"/>
    <col min="5134" max="5134" width="20.109375" customWidth="1"/>
    <col min="5377" max="5377" width="4.88671875" customWidth="1"/>
    <col min="5378" max="5378" width="1.6640625" customWidth="1"/>
    <col min="5379" max="5379" width="46" customWidth="1"/>
    <col min="5380" max="5380" width="1.6640625" customWidth="1"/>
    <col min="5381" max="5381" width="34" customWidth="1"/>
    <col min="5382" max="5382" width="1.6640625" customWidth="1"/>
    <col min="5383" max="5383" width="16" customWidth="1"/>
    <col min="5384" max="5384" width="1.6640625" customWidth="1"/>
    <col min="5385" max="5385" width="14" customWidth="1"/>
    <col min="5386" max="5386" width="1.6640625" customWidth="1"/>
    <col min="5387" max="5387" width="11.5546875" customWidth="1"/>
    <col min="5388" max="5388" width="2.88671875" customWidth="1"/>
    <col min="5389" max="5389" width="35.44140625" bestFit="1" customWidth="1"/>
    <col min="5390" max="5390" width="20.109375" customWidth="1"/>
    <col min="5633" max="5633" width="4.88671875" customWidth="1"/>
    <col min="5634" max="5634" width="1.6640625" customWidth="1"/>
    <col min="5635" max="5635" width="46" customWidth="1"/>
    <col min="5636" max="5636" width="1.6640625" customWidth="1"/>
    <col min="5637" max="5637" width="34" customWidth="1"/>
    <col min="5638" max="5638" width="1.6640625" customWidth="1"/>
    <col min="5639" max="5639" width="16" customWidth="1"/>
    <col min="5640" max="5640" width="1.6640625" customWidth="1"/>
    <col min="5641" max="5641" width="14" customWidth="1"/>
    <col min="5642" max="5642" width="1.6640625" customWidth="1"/>
    <col min="5643" max="5643" width="11.5546875" customWidth="1"/>
    <col min="5644" max="5644" width="2.88671875" customWidth="1"/>
    <col min="5645" max="5645" width="35.44140625" bestFit="1" customWidth="1"/>
    <col min="5646" max="5646" width="20.109375" customWidth="1"/>
    <col min="5889" max="5889" width="4.88671875" customWidth="1"/>
    <col min="5890" max="5890" width="1.6640625" customWidth="1"/>
    <col min="5891" max="5891" width="46" customWidth="1"/>
    <col min="5892" max="5892" width="1.6640625" customWidth="1"/>
    <col min="5893" max="5893" width="34" customWidth="1"/>
    <col min="5894" max="5894" width="1.6640625" customWidth="1"/>
    <col min="5895" max="5895" width="16" customWidth="1"/>
    <col min="5896" max="5896" width="1.6640625" customWidth="1"/>
    <col min="5897" max="5897" width="14" customWidth="1"/>
    <col min="5898" max="5898" width="1.6640625" customWidth="1"/>
    <col min="5899" max="5899" width="11.5546875" customWidth="1"/>
    <col min="5900" max="5900" width="2.88671875" customWidth="1"/>
    <col min="5901" max="5901" width="35.44140625" bestFit="1" customWidth="1"/>
    <col min="5902" max="5902" width="20.109375" customWidth="1"/>
    <col min="6145" max="6145" width="4.88671875" customWidth="1"/>
    <col min="6146" max="6146" width="1.6640625" customWidth="1"/>
    <col min="6147" max="6147" width="46" customWidth="1"/>
    <col min="6148" max="6148" width="1.6640625" customWidth="1"/>
    <col min="6149" max="6149" width="34" customWidth="1"/>
    <col min="6150" max="6150" width="1.6640625" customWidth="1"/>
    <col min="6151" max="6151" width="16" customWidth="1"/>
    <col min="6152" max="6152" width="1.6640625" customWidth="1"/>
    <col min="6153" max="6153" width="14" customWidth="1"/>
    <col min="6154" max="6154" width="1.6640625" customWidth="1"/>
    <col min="6155" max="6155" width="11.5546875" customWidth="1"/>
    <col min="6156" max="6156" width="2.88671875" customWidth="1"/>
    <col min="6157" max="6157" width="35.44140625" bestFit="1" customWidth="1"/>
    <col min="6158" max="6158" width="20.109375" customWidth="1"/>
    <col min="6401" max="6401" width="4.88671875" customWidth="1"/>
    <col min="6402" max="6402" width="1.6640625" customWidth="1"/>
    <col min="6403" max="6403" width="46" customWidth="1"/>
    <col min="6404" max="6404" width="1.6640625" customWidth="1"/>
    <col min="6405" max="6405" width="34" customWidth="1"/>
    <col min="6406" max="6406" width="1.6640625" customWidth="1"/>
    <col min="6407" max="6407" width="16" customWidth="1"/>
    <col min="6408" max="6408" width="1.6640625" customWidth="1"/>
    <col min="6409" max="6409" width="14" customWidth="1"/>
    <col min="6410" max="6410" width="1.6640625" customWidth="1"/>
    <col min="6411" max="6411" width="11.5546875" customWidth="1"/>
    <col min="6412" max="6412" width="2.88671875" customWidth="1"/>
    <col min="6413" max="6413" width="35.44140625" bestFit="1" customWidth="1"/>
    <col min="6414" max="6414" width="20.109375" customWidth="1"/>
    <col min="6657" max="6657" width="4.88671875" customWidth="1"/>
    <col min="6658" max="6658" width="1.6640625" customWidth="1"/>
    <col min="6659" max="6659" width="46" customWidth="1"/>
    <col min="6660" max="6660" width="1.6640625" customWidth="1"/>
    <col min="6661" max="6661" width="34" customWidth="1"/>
    <col min="6662" max="6662" width="1.6640625" customWidth="1"/>
    <col min="6663" max="6663" width="16" customWidth="1"/>
    <col min="6664" max="6664" width="1.6640625" customWidth="1"/>
    <col min="6665" max="6665" width="14" customWidth="1"/>
    <col min="6666" max="6666" width="1.6640625" customWidth="1"/>
    <col min="6667" max="6667" width="11.5546875" customWidth="1"/>
    <col min="6668" max="6668" width="2.88671875" customWidth="1"/>
    <col min="6669" max="6669" width="35.44140625" bestFit="1" customWidth="1"/>
    <col min="6670" max="6670" width="20.109375" customWidth="1"/>
    <col min="6913" max="6913" width="4.88671875" customWidth="1"/>
    <col min="6914" max="6914" width="1.6640625" customWidth="1"/>
    <col min="6915" max="6915" width="46" customWidth="1"/>
    <col min="6916" max="6916" width="1.6640625" customWidth="1"/>
    <col min="6917" max="6917" width="34" customWidth="1"/>
    <col min="6918" max="6918" width="1.6640625" customWidth="1"/>
    <col min="6919" max="6919" width="16" customWidth="1"/>
    <col min="6920" max="6920" width="1.6640625" customWidth="1"/>
    <col min="6921" max="6921" width="14" customWidth="1"/>
    <col min="6922" max="6922" width="1.6640625" customWidth="1"/>
    <col min="6923" max="6923" width="11.5546875" customWidth="1"/>
    <col min="6924" max="6924" width="2.88671875" customWidth="1"/>
    <col min="6925" max="6925" width="35.44140625" bestFit="1" customWidth="1"/>
    <col min="6926" max="6926" width="20.109375" customWidth="1"/>
    <col min="7169" max="7169" width="4.88671875" customWidth="1"/>
    <col min="7170" max="7170" width="1.6640625" customWidth="1"/>
    <col min="7171" max="7171" width="46" customWidth="1"/>
    <col min="7172" max="7172" width="1.6640625" customWidth="1"/>
    <col min="7173" max="7173" width="34" customWidth="1"/>
    <col min="7174" max="7174" width="1.6640625" customWidth="1"/>
    <col min="7175" max="7175" width="16" customWidth="1"/>
    <col min="7176" max="7176" width="1.6640625" customWidth="1"/>
    <col min="7177" max="7177" width="14" customWidth="1"/>
    <col min="7178" max="7178" width="1.6640625" customWidth="1"/>
    <col min="7179" max="7179" width="11.5546875" customWidth="1"/>
    <col min="7180" max="7180" width="2.88671875" customWidth="1"/>
    <col min="7181" max="7181" width="35.44140625" bestFit="1" customWidth="1"/>
    <col min="7182" max="7182" width="20.109375" customWidth="1"/>
    <col min="7425" max="7425" width="4.88671875" customWidth="1"/>
    <col min="7426" max="7426" width="1.6640625" customWidth="1"/>
    <col min="7427" max="7427" width="46" customWidth="1"/>
    <col min="7428" max="7428" width="1.6640625" customWidth="1"/>
    <col min="7429" max="7429" width="34" customWidth="1"/>
    <col min="7430" max="7430" width="1.6640625" customWidth="1"/>
    <col min="7431" max="7431" width="16" customWidth="1"/>
    <col min="7432" max="7432" width="1.6640625" customWidth="1"/>
    <col min="7433" max="7433" width="14" customWidth="1"/>
    <col min="7434" max="7434" width="1.6640625" customWidth="1"/>
    <col min="7435" max="7435" width="11.5546875" customWidth="1"/>
    <col min="7436" max="7436" width="2.88671875" customWidth="1"/>
    <col min="7437" max="7437" width="35.44140625" bestFit="1" customWidth="1"/>
    <col min="7438" max="7438" width="20.109375" customWidth="1"/>
    <col min="7681" max="7681" width="4.88671875" customWidth="1"/>
    <col min="7682" max="7682" width="1.6640625" customWidth="1"/>
    <col min="7683" max="7683" width="46" customWidth="1"/>
    <col min="7684" max="7684" width="1.6640625" customWidth="1"/>
    <col min="7685" max="7685" width="34" customWidth="1"/>
    <col min="7686" max="7686" width="1.6640625" customWidth="1"/>
    <col min="7687" max="7687" width="16" customWidth="1"/>
    <col min="7688" max="7688" width="1.6640625" customWidth="1"/>
    <col min="7689" max="7689" width="14" customWidth="1"/>
    <col min="7690" max="7690" width="1.6640625" customWidth="1"/>
    <col min="7691" max="7691" width="11.5546875" customWidth="1"/>
    <col min="7692" max="7692" width="2.88671875" customWidth="1"/>
    <col min="7693" max="7693" width="35.44140625" bestFit="1" customWidth="1"/>
    <col min="7694" max="7694" width="20.109375" customWidth="1"/>
    <col min="7937" max="7937" width="4.88671875" customWidth="1"/>
    <col min="7938" max="7938" width="1.6640625" customWidth="1"/>
    <col min="7939" max="7939" width="46" customWidth="1"/>
    <col min="7940" max="7940" width="1.6640625" customWidth="1"/>
    <col min="7941" max="7941" width="34" customWidth="1"/>
    <col min="7942" max="7942" width="1.6640625" customWidth="1"/>
    <col min="7943" max="7943" width="16" customWidth="1"/>
    <col min="7944" max="7944" width="1.6640625" customWidth="1"/>
    <col min="7945" max="7945" width="14" customWidth="1"/>
    <col min="7946" max="7946" width="1.6640625" customWidth="1"/>
    <col min="7947" max="7947" width="11.5546875" customWidth="1"/>
    <col min="7948" max="7948" width="2.88671875" customWidth="1"/>
    <col min="7949" max="7949" width="35.44140625" bestFit="1" customWidth="1"/>
    <col min="7950" max="7950" width="20.109375" customWidth="1"/>
    <col min="8193" max="8193" width="4.88671875" customWidth="1"/>
    <col min="8194" max="8194" width="1.6640625" customWidth="1"/>
    <col min="8195" max="8195" width="46" customWidth="1"/>
    <col min="8196" max="8196" width="1.6640625" customWidth="1"/>
    <col min="8197" max="8197" width="34" customWidth="1"/>
    <col min="8198" max="8198" width="1.6640625" customWidth="1"/>
    <col min="8199" max="8199" width="16" customWidth="1"/>
    <col min="8200" max="8200" width="1.6640625" customWidth="1"/>
    <col min="8201" max="8201" width="14" customWidth="1"/>
    <col min="8202" max="8202" width="1.6640625" customWidth="1"/>
    <col min="8203" max="8203" width="11.5546875" customWidth="1"/>
    <col min="8204" max="8204" width="2.88671875" customWidth="1"/>
    <col min="8205" max="8205" width="35.44140625" bestFit="1" customWidth="1"/>
    <col min="8206" max="8206" width="20.109375" customWidth="1"/>
    <col min="8449" max="8449" width="4.88671875" customWidth="1"/>
    <col min="8450" max="8450" width="1.6640625" customWidth="1"/>
    <col min="8451" max="8451" width="46" customWidth="1"/>
    <col min="8452" max="8452" width="1.6640625" customWidth="1"/>
    <col min="8453" max="8453" width="34" customWidth="1"/>
    <col min="8454" max="8454" width="1.6640625" customWidth="1"/>
    <col min="8455" max="8455" width="16" customWidth="1"/>
    <col min="8456" max="8456" width="1.6640625" customWidth="1"/>
    <col min="8457" max="8457" width="14" customWidth="1"/>
    <col min="8458" max="8458" width="1.6640625" customWidth="1"/>
    <col min="8459" max="8459" width="11.5546875" customWidth="1"/>
    <col min="8460" max="8460" width="2.88671875" customWidth="1"/>
    <col min="8461" max="8461" width="35.44140625" bestFit="1" customWidth="1"/>
    <col min="8462" max="8462" width="20.109375" customWidth="1"/>
    <col min="8705" max="8705" width="4.88671875" customWidth="1"/>
    <col min="8706" max="8706" width="1.6640625" customWidth="1"/>
    <col min="8707" max="8707" width="46" customWidth="1"/>
    <col min="8708" max="8708" width="1.6640625" customWidth="1"/>
    <col min="8709" max="8709" width="34" customWidth="1"/>
    <col min="8710" max="8710" width="1.6640625" customWidth="1"/>
    <col min="8711" max="8711" width="16" customWidth="1"/>
    <col min="8712" max="8712" width="1.6640625" customWidth="1"/>
    <col min="8713" max="8713" width="14" customWidth="1"/>
    <col min="8714" max="8714" width="1.6640625" customWidth="1"/>
    <col min="8715" max="8715" width="11.5546875" customWidth="1"/>
    <col min="8716" max="8716" width="2.88671875" customWidth="1"/>
    <col min="8717" max="8717" width="35.44140625" bestFit="1" customWidth="1"/>
    <col min="8718" max="8718" width="20.109375" customWidth="1"/>
    <col min="8961" max="8961" width="4.88671875" customWidth="1"/>
    <col min="8962" max="8962" width="1.6640625" customWidth="1"/>
    <col min="8963" max="8963" width="46" customWidth="1"/>
    <col min="8964" max="8964" width="1.6640625" customWidth="1"/>
    <col min="8965" max="8965" width="34" customWidth="1"/>
    <col min="8966" max="8966" width="1.6640625" customWidth="1"/>
    <col min="8967" max="8967" width="16" customWidth="1"/>
    <col min="8968" max="8968" width="1.6640625" customWidth="1"/>
    <col min="8969" max="8969" width="14" customWidth="1"/>
    <col min="8970" max="8970" width="1.6640625" customWidth="1"/>
    <col min="8971" max="8971" width="11.5546875" customWidth="1"/>
    <col min="8972" max="8972" width="2.88671875" customWidth="1"/>
    <col min="8973" max="8973" width="35.44140625" bestFit="1" customWidth="1"/>
    <col min="8974" max="8974" width="20.109375" customWidth="1"/>
    <col min="9217" max="9217" width="4.88671875" customWidth="1"/>
    <col min="9218" max="9218" width="1.6640625" customWidth="1"/>
    <col min="9219" max="9219" width="46" customWidth="1"/>
    <col min="9220" max="9220" width="1.6640625" customWidth="1"/>
    <col min="9221" max="9221" width="34" customWidth="1"/>
    <col min="9222" max="9222" width="1.6640625" customWidth="1"/>
    <col min="9223" max="9223" width="16" customWidth="1"/>
    <col min="9224" max="9224" width="1.6640625" customWidth="1"/>
    <col min="9225" max="9225" width="14" customWidth="1"/>
    <col min="9226" max="9226" width="1.6640625" customWidth="1"/>
    <col min="9227" max="9227" width="11.5546875" customWidth="1"/>
    <col min="9228" max="9228" width="2.88671875" customWidth="1"/>
    <col min="9229" max="9229" width="35.44140625" bestFit="1" customWidth="1"/>
    <col min="9230" max="9230" width="20.109375" customWidth="1"/>
    <col min="9473" max="9473" width="4.88671875" customWidth="1"/>
    <col min="9474" max="9474" width="1.6640625" customWidth="1"/>
    <col min="9475" max="9475" width="46" customWidth="1"/>
    <col min="9476" max="9476" width="1.6640625" customWidth="1"/>
    <col min="9477" max="9477" width="34" customWidth="1"/>
    <col min="9478" max="9478" width="1.6640625" customWidth="1"/>
    <col min="9479" max="9479" width="16" customWidth="1"/>
    <col min="9480" max="9480" width="1.6640625" customWidth="1"/>
    <col min="9481" max="9481" width="14" customWidth="1"/>
    <col min="9482" max="9482" width="1.6640625" customWidth="1"/>
    <col min="9483" max="9483" width="11.5546875" customWidth="1"/>
    <col min="9484" max="9484" width="2.88671875" customWidth="1"/>
    <col min="9485" max="9485" width="35.44140625" bestFit="1" customWidth="1"/>
    <col min="9486" max="9486" width="20.109375" customWidth="1"/>
    <col min="9729" max="9729" width="4.88671875" customWidth="1"/>
    <col min="9730" max="9730" width="1.6640625" customWidth="1"/>
    <col min="9731" max="9731" width="46" customWidth="1"/>
    <col min="9732" max="9732" width="1.6640625" customWidth="1"/>
    <col min="9733" max="9733" width="34" customWidth="1"/>
    <col min="9734" max="9734" width="1.6640625" customWidth="1"/>
    <col min="9735" max="9735" width="16" customWidth="1"/>
    <col min="9736" max="9736" width="1.6640625" customWidth="1"/>
    <col min="9737" max="9737" width="14" customWidth="1"/>
    <col min="9738" max="9738" width="1.6640625" customWidth="1"/>
    <col min="9739" max="9739" width="11.5546875" customWidth="1"/>
    <col min="9740" max="9740" width="2.88671875" customWidth="1"/>
    <col min="9741" max="9741" width="35.44140625" bestFit="1" customWidth="1"/>
    <col min="9742" max="9742" width="20.109375" customWidth="1"/>
    <col min="9985" max="9985" width="4.88671875" customWidth="1"/>
    <col min="9986" max="9986" width="1.6640625" customWidth="1"/>
    <col min="9987" max="9987" width="46" customWidth="1"/>
    <col min="9988" max="9988" width="1.6640625" customWidth="1"/>
    <col min="9989" max="9989" width="34" customWidth="1"/>
    <col min="9990" max="9990" width="1.6640625" customWidth="1"/>
    <col min="9991" max="9991" width="16" customWidth="1"/>
    <col min="9992" max="9992" width="1.6640625" customWidth="1"/>
    <col min="9993" max="9993" width="14" customWidth="1"/>
    <col min="9994" max="9994" width="1.6640625" customWidth="1"/>
    <col min="9995" max="9995" width="11.5546875" customWidth="1"/>
    <col min="9996" max="9996" width="2.88671875" customWidth="1"/>
    <col min="9997" max="9997" width="35.44140625" bestFit="1" customWidth="1"/>
    <col min="9998" max="9998" width="20.109375" customWidth="1"/>
    <col min="10241" max="10241" width="4.88671875" customWidth="1"/>
    <col min="10242" max="10242" width="1.6640625" customWidth="1"/>
    <col min="10243" max="10243" width="46" customWidth="1"/>
    <col min="10244" max="10244" width="1.6640625" customWidth="1"/>
    <col min="10245" max="10245" width="34" customWidth="1"/>
    <col min="10246" max="10246" width="1.6640625" customWidth="1"/>
    <col min="10247" max="10247" width="16" customWidth="1"/>
    <col min="10248" max="10248" width="1.6640625" customWidth="1"/>
    <col min="10249" max="10249" width="14" customWidth="1"/>
    <col min="10250" max="10250" width="1.6640625" customWidth="1"/>
    <col min="10251" max="10251" width="11.5546875" customWidth="1"/>
    <col min="10252" max="10252" width="2.88671875" customWidth="1"/>
    <col min="10253" max="10253" width="35.44140625" bestFit="1" customWidth="1"/>
    <col min="10254" max="10254" width="20.109375" customWidth="1"/>
    <col min="10497" max="10497" width="4.88671875" customWidth="1"/>
    <col min="10498" max="10498" width="1.6640625" customWidth="1"/>
    <col min="10499" max="10499" width="46" customWidth="1"/>
    <col min="10500" max="10500" width="1.6640625" customWidth="1"/>
    <col min="10501" max="10501" width="34" customWidth="1"/>
    <col min="10502" max="10502" width="1.6640625" customWidth="1"/>
    <col min="10503" max="10503" width="16" customWidth="1"/>
    <col min="10504" max="10504" width="1.6640625" customWidth="1"/>
    <col min="10505" max="10505" width="14" customWidth="1"/>
    <col min="10506" max="10506" width="1.6640625" customWidth="1"/>
    <col min="10507" max="10507" width="11.5546875" customWidth="1"/>
    <col min="10508" max="10508" width="2.88671875" customWidth="1"/>
    <col min="10509" max="10509" width="35.44140625" bestFit="1" customWidth="1"/>
    <col min="10510" max="10510" width="20.109375" customWidth="1"/>
    <col min="10753" max="10753" width="4.88671875" customWidth="1"/>
    <col min="10754" max="10754" width="1.6640625" customWidth="1"/>
    <col min="10755" max="10755" width="46" customWidth="1"/>
    <col min="10756" max="10756" width="1.6640625" customWidth="1"/>
    <col min="10757" max="10757" width="34" customWidth="1"/>
    <col min="10758" max="10758" width="1.6640625" customWidth="1"/>
    <col min="10759" max="10759" width="16" customWidth="1"/>
    <col min="10760" max="10760" width="1.6640625" customWidth="1"/>
    <col min="10761" max="10761" width="14" customWidth="1"/>
    <col min="10762" max="10762" width="1.6640625" customWidth="1"/>
    <col min="10763" max="10763" width="11.5546875" customWidth="1"/>
    <col min="10764" max="10764" width="2.88671875" customWidth="1"/>
    <col min="10765" max="10765" width="35.44140625" bestFit="1" customWidth="1"/>
    <col min="10766" max="10766" width="20.109375" customWidth="1"/>
    <col min="11009" max="11009" width="4.88671875" customWidth="1"/>
    <col min="11010" max="11010" width="1.6640625" customWidth="1"/>
    <col min="11011" max="11011" width="46" customWidth="1"/>
    <col min="11012" max="11012" width="1.6640625" customWidth="1"/>
    <col min="11013" max="11013" width="34" customWidth="1"/>
    <col min="11014" max="11014" width="1.6640625" customWidth="1"/>
    <col min="11015" max="11015" width="16" customWidth="1"/>
    <col min="11016" max="11016" width="1.6640625" customWidth="1"/>
    <col min="11017" max="11017" width="14" customWidth="1"/>
    <col min="11018" max="11018" width="1.6640625" customWidth="1"/>
    <col min="11019" max="11019" width="11.5546875" customWidth="1"/>
    <col min="11020" max="11020" width="2.88671875" customWidth="1"/>
    <col min="11021" max="11021" width="35.44140625" bestFit="1" customWidth="1"/>
    <col min="11022" max="11022" width="20.109375" customWidth="1"/>
    <col min="11265" max="11265" width="4.88671875" customWidth="1"/>
    <col min="11266" max="11266" width="1.6640625" customWidth="1"/>
    <col min="11267" max="11267" width="46" customWidth="1"/>
    <col min="11268" max="11268" width="1.6640625" customWidth="1"/>
    <col min="11269" max="11269" width="34" customWidth="1"/>
    <col min="11270" max="11270" width="1.6640625" customWidth="1"/>
    <col min="11271" max="11271" width="16" customWidth="1"/>
    <col min="11272" max="11272" width="1.6640625" customWidth="1"/>
    <col min="11273" max="11273" width="14" customWidth="1"/>
    <col min="11274" max="11274" width="1.6640625" customWidth="1"/>
    <col min="11275" max="11275" width="11.5546875" customWidth="1"/>
    <col min="11276" max="11276" width="2.88671875" customWidth="1"/>
    <col min="11277" max="11277" width="35.44140625" bestFit="1" customWidth="1"/>
    <col min="11278" max="11278" width="20.109375" customWidth="1"/>
    <col min="11521" max="11521" width="4.88671875" customWidth="1"/>
    <col min="11522" max="11522" width="1.6640625" customWidth="1"/>
    <col min="11523" max="11523" width="46" customWidth="1"/>
    <col min="11524" max="11524" width="1.6640625" customWidth="1"/>
    <col min="11525" max="11525" width="34" customWidth="1"/>
    <col min="11526" max="11526" width="1.6640625" customWidth="1"/>
    <col min="11527" max="11527" width="16" customWidth="1"/>
    <col min="11528" max="11528" width="1.6640625" customWidth="1"/>
    <col min="11529" max="11529" width="14" customWidth="1"/>
    <col min="11530" max="11530" width="1.6640625" customWidth="1"/>
    <col min="11531" max="11531" width="11.5546875" customWidth="1"/>
    <col min="11532" max="11532" width="2.88671875" customWidth="1"/>
    <col min="11533" max="11533" width="35.44140625" bestFit="1" customWidth="1"/>
    <col min="11534" max="11534" width="20.109375" customWidth="1"/>
    <col min="11777" max="11777" width="4.88671875" customWidth="1"/>
    <col min="11778" max="11778" width="1.6640625" customWidth="1"/>
    <col min="11779" max="11779" width="46" customWidth="1"/>
    <col min="11780" max="11780" width="1.6640625" customWidth="1"/>
    <col min="11781" max="11781" width="34" customWidth="1"/>
    <col min="11782" max="11782" width="1.6640625" customWidth="1"/>
    <col min="11783" max="11783" width="16" customWidth="1"/>
    <col min="11784" max="11784" width="1.6640625" customWidth="1"/>
    <col min="11785" max="11785" width="14" customWidth="1"/>
    <col min="11786" max="11786" width="1.6640625" customWidth="1"/>
    <col min="11787" max="11787" width="11.5546875" customWidth="1"/>
    <col min="11788" max="11788" width="2.88671875" customWidth="1"/>
    <col min="11789" max="11789" width="35.44140625" bestFit="1" customWidth="1"/>
    <col min="11790" max="11790" width="20.109375" customWidth="1"/>
    <col min="12033" max="12033" width="4.88671875" customWidth="1"/>
    <col min="12034" max="12034" width="1.6640625" customWidth="1"/>
    <col min="12035" max="12035" width="46" customWidth="1"/>
    <col min="12036" max="12036" width="1.6640625" customWidth="1"/>
    <col min="12037" max="12037" width="34" customWidth="1"/>
    <col min="12038" max="12038" width="1.6640625" customWidth="1"/>
    <col min="12039" max="12039" width="16" customWidth="1"/>
    <col min="12040" max="12040" width="1.6640625" customWidth="1"/>
    <col min="12041" max="12041" width="14" customWidth="1"/>
    <col min="12042" max="12042" width="1.6640625" customWidth="1"/>
    <col min="12043" max="12043" width="11.5546875" customWidth="1"/>
    <col min="12044" max="12044" width="2.88671875" customWidth="1"/>
    <col min="12045" max="12045" width="35.44140625" bestFit="1" customWidth="1"/>
    <col min="12046" max="12046" width="20.109375" customWidth="1"/>
    <col min="12289" max="12289" width="4.88671875" customWidth="1"/>
    <col min="12290" max="12290" width="1.6640625" customWidth="1"/>
    <col min="12291" max="12291" width="46" customWidth="1"/>
    <col min="12292" max="12292" width="1.6640625" customWidth="1"/>
    <col min="12293" max="12293" width="34" customWidth="1"/>
    <col min="12294" max="12294" width="1.6640625" customWidth="1"/>
    <col min="12295" max="12295" width="16" customWidth="1"/>
    <col min="12296" max="12296" width="1.6640625" customWidth="1"/>
    <col min="12297" max="12297" width="14" customWidth="1"/>
    <col min="12298" max="12298" width="1.6640625" customWidth="1"/>
    <col min="12299" max="12299" width="11.5546875" customWidth="1"/>
    <col min="12300" max="12300" width="2.88671875" customWidth="1"/>
    <col min="12301" max="12301" width="35.44140625" bestFit="1" customWidth="1"/>
    <col min="12302" max="12302" width="20.109375" customWidth="1"/>
    <col min="12545" max="12545" width="4.88671875" customWidth="1"/>
    <col min="12546" max="12546" width="1.6640625" customWidth="1"/>
    <col min="12547" max="12547" width="46" customWidth="1"/>
    <col min="12548" max="12548" width="1.6640625" customWidth="1"/>
    <col min="12549" max="12549" width="34" customWidth="1"/>
    <col min="12550" max="12550" width="1.6640625" customWidth="1"/>
    <col min="12551" max="12551" width="16" customWidth="1"/>
    <col min="12552" max="12552" width="1.6640625" customWidth="1"/>
    <col min="12553" max="12553" width="14" customWidth="1"/>
    <col min="12554" max="12554" width="1.6640625" customWidth="1"/>
    <col min="12555" max="12555" width="11.5546875" customWidth="1"/>
    <col min="12556" max="12556" width="2.88671875" customWidth="1"/>
    <col min="12557" max="12557" width="35.44140625" bestFit="1" customWidth="1"/>
    <col min="12558" max="12558" width="20.109375" customWidth="1"/>
    <col min="12801" max="12801" width="4.88671875" customWidth="1"/>
    <col min="12802" max="12802" width="1.6640625" customWidth="1"/>
    <col min="12803" max="12803" width="46" customWidth="1"/>
    <col min="12804" max="12804" width="1.6640625" customWidth="1"/>
    <col min="12805" max="12805" width="34" customWidth="1"/>
    <col min="12806" max="12806" width="1.6640625" customWidth="1"/>
    <col min="12807" max="12807" width="16" customWidth="1"/>
    <col min="12808" max="12808" width="1.6640625" customWidth="1"/>
    <col min="12809" max="12809" width="14" customWidth="1"/>
    <col min="12810" max="12810" width="1.6640625" customWidth="1"/>
    <col min="12811" max="12811" width="11.5546875" customWidth="1"/>
    <col min="12812" max="12812" width="2.88671875" customWidth="1"/>
    <col min="12813" max="12813" width="35.44140625" bestFit="1" customWidth="1"/>
    <col min="12814" max="12814" width="20.109375" customWidth="1"/>
    <col min="13057" max="13057" width="4.88671875" customWidth="1"/>
    <col min="13058" max="13058" width="1.6640625" customWidth="1"/>
    <col min="13059" max="13059" width="46" customWidth="1"/>
    <col min="13060" max="13060" width="1.6640625" customWidth="1"/>
    <col min="13061" max="13061" width="34" customWidth="1"/>
    <col min="13062" max="13062" width="1.6640625" customWidth="1"/>
    <col min="13063" max="13063" width="16" customWidth="1"/>
    <col min="13064" max="13064" width="1.6640625" customWidth="1"/>
    <col min="13065" max="13065" width="14" customWidth="1"/>
    <col min="13066" max="13066" width="1.6640625" customWidth="1"/>
    <col min="13067" max="13067" width="11.5546875" customWidth="1"/>
    <col min="13068" max="13068" width="2.88671875" customWidth="1"/>
    <col min="13069" max="13069" width="35.44140625" bestFit="1" customWidth="1"/>
    <col min="13070" max="13070" width="20.109375" customWidth="1"/>
    <col min="13313" max="13313" width="4.88671875" customWidth="1"/>
    <col min="13314" max="13314" width="1.6640625" customWidth="1"/>
    <col min="13315" max="13315" width="46" customWidth="1"/>
    <col min="13316" max="13316" width="1.6640625" customWidth="1"/>
    <col min="13317" max="13317" width="34" customWidth="1"/>
    <col min="13318" max="13318" width="1.6640625" customWidth="1"/>
    <col min="13319" max="13319" width="16" customWidth="1"/>
    <col min="13320" max="13320" width="1.6640625" customWidth="1"/>
    <col min="13321" max="13321" width="14" customWidth="1"/>
    <col min="13322" max="13322" width="1.6640625" customWidth="1"/>
    <col min="13323" max="13323" width="11.5546875" customWidth="1"/>
    <col min="13324" max="13324" width="2.88671875" customWidth="1"/>
    <col min="13325" max="13325" width="35.44140625" bestFit="1" customWidth="1"/>
    <col min="13326" max="13326" width="20.109375" customWidth="1"/>
    <col min="13569" max="13569" width="4.88671875" customWidth="1"/>
    <col min="13570" max="13570" width="1.6640625" customWidth="1"/>
    <col min="13571" max="13571" width="46" customWidth="1"/>
    <col min="13572" max="13572" width="1.6640625" customWidth="1"/>
    <col min="13573" max="13573" width="34" customWidth="1"/>
    <col min="13574" max="13574" width="1.6640625" customWidth="1"/>
    <col min="13575" max="13575" width="16" customWidth="1"/>
    <col min="13576" max="13576" width="1.6640625" customWidth="1"/>
    <col min="13577" max="13577" width="14" customWidth="1"/>
    <col min="13578" max="13578" width="1.6640625" customWidth="1"/>
    <col min="13579" max="13579" width="11.5546875" customWidth="1"/>
    <col min="13580" max="13580" width="2.88671875" customWidth="1"/>
    <col min="13581" max="13581" width="35.44140625" bestFit="1" customWidth="1"/>
    <col min="13582" max="13582" width="20.109375" customWidth="1"/>
    <col min="13825" max="13825" width="4.88671875" customWidth="1"/>
    <col min="13826" max="13826" width="1.6640625" customWidth="1"/>
    <col min="13827" max="13827" width="46" customWidth="1"/>
    <col min="13828" max="13828" width="1.6640625" customWidth="1"/>
    <col min="13829" max="13829" width="34" customWidth="1"/>
    <col min="13830" max="13830" width="1.6640625" customWidth="1"/>
    <col min="13831" max="13831" width="16" customWidth="1"/>
    <col min="13832" max="13832" width="1.6640625" customWidth="1"/>
    <col min="13833" max="13833" width="14" customWidth="1"/>
    <col min="13834" max="13834" width="1.6640625" customWidth="1"/>
    <col min="13835" max="13835" width="11.5546875" customWidth="1"/>
    <col min="13836" max="13836" width="2.88671875" customWidth="1"/>
    <col min="13837" max="13837" width="35.44140625" bestFit="1" customWidth="1"/>
    <col min="13838" max="13838" width="20.109375" customWidth="1"/>
    <col min="14081" max="14081" width="4.88671875" customWidth="1"/>
    <col min="14082" max="14082" width="1.6640625" customWidth="1"/>
    <col min="14083" max="14083" width="46" customWidth="1"/>
    <col min="14084" max="14084" width="1.6640625" customWidth="1"/>
    <col min="14085" max="14085" width="34" customWidth="1"/>
    <col min="14086" max="14086" width="1.6640625" customWidth="1"/>
    <col min="14087" max="14087" width="16" customWidth="1"/>
    <col min="14088" max="14088" width="1.6640625" customWidth="1"/>
    <col min="14089" max="14089" width="14" customWidth="1"/>
    <col min="14090" max="14090" width="1.6640625" customWidth="1"/>
    <col min="14091" max="14091" width="11.5546875" customWidth="1"/>
    <col min="14092" max="14092" width="2.88671875" customWidth="1"/>
    <col min="14093" max="14093" width="35.44140625" bestFit="1" customWidth="1"/>
    <col min="14094" max="14094" width="20.109375" customWidth="1"/>
    <col min="14337" max="14337" width="4.88671875" customWidth="1"/>
    <col min="14338" max="14338" width="1.6640625" customWidth="1"/>
    <col min="14339" max="14339" width="46" customWidth="1"/>
    <col min="14340" max="14340" width="1.6640625" customWidth="1"/>
    <col min="14341" max="14341" width="34" customWidth="1"/>
    <col min="14342" max="14342" width="1.6640625" customWidth="1"/>
    <col min="14343" max="14343" width="16" customWidth="1"/>
    <col min="14344" max="14344" width="1.6640625" customWidth="1"/>
    <col min="14345" max="14345" width="14" customWidth="1"/>
    <col min="14346" max="14346" width="1.6640625" customWidth="1"/>
    <col min="14347" max="14347" width="11.5546875" customWidth="1"/>
    <col min="14348" max="14348" width="2.88671875" customWidth="1"/>
    <col min="14349" max="14349" width="35.44140625" bestFit="1" customWidth="1"/>
    <col min="14350" max="14350" width="20.109375" customWidth="1"/>
    <col min="14593" max="14593" width="4.88671875" customWidth="1"/>
    <col min="14594" max="14594" width="1.6640625" customWidth="1"/>
    <col min="14595" max="14595" width="46" customWidth="1"/>
    <col min="14596" max="14596" width="1.6640625" customWidth="1"/>
    <col min="14597" max="14597" width="34" customWidth="1"/>
    <col min="14598" max="14598" width="1.6640625" customWidth="1"/>
    <col min="14599" max="14599" width="16" customWidth="1"/>
    <col min="14600" max="14600" width="1.6640625" customWidth="1"/>
    <col min="14601" max="14601" width="14" customWidth="1"/>
    <col min="14602" max="14602" width="1.6640625" customWidth="1"/>
    <col min="14603" max="14603" width="11.5546875" customWidth="1"/>
    <col min="14604" max="14604" width="2.88671875" customWidth="1"/>
    <col min="14605" max="14605" width="35.44140625" bestFit="1" customWidth="1"/>
    <col min="14606" max="14606" width="20.109375" customWidth="1"/>
    <col min="14849" max="14849" width="4.88671875" customWidth="1"/>
    <col min="14850" max="14850" width="1.6640625" customWidth="1"/>
    <col min="14851" max="14851" width="46" customWidth="1"/>
    <col min="14852" max="14852" width="1.6640625" customWidth="1"/>
    <col min="14853" max="14853" width="34" customWidth="1"/>
    <col min="14854" max="14854" width="1.6640625" customWidth="1"/>
    <col min="14855" max="14855" width="16" customWidth="1"/>
    <col min="14856" max="14856" width="1.6640625" customWidth="1"/>
    <col min="14857" max="14857" width="14" customWidth="1"/>
    <col min="14858" max="14858" width="1.6640625" customWidth="1"/>
    <col min="14859" max="14859" width="11.5546875" customWidth="1"/>
    <col min="14860" max="14860" width="2.88671875" customWidth="1"/>
    <col min="14861" max="14861" width="35.44140625" bestFit="1" customWidth="1"/>
    <col min="14862" max="14862" width="20.109375" customWidth="1"/>
    <col min="15105" max="15105" width="4.88671875" customWidth="1"/>
    <col min="15106" max="15106" width="1.6640625" customWidth="1"/>
    <col min="15107" max="15107" width="46" customWidth="1"/>
    <col min="15108" max="15108" width="1.6640625" customWidth="1"/>
    <col min="15109" max="15109" width="34" customWidth="1"/>
    <col min="15110" max="15110" width="1.6640625" customWidth="1"/>
    <col min="15111" max="15111" width="16" customWidth="1"/>
    <col min="15112" max="15112" width="1.6640625" customWidth="1"/>
    <col min="15113" max="15113" width="14" customWidth="1"/>
    <col min="15114" max="15114" width="1.6640625" customWidth="1"/>
    <col min="15115" max="15115" width="11.5546875" customWidth="1"/>
    <col min="15116" max="15116" width="2.88671875" customWidth="1"/>
    <col min="15117" max="15117" width="35.44140625" bestFit="1" customWidth="1"/>
    <col min="15118" max="15118" width="20.109375" customWidth="1"/>
    <col min="15361" max="15361" width="4.88671875" customWidth="1"/>
    <col min="15362" max="15362" width="1.6640625" customWidth="1"/>
    <col min="15363" max="15363" width="46" customWidth="1"/>
    <col min="15364" max="15364" width="1.6640625" customWidth="1"/>
    <col min="15365" max="15365" width="34" customWidth="1"/>
    <col min="15366" max="15366" width="1.6640625" customWidth="1"/>
    <col min="15367" max="15367" width="16" customWidth="1"/>
    <col min="15368" max="15368" width="1.6640625" customWidth="1"/>
    <col min="15369" max="15369" width="14" customWidth="1"/>
    <col min="15370" max="15370" width="1.6640625" customWidth="1"/>
    <col min="15371" max="15371" width="11.5546875" customWidth="1"/>
    <col min="15372" max="15372" width="2.88671875" customWidth="1"/>
    <col min="15373" max="15373" width="35.44140625" bestFit="1" customWidth="1"/>
    <col min="15374" max="15374" width="20.109375" customWidth="1"/>
    <col min="15617" max="15617" width="4.88671875" customWidth="1"/>
    <col min="15618" max="15618" width="1.6640625" customWidth="1"/>
    <col min="15619" max="15619" width="46" customWidth="1"/>
    <col min="15620" max="15620" width="1.6640625" customWidth="1"/>
    <col min="15621" max="15621" width="34" customWidth="1"/>
    <col min="15622" max="15622" width="1.6640625" customWidth="1"/>
    <col min="15623" max="15623" width="16" customWidth="1"/>
    <col min="15624" max="15624" width="1.6640625" customWidth="1"/>
    <col min="15625" max="15625" width="14" customWidth="1"/>
    <col min="15626" max="15626" width="1.6640625" customWidth="1"/>
    <col min="15627" max="15627" width="11.5546875" customWidth="1"/>
    <col min="15628" max="15628" width="2.88671875" customWidth="1"/>
    <col min="15629" max="15629" width="35.44140625" bestFit="1" customWidth="1"/>
    <col min="15630" max="15630" width="20.109375" customWidth="1"/>
    <col min="15873" max="15873" width="4.88671875" customWidth="1"/>
    <col min="15874" max="15874" width="1.6640625" customWidth="1"/>
    <col min="15875" max="15875" width="46" customWidth="1"/>
    <col min="15876" max="15876" width="1.6640625" customWidth="1"/>
    <col min="15877" max="15877" width="34" customWidth="1"/>
    <col min="15878" max="15878" width="1.6640625" customWidth="1"/>
    <col min="15879" max="15879" width="16" customWidth="1"/>
    <col min="15880" max="15880" width="1.6640625" customWidth="1"/>
    <col min="15881" max="15881" width="14" customWidth="1"/>
    <col min="15882" max="15882" width="1.6640625" customWidth="1"/>
    <col min="15883" max="15883" width="11.5546875" customWidth="1"/>
    <col min="15884" max="15884" width="2.88671875" customWidth="1"/>
    <col min="15885" max="15885" width="35.44140625" bestFit="1" customWidth="1"/>
    <col min="15886" max="15886" width="20.109375" customWidth="1"/>
    <col min="16129" max="16129" width="4.88671875" customWidth="1"/>
    <col min="16130" max="16130" width="1.6640625" customWidth="1"/>
    <col min="16131" max="16131" width="46" customWidth="1"/>
    <col min="16132" max="16132" width="1.6640625" customWidth="1"/>
    <col min="16133" max="16133" width="34" customWidth="1"/>
    <col min="16134" max="16134" width="1.6640625" customWidth="1"/>
    <col min="16135" max="16135" width="16" customWidth="1"/>
    <col min="16136" max="16136" width="1.6640625" customWidth="1"/>
    <col min="16137" max="16137" width="14" customWidth="1"/>
    <col min="16138" max="16138" width="1.6640625" customWidth="1"/>
    <col min="16139" max="16139" width="11.5546875" customWidth="1"/>
    <col min="16140" max="16140" width="2.88671875" customWidth="1"/>
    <col min="16141" max="16141" width="35.44140625" bestFit="1" customWidth="1"/>
    <col min="16142" max="16142" width="20.109375" customWidth="1"/>
  </cols>
  <sheetData>
    <row r="1" spans="1:20" x14ac:dyDescent="0.25">
      <c r="A1" s="706" t="s">
        <v>2408</v>
      </c>
      <c r="B1" s="706"/>
      <c r="C1" s="707"/>
      <c r="D1" s="707"/>
      <c r="G1" s="707"/>
      <c r="H1" s="707"/>
      <c r="I1" s="707"/>
      <c r="J1" s="707"/>
      <c r="K1" s="707"/>
      <c r="L1" s="707"/>
      <c r="M1" s="707"/>
      <c r="N1" s="13"/>
      <c r="O1" s="13"/>
      <c r="P1" s="13"/>
      <c r="Q1" s="13"/>
      <c r="R1" s="13"/>
      <c r="S1" s="13"/>
      <c r="T1" s="13"/>
    </row>
    <row r="2" spans="1:20" x14ac:dyDescent="0.25">
      <c r="A2" s="13"/>
      <c r="B2" s="13"/>
      <c r="C2" s="468"/>
      <c r="D2" s="13"/>
      <c r="E2" s="13"/>
      <c r="F2" s="13"/>
      <c r="G2" s="13"/>
      <c r="H2" s="13"/>
      <c r="I2" s="13"/>
      <c r="J2" s="13"/>
      <c r="K2" s="13"/>
      <c r="L2" s="13"/>
      <c r="M2" s="13"/>
      <c r="N2" s="13"/>
      <c r="O2" s="13"/>
      <c r="P2" s="13"/>
      <c r="Q2" s="13"/>
      <c r="R2" s="13"/>
      <c r="S2" s="13"/>
      <c r="T2" s="13"/>
    </row>
    <row r="3" spans="1:20" x14ac:dyDescent="0.25">
      <c r="A3" s="708" t="s">
        <v>360</v>
      </c>
      <c r="B3" s="708"/>
      <c r="C3" s="707"/>
      <c r="D3" s="707"/>
      <c r="E3" s="707"/>
      <c r="F3" s="707"/>
      <c r="G3" s="707"/>
      <c r="H3" s="707"/>
      <c r="I3" s="707"/>
      <c r="J3" s="707"/>
      <c r="K3" s="707"/>
      <c r="L3" s="707"/>
      <c r="M3" s="707"/>
      <c r="N3" s="13"/>
      <c r="O3" s="13"/>
      <c r="P3" s="13"/>
      <c r="Q3" s="13"/>
      <c r="R3" s="13"/>
      <c r="S3" s="13"/>
      <c r="T3" s="13"/>
    </row>
    <row r="4" spans="1:20" x14ac:dyDescent="0.25">
      <c r="A4" s="709">
        <v>1</v>
      </c>
      <c r="B4" s="709"/>
      <c r="C4" s="590"/>
      <c r="D4" s="590"/>
      <c r="E4" s="590"/>
      <c r="F4" s="590"/>
      <c r="G4" s="707"/>
      <c r="H4" s="707"/>
      <c r="I4" s="707"/>
      <c r="J4" s="707"/>
      <c r="K4" s="707"/>
      <c r="L4" s="707"/>
      <c r="M4" s="707"/>
      <c r="N4" s="13"/>
      <c r="O4" s="13"/>
      <c r="P4" s="13"/>
      <c r="Q4" s="13"/>
      <c r="R4" s="13"/>
      <c r="S4" s="13"/>
      <c r="T4" s="13"/>
    </row>
    <row r="5" spans="1:20" x14ac:dyDescent="0.25">
      <c r="A5" s="584">
        <v>2</v>
      </c>
      <c r="B5" s="584"/>
      <c r="C5" s="590"/>
      <c r="D5" s="590"/>
      <c r="E5" s="590"/>
      <c r="F5" s="590"/>
      <c r="G5" s="707"/>
      <c r="H5" s="707"/>
      <c r="I5" s="707"/>
      <c r="J5" s="707"/>
      <c r="K5" s="707"/>
      <c r="L5" s="707"/>
      <c r="M5" s="707"/>
      <c r="N5" s="13"/>
      <c r="O5" s="13"/>
    </row>
    <row r="6" spans="1:20" x14ac:dyDescent="0.25">
      <c r="A6" s="584">
        <v>3</v>
      </c>
      <c r="B6" s="584"/>
      <c r="C6" s="585"/>
      <c r="D6" s="585"/>
      <c r="E6" s="585"/>
      <c r="F6" s="585"/>
      <c r="G6" s="582"/>
      <c r="H6" s="582"/>
      <c r="I6" s="582"/>
      <c r="J6" s="582"/>
      <c r="K6" s="584" t="s">
        <v>73</v>
      </c>
      <c r="L6" s="582"/>
      <c r="M6" s="582"/>
    </row>
    <row r="7" spans="1:20" x14ac:dyDescent="0.25">
      <c r="A7" s="584">
        <v>4</v>
      </c>
      <c r="B7" s="584"/>
      <c r="C7" s="582"/>
      <c r="D7" s="582"/>
      <c r="E7" s="710" t="s">
        <v>224</v>
      </c>
      <c r="F7" s="711"/>
      <c r="G7" s="582"/>
      <c r="H7" s="582"/>
      <c r="I7" s="582"/>
      <c r="J7" s="582"/>
      <c r="K7" s="712" t="s">
        <v>194</v>
      </c>
      <c r="L7" s="582"/>
      <c r="M7" s="587"/>
    </row>
    <row r="8" spans="1:20" x14ac:dyDescent="0.25">
      <c r="A8" s="584">
        <v>5</v>
      </c>
      <c r="B8" s="584"/>
      <c r="C8" s="585"/>
      <c r="D8" s="585"/>
      <c r="E8" s="585"/>
      <c r="F8" s="585"/>
      <c r="G8" s="582"/>
      <c r="H8" s="582"/>
      <c r="I8" s="582"/>
      <c r="J8" s="582"/>
      <c r="K8" s="588"/>
      <c r="L8" s="582"/>
      <c r="M8" s="585"/>
    </row>
    <row r="9" spans="1:20" x14ac:dyDescent="0.25">
      <c r="A9" s="584">
        <v>6</v>
      </c>
      <c r="B9" s="584"/>
      <c r="C9" s="706" t="s">
        <v>2429</v>
      </c>
      <c r="D9" s="590"/>
      <c r="E9" s="590" t="s">
        <v>2430</v>
      </c>
      <c r="F9" s="590"/>
      <c r="G9" s="707"/>
      <c r="H9" s="707"/>
      <c r="I9" s="707"/>
      <c r="J9" s="707"/>
      <c r="K9" s="986">
        <v>0</v>
      </c>
      <c r="L9" s="582"/>
      <c r="M9" s="585"/>
      <c r="N9" s="713"/>
    </row>
    <row r="10" spans="1:20" ht="13.8" thickBot="1" x14ac:dyDescent="0.3">
      <c r="A10" s="584">
        <v>7</v>
      </c>
      <c r="B10" s="584"/>
      <c r="C10" s="706" t="s">
        <v>2428</v>
      </c>
      <c r="D10" s="708"/>
      <c r="E10" s="590" t="s">
        <v>2409</v>
      </c>
      <c r="F10" s="590"/>
      <c r="G10" s="707"/>
      <c r="H10" s="707"/>
      <c r="I10" s="707"/>
      <c r="J10" s="707"/>
      <c r="K10" s="1005">
        <v>0</v>
      </c>
      <c r="L10" s="582"/>
      <c r="M10" s="585"/>
    </row>
    <row r="11" spans="1:20" ht="13.8" thickTop="1" x14ac:dyDescent="0.25">
      <c r="A11" s="584">
        <v>8</v>
      </c>
      <c r="B11" s="584"/>
      <c r="C11" s="590"/>
      <c r="D11" s="590"/>
      <c r="E11" s="590"/>
      <c r="F11" s="590"/>
      <c r="G11" s="707"/>
      <c r="H11" s="707"/>
      <c r="I11" s="707"/>
      <c r="J11" s="707"/>
      <c r="K11" s="588"/>
      <c r="L11" s="582"/>
      <c r="M11" s="582"/>
    </row>
    <row r="12" spans="1:20" x14ac:dyDescent="0.25">
      <c r="A12" s="584">
        <v>9</v>
      </c>
      <c r="B12" s="584"/>
      <c r="C12" s="707"/>
      <c r="D12" s="707"/>
      <c r="E12" s="707"/>
      <c r="F12" s="707"/>
      <c r="G12" s="714" t="s">
        <v>394</v>
      </c>
      <c r="H12" s="714"/>
      <c r="I12" s="714" t="s">
        <v>378</v>
      </c>
      <c r="J12" s="714"/>
      <c r="K12" s="714" t="s">
        <v>379</v>
      </c>
      <c r="L12" s="582"/>
      <c r="M12" s="582"/>
    </row>
    <row r="13" spans="1:20" x14ac:dyDescent="0.25">
      <c r="A13" s="584">
        <v>10</v>
      </c>
      <c r="B13" s="584"/>
      <c r="C13" s="707"/>
      <c r="D13" s="707"/>
      <c r="E13" s="707"/>
      <c r="F13" s="707"/>
      <c r="G13" s="709" t="s">
        <v>73</v>
      </c>
      <c r="H13" s="709"/>
      <c r="I13" s="709" t="s">
        <v>73</v>
      </c>
      <c r="J13" s="711"/>
      <c r="K13" s="709" t="s">
        <v>73</v>
      </c>
      <c r="L13" s="582"/>
      <c r="M13" s="582"/>
    </row>
    <row r="14" spans="1:20" ht="14.4" x14ac:dyDescent="0.3">
      <c r="A14" s="584">
        <v>11</v>
      </c>
      <c r="B14" s="584"/>
      <c r="C14" s="709"/>
      <c r="D14" s="709"/>
      <c r="E14" s="709"/>
      <c r="F14" s="709"/>
      <c r="G14" s="709" t="s">
        <v>423</v>
      </c>
      <c r="H14" s="709"/>
      <c r="I14" s="709" t="s">
        <v>330</v>
      </c>
      <c r="J14" s="711"/>
      <c r="K14" s="715" t="s">
        <v>255</v>
      </c>
      <c r="L14" s="582"/>
      <c r="M14" s="582"/>
    </row>
    <row r="15" spans="1:20" x14ac:dyDescent="0.25">
      <c r="A15" s="584">
        <v>12</v>
      </c>
      <c r="B15" s="584"/>
      <c r="C15" s="584" t="s">
        <v>458</v>
      </c>
      <c r="D15" s="584"/>
      <c r="E15" s="584"/>
      <c r="F15" s="584"/>
      <c r="G15" s="584" t="s">
        <v>2410</v>
      </c>
      <c r="H15" s="711"/>
      <c r="I15" s="584" t="s">
        <v>2410</v>
      </c>
      <c r="J15" s="711"/>
      <c r="K15" s="584" t="s">
        <v>2410</v>
      </c>
      <c r="L15" s="582"/>
      <c r="M15" s="582"/>
    </row>
    <row r="16" spans="1:20" x14ac:dyDescent="0.25">
      <c r="A16" s="584">
        <v>13</v>
      </c>
      <c r="B16" s="584"/>
      <c r="C16" s="586" t="s">
        <v>2407</v>
      </c>
      <c r="D16" s="586"/>
      <c r="E16" s="586"/>
      <c r="F16" s="586"/>
      <c r="G16" s="712" t="s">
        <v>2411</v>
      </c>
      <c r="H16" s="711"/>
      <c r="I16" s="712" t="s">
        <v>2411</v>
      </c>
      <c r="J16" s="711"/>
      <c r="K16" s="712" t="s">
        <v>2411</v>
      </c>
      <c r="L16" s="582"/>
      <c r="M16" s="582"/>
    </row>
    <row r="17" spans="1:14" x14ac:dyDescent="0.25">
      <c r="A17" s="584">
        <v>14</v>
      </c>
      <c r="B17" s="584"/>
      <c r="C17" s="590" t="s">
        <v>2412</v>
      </c>
      <c r="D17" s="590"/>
      <c r="E17" s="466" t="s">
        <v>2782</v>
      </c>
      <c r="F17" s="466"/>
      <c r="G17" s="986">
        <v>0</v>
      </c>
      <c r="H17" s="986">
        <v>0</v>
      </c>
      <c r="I17" s="986">
        <v>0</v>
      </c>
      <c r="J17" s="986">
        <v>0</v>
      </c>
      <c r="K17" s="986">
        <v>0</v>
      </c>
      <c r="L17" s="582"/>
      <c r="M17" s="582"/>
      <c r="N17" s="582"/>
    </row>
    <row r="18" spans="1:14" x14ac:dyDescent="0.25">
      <c r="A18" s="584">
        <v>15</v>
      </c>
      <c r="B18" s="584"/>
      <c r="C18" s="590" t="s">
        <v>2413</v>
      </c>
      <c r="D18" s="590"/>
      <c r="E18" s="590" t="s">
        <v>2783</v>
      </c>
      <c r="F18" s="590"/>
      <c r="G18" s="986">
        <v>0</v>
      </c>
      <c r="H18" s="986">
        <v>0</v>
      </c>
      <c r="I18" s="986">
        <v>0</v>
      </c>
      <c r="J18" s="986">
        <v>0</v>
      </c>
      <c r="K18" s="986">
        <v>0</v>
      </c>
      <c r="L18" s="582"/>
      <c r="M18" s="582"/>
      <c r="N18" s="582"/>
    </row>
    <row r="19" spans="1:14" ht="15" x14ac:dyDescent="0.4">
      <c r="A19" s="584">
        <v>16</v>
      </c>
      <c r="B19" s="584"/>
      <c r="C19" s="590" t="s">
        <v>2414</v>
      </c>
      <c r="D19" s="590"/>
      <c r="E19" s="590" t="s">
        <v>2784</v>
      </c>
      <c r="F19" s="590"/>
      <c r="G19" s="987">
        <v>0</v>
      </c>
      <c r="H19" s="987">
        <v>0</v>
      </c>
      <c r="I19" s="987">
        <v>0</v>
      </c>
      <c r="J19" s="987">
        <v>0</v>
      </c>
      <c r="K19" s="987">
        <v>0</v>
      </c>
      <c r="L19" s="582"/>
      <c r="M19" s="582"/>
    </row>
    <row r="20" spans="1:14" ht="13.8" thickBot="1" x14ac:dyDescent="0.3">
      <c r="A20" s="584">
        <v>17</v>
      </c>
      <c r="B20" s="584"/>
      <c r="C20" s="585" t="s">
        <v>216</v>
      </c>
      <c r="D20" s="585"/>
      <c r="E20" s="585" t="s">
        <v>2415</v>
      </c>
      <c r="F20" s="585"/>
      <c r="G20" s="1005">
        <v>0</v>
      </c>
      <c r="H20" s="716"/>
      <c r="I20" s="1005">
        <v>0</v>
      </c>
      <c r="J20" s="1005">
        <v>0</v>
      </c>
      <c r="K20" s="1005">
        <v>0</v>
      </c>
      <c r="L20" s="582"/>
      <c r="M20" s="585"/>
      <c r="N20" s="466" t="s">
        <v>359</v>
      </c>
    </row>
    <row r="21" spans="1:14" ht="13.8" thickTop="1" x14ac:dyDescent="0.25">
      <c r="A21" s="584">
        <v>18</v>
      </c>
      <c r="B21" s="584"/>
      <c r="C21" s="582"/>
      <c r="D21" s="582"/>
      <c r="E21" s="582"/>
      <c r="F21" s="582"/>
      <c r="G21" s="582"/>
      <c r="H21" s="717"/>
      <c r="I21" s="582"/>
      <c r="J21" s="717"/>
      <c r="K21" s="582"/>
      <c r="L21" s="582"/>
      <c r="M21" s="582"/>
    </row>
    <row r="22" spans="1:14" x14ac:dyDescent="0.25">
      <c r="A22" s="584">
        <v>19</v>
      </c>
      <c r="B22" s="584"/>
      <c r="C22" s="583" t="s">
        <v>2416</v>
      </c>
      <c r="D22" s="583"/>
      <c r="E22" s="583"/>
      <c r="F22" s="583"/>
      <c r="G22" s="582"/>
      <c r="H22" s="717"/>
      <c r="I22" s="582"/>
      <c r="J22" s="717"/>
      <c r="K22" s="582"/>
      <c r="L22" s="582"/>
      <c r="M22" s="582"/>
    </row>
    <row r="23" spans="1:14" x14ac:dyDescent="0.25">
      <c r="A23" s="584">
        <v>20</v>
      </c>
      <c r="B23" s="584"/>
      <c r="H23" s="529"/>
      <c r="J23" s="529"/>
      <c r="K23" s="467" t="s">
        <v>255</v>
      </c>
    </row>
    <row r="24" spans="1:14" x14ac:dyDescent="0.25">
      <c r="A24" s="584">
        <v>21</v>
      </c>
      <c r="B24" s="584"/>
      <c r="C24" s="583" t="s">
        <v>118</v>
      </c>
      <c r="D24" s="583"/>
      <c r="E24" s="583"/>
      <c r="F24" s="583"/>
      <c r="G24" s="381" t="s">
        <v>423</v>
      </c>
      <c r="H24" s="718"/>
      <c r="I24" s="381" t="s">
        <v>330</v>
      </c>
      <c r="J24" s="718"/>
      <c r="K24" s="1016" t="s">
        <v>2417</v>
      </c>
      <c r="M24" s="484" t="s">
        <v>359</v>
      </c>
    </row>
    <row r="25" spans="1:14" x14ac:dyDescent="0.25">
      <c r="A25" s="584">
        <v>22</v>
      </c>
      <c r="B25" s="584"/>
      <c r="C25" t="s">
        <v>2418</v>
      </c>
      <c r="E25" s="590" t="s">
        <v>2419</v>
      </c>
      <c r="F25" s="590"/>
      <c r="G25" s="977">
        <v>0</v>
      </c>
      <c r="H25" s="719"/>
      <c r="I25" s="977">
        <v>0</v>
      </c>
      <c r="J25" s="720"/>
      <c r="K25" s="1017"/>
      <c r="M25" s="713"/>
      <c r="N25" s="618"/>
    </row>
    <row r="26" spans="1:14" x14ac:dyDescent="0.25">
      <c r="A26" s="584">
        <v>23</v>
      </c>
      <c r="B26" s="584"/>
      <c r="C26" t="s">
        <v>219</v>
      </c>
      <c r="E26" s="721" t="s">
        <v>2420</v>
      </c>
      <c r="F26" s="721"/>
      <c r="G26" s="976" t="s">
        <v>2690</v>
      </c>
      <c r="H26" s="722"/>
      <c r="I26" s="976" t="s">
        <v>2690</v>
      </c>
      <c r="J26" s="722"/>
      <c r="K26" s="58"/>
      <c r="M26" s="713"/>
    </row>
    <row r="27" spans="1:14" ht="13.8" thickBot="1" x14ac:dyDescent="0.3">
      <c r="A27" s="584">
        <v>24</v>
      </c>
      <c r="B27" s="584"/>
      <c r="C27" t="s">
        <v>2421</v>
      </c>
      <c r="E27" s="482" t="s">
        <v>2785</v>
      </c>
      <c r="F27" s="50"/>
      <c r="G27" s="1005">
        <v>0</v>
      </c>
      <c r="H27" s="723"/>
      <c r="I27" s="1005">
        <v>0</v>
      </c>
      <c r="J27" s="723"/>
      <c r="K27" s="1005">
        <v>0</v>
      </c>
      <c r="M27" s="713"/>
    </row>
    <row r="28" spans="1:14" ht="13.8" thickTop="1" x14ac:dyDescent="0.25">
      <c r="A28" s="584">
        <v>25</v>
      </c>
      <c r="B28" s="584"/>
      <c r="H28" s="529"/>
      <c r="J28" s="529"/>
      <c r="M28" s="713"/>
    </row>
    <row r="29" spans="1:14" x14ac:dyDescent="0.25">
      <c r="A29" s="584">
        <v>26</v>
      </c>
      <c r="B29" s="584"/>
      <c r="C29" s="49" t="s">
        <v>2422</v>
      </c>
      <c r="D29" s="49"/>
      <c r="E29" s="49"/>
      <c r="F29" s="49"/>
      <c r="H29" s="529"/>
      <c r="J29" s="529"/>
      <c r="M29" s="724" t="s">
        <v>359</v>
      </c>
    </row>
    <row r="30" spans="1:14" x14ac:dyDescent="0.25">
      <c r="A30" s="584">
        <v>27</v>
      </c>
      <c r="B30" s="584"/>
      <c r="C30" s="466" t="s">
        <v>2423</v>
      </c>
      <c r="D30" s="466"/>
      <c r="E30" s="590" t="s">
        <v>2419</v>
      </c>
      <c r="F30" s="590"/>
      <c r="G30" s="977">
        <v>0</v>
      </c>
      <c r="H30" s="719"/>
      <c r="I30" s="977">
        <v>0</v>
      </c>
      <c r="J30" s="720"/>
      <c r="M30" s="713"/>
    </row>
    <row r="31" spans="1:14" x14ac:dyDescent="0.25">
      <c r="A31" s="584">
        <v>28</v>
      </c>
      <c r="B31" s="584"/>
      <c r="C31" t="s">
        <v>219</v>
      </c>
      <c r="E31" s="721" t="s">
        <v>2420</v>
      </c>
      <c r="F31" s="721"/>
      <c r="G31" s="976" t="s">
        <v>2690</v>
      </c>
      <c r="H31" s="722"/>
      <c r="I31" s="976" t="s">
        <v>2690</v>
      </c>
      <c r="J31" s="722"/>
      <c r="M31" s="713"/>
    </row>
    <row r="32" spans="1:14" ht="13.8" thickBot="1" x14ac:dyDescent="0.3">
      <c r="A32" s="584">
        <v>29</v>
      </c>
      <c r="B32" s="584"/>
      <c r="C32" t="s">
        <v>2421</v>
      </c>
      <c r="E32" s="482" t="s">
        <v>2786</v>
      </c>
      <c r="F32" s="50"/>
      <c r="G32" s="1005">
        <v>0</v>
      </c>
      <c r="H32" s="723"/>
      <c r="I32" s="1005">
        <v>0</v>
      </c>
      <c r="J32" s="723"/>
      <c r="K32" s="1005">
        <v>0</v>
      </c>
      <c r="M32" s="713"/>
    </row>
    <row r="33" spans="1:11" ht="13.8" thickTop="1" x14ac:dyDescent="0.25">
      <c r="A33" s="584">
        <v>30</v>
      </c>
      <c r="H33" s="529"/>
      <c r="J33" s="529"/>
    </row>
    <row r="34" spans="1:11" x14ac:dyDescent="0.25">
      <c r="A34" s="584">
        <v>31</v>
      </c>
      <c r="C34" s="49" t="s">
        <v>2424</v>
      </c>
      <c r="H34" s="529"/>
      <c r="J34" s="529"/>
    </row>
    <row r="35" spans="1:11" x14ac:dyDescent="0.25">
      <c r="A35" s="584">
        <v>32</v>
      </c>
      <c r="C35" s="466" t="s">
        <v>2424</v>
      </c>
      <c r="E35" s="590" t="s">
        <v>2419</v>
      </c>
      <c r="F35" s="590"/>
      <c r="G35" s="977">
        <v>0</v>
      </c>
      <c r="H35" s="725"/>
      <c r="I35" s="977">
        <v>0</v>
      </c>
      <c r="J35" s="720"/>
    </row>
    <row r="36" spans="1:11" x14ac:dyDescent="0.25">
      <c r="A36" s="584">
        <v>33</v>
      </c>
      <c r="C36" s="466" t="s">
        <v>2425</v>
      </c>
      <c r="E36" s="726" t="s">
        <v>2426</v>
      </c>
      <c r="G36" s="727">
        <v>0.5</v>
      </c>
      <c r="H36" s="529"/>
      <c r="I36" s="727">
        <v>0.5</v>
      </c>
      <c r="J36" s="529"/>
    </row>
    <row r="37" spans="1:11" x14ac:dyDescent="0.25">
      <c r="A37" s="584">
        <v>34</v>
      </c>
      <c r="C37" s="466" t="s">
        <v>2427</v>
      </c>
      <c r="E37" s="482" t="s">
        <v>2787</v>
      </c>
      <c r="G37" s="986">
        <v>0</v>
      </c>
      <c r="H37" s="728"/>
      <c r="I37" s="986">
        <v>0</v>
      </c>
      <c r="J37" s="529"/>
    </row>
    <row r="38" spans="1:11" x14ac:dyDescent="0.25">
      <c r="A38" s="584">
        <v>35</v>
      </c>
      <c r="C38" t="s">
        <v>219</v>
      </c>
      <c r="E38" s="721" t="s">
        <v>2420</v>
      </c>
      <c r="F38" s="721"/>
      <c r="G38" s="976" t="s">
        <v>2690</v>
      </c>
      <c r="H38" s="722"/>
      <c r="I38" s="976" t="s">
        <v>2690</v>
      </c>
      <c r="J38" s="722"/>
    </row>
    <row r="39" spans="1:11" ht="13.8" thickBot="1" x14ac:dyDescent="0.3">
      <c r="A39" s="584">
        <v>36</v>
      </c>
      <c r="C39" t="s">
        <v>2421</v>
      </c>
      <c r="E39" s="482" t="s">
        <v>2788</v>
      </c>
      <c r="F39" s="50"/>
      <c r="G39" s="1005">
        <v>0</v>
      </c>
      <c r="H39" s="723"/>
      <c r="I39" s="1005">
        <v>0</v>
      </c>
      <c r="J39" s="723"/>
      <c r="K39" s="1005">
        <v>0</v>
      </c>
    </row>
    <row r="40" spans="1:11" ht="13.8" thickTop="1" x14ac:dyDescent="0.25">
      <c r="H40" s="529"/>
      <c r="J40" s="529"/>
    </row>
    <row r="41" spans="1:11" x14ac:dyDescent="0.25">
      <c r="H41" s="58"/>
      <c r="J41" s="58"/>
    </row>
    <row r="42" spans="1:11" x14ac:dyDescent="0.25">
      <c r="H42" s="58"/>
      <c r="J42" s="58"/>
    </row>
    <row r="43" spans="1:11" x14ac:dyDescent="0.25">
      <c r="H43" s="58"/>
      <c r="J43" s="58"/>
    </row>
    <row r="44" spans="1:11" x14ac:dyDescent="0.25">
      <c r="H44" s="58"/>
      <c r="J44" s="58"/>
    </row>
    <row r="45" spans="1:11" x14ac:dyDescent="0.25">
      <c r="H45" s="58"/>
      <c r="J45" s="58"/>
    </row>
    <row r="46" spans="1:11" x14ac:dyDescent="0.25">
      <c r="H46" s="58"/>
      <c r="J46" s="58"/>
    </row>
    <row r="47" spans="1:11" x14ac:dyDescent="0.25">
      <c r="H47" s="58"/>
      <c r="J47" s="58"/>
    </row>
    <row r="48" spans="1:11" x14ac:dyDescent="0.25">
      <c r="H48" s="58"/>
      <c r="J48" s="58"/>
    </row>
    <row r="49" spans="8:10" x14ac:dyDescent="0.25">
      <c r="H49" s="58"/>
      <c r="J49" s="58"/>
    </row>
    <row r="50" spans="8:10" x14ac:dyDescent="0.25">
      <c r="H50" s="58"/>
      <c r="J50" s="58"/>
    </row>
    <row r="51" spans="8:10" x14ac:dyDescent="0.25">
      <c r="H51" s="58"/>
      <c r="J51" s="58"/>
    </row>
    <row r="52" spans="8:10" x14ac:dyDescent="0.25">
      <c r="H52" s="58"/>
      <c r="J52" s="58"/>
    </row>
    <row r="53" spans="8:10" x14ac:dyDescent="0.25">
      <c r="H53" s="58"/>
      <c r="J53" s="58"/>
    </row>
    <row r="54" spans="8:10" x14ac:dyDescent="0.25">
      <c r="H54" s="58"/>
      <c r="J54" s="58"/>
    </row>
    <row r="55" spans="8:10" x14ac:dyDescent="0.25">
      <c r="H55" s="58"/>
    </row>
    <row r="56" spans="8:10" x14ac:dyDescent="0.25">
      <c r="H56" s="58"/>
    </row>
  </sheetData>
  <pageMargins left="0.7" right="0.7" top="0.75" bottom="0.75" header="0.3" footer="0.3"/>
  <pageSetup scale="85" orientation="landscape" cellComments="asDisplayed" r:id="rId1"/>
  <headerFooter>
    <oddHeader xml:space="preserve">&amp;C&amp;"Arial,Bold"Schedule 34
Unfunded Reserves&amp;"Arial,Regular"
</oddHeader>
    <oddFooter>&amp;R34-UnfundedReserves</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zoomScaleNormal="100" workbookViewId="0"/>
  </sheetViews>
  <sheetFormatPr defaultRowHeight="13.2" x14ac:dyDescent="0.25"/>
  <cols>
    <col min="1" max="1" width="4.6640625" customWidth="1"/>
    <col min="2" max="5" width="8.6640625" customWidth="1"/>
    <col min="7" max="11" width="12.6640625" customWidth="1"/>
  </cols>
  <sheetData>
    <row r="1" spans="1:14" x14ac:dyDescent="0.25">
      <c r="A1" s="920" t="s">
        <v>2401</v>
      </c>
      <c r="B1" s="468"/>
      <c r="C1" s="468"/>
      <c r="D1" s="468"/>
      <c r="E1" s="468"/>
      <c r="F1" s="468"/>
      <c r="G1" s="468"/>
      <c r="H1" s="466"/>
      <c r="I1" s="466"/>
      <c r="J1" s="466"/>
      <c r="K1" s="466"/>
      <c r="L1" s="466"/>
    </row>
    <row r="2" spans="1:14" x14ac:dyDescent="0.25">
      <c r="A2" s="382"/>
      <c r="B2" s="466"/>
      <c r="C2" s="466"/>
      <c r="D2" s="466"/>
      <c r="E2" s="466"/>
      <c r="F2" s="466"/>
      <c r="G2" s="466"/>
      <c r="H2" s="466"/>
      <c r="I2" s="466"/>
      <c r="J2" s="466"/>
      <c r="K2" s="466"/>
      <c r="L2" s="466"/>
    </row>
    <row r="3" spans="1:14" x14ac:dyDescent="0.25">
      <c r="A3" s="468" t="s">
        <v>2762</v>
      </c>
      <c r="B3" s="466"/>
      <c r="C3" s="466"/>
      <c r="D3" s="466"/>
      <c r="E3" s="466"/>
      <c r="F3" s="466"/>
      <c r="G3" s="466"/>
      <c r="H3" s="466"/>
      <c r="I3" s="466"/>
      <c r="J3" s="466"/>
      <c r="K3" s="466"/>
      <c r="L3" s="466"/>
    </row>
    <row r="4" spans="1:14" x14ac:dyDescent="0.25">
      <c r="A4" s="468" t="s">
        <v>2731</v>
      </c>
      <c r="B4" s="466"/>
      <c r="C4" s="466"/>
      <c r="D4" s="466"/>
      <c r="E4" s="466"/>
      <c r="F4" s="466"/>
      <c r="G4" s="466"/>
      <c r="H4" s="466"/>
      <c r="I4" s="466"/>
      <c r="J4" s="466"/>
      <c r="K4" s="466"/>
      <c r="L4" s="466"/>
    </row>
    <row r="5" spans="1:14" x14ac:dyDescent="0.25">
      <c r="A5" s="933"/>
      <c r="B5" s="466"/>
      <c r="C5" s="466"/>
      <c r="D5" s="466"/>
      <c r="E5" s="466"/>
      <c r="F5" s="466"/>
      <c r="G5" s="466"/>
      <c r="H5" s="466"/>
      <c r="I5" s="466"/>
      <c r="J5" s="466"/>
      <c r="K5" s="466"/>
      <c r="L5" s="466"/>
    </row>
    <row r="6" spans="1:14" x14ac:dyDescent="0.25">
      <c r="A6" s="466"/>
      <c r="B6" s="468" t="s">
        <v>2404</v>
      </c>
      <c r="C6" s="468"/>
      <c r="D6" s="468"/>
      <c r="E6" s="468"/>
      <c r="F6" s="468"/>
      <c r="G6" s="466"/>
      <c r="H6" s="466"/>
      <c r="I6" s="466"/>
      <c r="J6" s="466"/>
      <c r="K6" s="466"/>
      <c r="L6" s="466"/>
      <c r="M6" s="13"/>
    </row>
    <row r="7" spans="1:14" x14ac:dyDescent="0.25">
      <c r="A7" s="466"/>
      <c r="B7" s="466" t="s">
        <v>2763</v>
      </c>
      <c r="C7" s="466"/>
      <c r="D7" s="466"/>
      <c r="E7" s="466"/>
      <c r="F7" s="466"/>
      <c r="G7" s="466"/>
      <c r="H7" s="466"/>
      <c r="I7" s="466"/>
      <c r="J7" s="466"/>
      <c r="K7" s="466"/>
      <c r="L7" s="466"/>
      <c r="M7" s="13"/>
    </row>
    <row r="8" spans="1:14" x14ac:dyDescent="0.25">
      <c r="A8" s="466"/>
      <c r="B8" s="466" t="s">
        <v>2368</v>
      </c>
      <c r="C8" s="466"/>
      <c r="D8" s="466"/>
      <c r="E8" s="466"/>
      <c r="F8" s="466"/>
      <c r="G8" s="466"/>
      <c r="H8" s="466"/>
      <c r="I8" s="466"/>
      <c r="J8" s="466"/>
      <c r="K8" s="466"/>
      <c r="L8" s="466"/>
      <c r="M8" s="13"/>
    </row>
    <row r="9" spans="1:14" x14ac:dyDescent="0.25">
      <c r="A9" s="466"/>
      <c r="B9" s="466"/>
      <c r="C9" s="466"/>
      <c r="D9" s="466"/>
      <c r="E9" s="466"/>
      <c r="F9" s="466"/>
      <c r="G9" s="466"/>
      <c r="H9" s="466"/>
      <c r="I9" s="466"/>
      <c r="J9" s="466"/>
      <c r="K9" s="466"/>
      <c r="L9" s="466"/>
      <c r="M9" s="13"/>
    </row>
    <row r="10" spans="1:14" x14ac:dyDescent="0.25">
      <c r="A10" s="466"/>
      <c r="B10" s="466" t="s">
        <v>2369</v>
      </c>
      <c r="C10" s="468"/>
      <c r="D10" s="468"/>
      <c r="E10" s="468"/>
      <c r="F10" s="468"/>
      <c r="G10" s="703"/>
      <c r="H10" s="480"/>
      <c r="I10" s="468"/>
      <c r="J10" s="468"/>
      <c r="K10" s="466"/>
      <c r="L10" s="466"/>
      <c r="M10" s="13"/>
    </row>
    <row r="11" spans="1:14" x14ac:dyDescent="0.25">
      <c r="A11" s="51" t="s">
        <v>350</v>
      </c>
      <c r="B11" s="466"/>
      <c r="C11" s="466"/>
      <c r="D11" s="466"/>
      <c r="E11" s="466"/>
      <c r="F11" s="466"/>
      <c r="G11" s="343" t="s">
        <v>2370</v>
      </c>
      <c r="H11" s="343" t="s">
        <v>194</v>
      </c>
      <c r="I11" s="466"/>
      <c r="J11" s="387" t="s">
        <v>198</v>
      </c>
      <c r="K11" s="466"/>
      <c r="L11" s="466"/>
      <c r="M11" s="13"/>
    </row>
    <row r="12" spans="1:14" x14ac:dyDescent="0.25">
      <c r="A12" s="216">
        <v>1</v>
      </c>
      <c r="B12" s="550" t="s">
        <v>2764</v>
      </c>
      <c r="C12" s="466"/>
      <c r="D12" s="466"/>
      <c r="E12" s="466"/>
      <c r="F12" s="466"/>
      <c r="G12" s="537" t="s">
        <v>86</v>
      </c>
      <c r="H12" s="986">
        <v>0</v>
      </c>
      <c r="I12" s="466"/>
      <c r="J12" s="466" t="s">
        <v>395</v>
      </c>
      <c r="K12" s="466"/>
      <c r="L12" s="466"/>
      <c r="M12" s="13"/>
    </row>
    <row r="13" spans="1:14" x14ac:dyDescent="0.25">
      <c r="A13" s="216">
        <v>2</v>
      </c>
      <c r="B13" s="466" t="s">
        <v>2765</v>
      </c>
      <c r="C13" s="466"/>
      <c r="D13" s="466"/>
      <c r="E13" s="466"/>
      <c r="F13" s="466"/>
      <c r="G13" s="537" t="s">
        <v>86</v>
      </c>
      <c r="H13" s="986">
        <v>0</v>
      </c>
      <c r="I13" s="466"/>
      <c r="J13" s="466" t="s">
        <v>396</v>
      </c>
      <c r="K13" s="466"/>
      <c r="L13" s="466"/>
      <c r="M13" s="13"/>
    </row>
    <row r="14" spans="1:14" x14ac:dyDescent="0.25">
      <c r="A14" s="216">
        <v>3</v>
      </c>
      <c r="B14" s="550" t="s">
        <v>2371</v>
      </c>
      <c r="C14" s="466"/>
      <c r="D14" s="466"/>
      <c r="E14" s="466"/>
      <c r="F14" s="466"/>
      <c r="G14" s="466"/>
      <c r="H14" s="986">
        <v>0</v>
      </c>
      <c r="I14" s="466"/>
      <c r="J14" s="466" t="s">
        <v>2452</v>
      </c>
      <c r="K14" s="466"/>
      <c r="L14" s="466"/>
      <c r="M14" s="13"/>
    </row>
    <row r="15" spans="1:14" x14ac:dyDescent="0.25">
      <c r="A15" s="216">
        <v>4</v>
      </c>
      <c r="B15" s="550" t="s">
        <v>2372</v>
      </c>
      <c r="C15" s="466"/>
      <c r="D15" s="466"/>
      <c r="E15" s="466"/>
      <c r="F15" s="466"/>
      <c r="G15" s="466"/>
      <c r="H15" s="986">
        <v>0</v>
      </c>
      <c r="I15" s="466"/>
      <c r="J15" s="466" t="s">
        <v>2405</v>
      </c>
      <c r="K15" s="466"/>
      <c r="L15" s="466"/>
      <c r="M15" s="13"/>
    </row>
    <row r="16" spans="1:14" x14ac:dyDescent="0.25">
      <c r="A16" s="216"/>
      <c r="B16" s="470"/>
      <c r="C16" s="466"/>
      <c r="D16" s="466"/>
      <c r="E16" s="466" t="s">
        <v>359</v>
      </c>
      <c r="F16" s="466"/>
      <c r="G16" s="466"/>
      <c r="H16" s="473"/>
      <c r="I16" s="466"/>
      <c r="J16" s="466"/>
      <c r="K16" s="466"/>
      <c r="L16" s="466"/>
      <c r="M16" s="13"/>
      <c r="N16" s="13"/>
    </row>
    <row r="17" spans="1:14" x14ac:dyDescent="0.25">
      <c r="A17" s="216"/>
      <c r="B17" s="550" t="s">
        <v>2402</v>
      </c>
      <c r="C17" s="466"/>
      <c r="D17" s="466"/>
      <c r="E17" s="466"/>
      <c r="F17" s="466"/>
      <c r="G17" s="466"/>
      <c r="H17" s="473"/>
      <c r="I17" s="466"/>
      <c r="J17" s="387" t="s">
        <v>171</v>
      </c>
      <c r="K17" s="466"/>
      <c r="L17" s="466"/>
      <c r="M17" s="13"/>
      <c r="N17" s="13"/>
    </row>
    <row r="18" spans="1:14" x14ac:dyDescent="0.25">
      <c r="A18" s="216"/>
      <c r="B18" s="550" t="s">
        <v>2373</v>
      </c>
      <c r="C18" s="466"/>
      <c r="D18" s="475" t="s">
        <v>2700</v>
      </c>
      <c r="E18" s="466"/>
      <c r="F18" s="466"/>
      <c r="G18" s="466"/>
      <c r="H18" s="473"/>
      <c r="I18" s="466"/>
      <c r="J18" s="466" t="s">
        <v>2403</v>
      </c>
      <c r="K18" s="466"/>
      <c r="L18" s="466"/>
      <c r="M18" s="13"/>
      <c r="N18" s="13"/>
    </row>
    <row r="19" spans="1:14" x14ac:dyDescent="0.25">
      <c r="A19" s="216"/>
      <c r="B19" s="550"/>
      <c r="C19" s="466"/>
      <c r="D19" s="466"/>
      <c r="E19" s="466"/>
      <c r="F19" s="466"/>
      <c r="G19" s="466"/>
      <c r="H19" s="473"/>
      <c r="I19" s="466"/>
      <c r="J19" s="466"/>
      <c r="K19" s="466"/>
      <c r="L19" s="466"/>
      <c r="M19" s="13"/>
      <c r="N19" s="13"/>
    </row>
    <row r="20" spans="1:14" x14ac:dyDescent="0.25">
      <c r="A20" s="216"/>
      <c r="B20" s="550" t="s">
        <v>2374</v>
      </c>
      <c r="C20" s="466"/>
      <c r="D20" s="466"/>
      <c r="E20" s="466"/>
      <c r="F20" s="466"/>
      <c r="G20" s="445" t="s">
        <v>2375</v>
      </c>
      <c r="H20" s="445" t="s">
        <v>2376</v>
      </c>
      <c r="I20" s="445" t="s">
        <v>2377</v>
      </c>
      <c r="J20" s="466"/>
      <c r="K20" s="466"/>
      <c r="L20" s="466"/>
      <c r="M20" s="13"/>
      <c r="N20" s="13"/>
    </row>
    <row r="21" spans="1:14" x14ac:dyDescent="0.25">
      <c r="A21" s="216"/>
      <c r="B21" s="550" t="s">
        <v>2378</v>
      </c>
      <c r="C21" s="466"/>
      <c r="D21" s="466"/>
      <c r="E21" s="466"/>
      <c r="F21" s="466"/>
      <c r="G21" s="467" t="s">
        <v>2448</v>
      </c>
      <c r="H21" s="224" t="s">
        <v>2379</v>
      </c>
      <c r="I21" s="466"/>
      <c r="J21" s="466"/>
      <c r="K21" s="466"/>
      <c r="L21" s="466"/>
      <c r="M21" s="13"/>
      <c r="N21" s="13"/>
    </row>
    <row r="22" spans="1:14" x14ac:dyDescent="0.25">
      <c r="A22" s="216"/>
      <c r="B22" s="466"/>
      <c r="C22" s="466"/>
      <c r="D22" s="466"/>
      <c r="E22" s="466"/>
      <c r="F22" s="466"/>
      <c r="G22" s="466"/>
      <c r="H22" s="577" t="s">
        <v>223</v>
      </c>
      <c r="I22" s="466"/>
      <c r="J22" s="466"/>
      <c r="K22" s="466"/>
      <c r="L22" s="466"/>
      <c r="M22" s="13"/>
      <c r="N22" s="13"/>
    </row>
    <row r="23" spans="1:14" x14ac:dyDescent="0.25">
      <c r="A23" s="216"/>
      <c r="B23" s="466"/>
      <c r="C23" s="466"/>
      <c r="D23" s="466"/>
      <c r="E23" s="466"/>
      <c r="F23" s="466"/>
      <c r="G23" s="216" t="s">
        <v>217</v>
      </c>
      <c r="H23" s="1027" t="s">
        <v>533</v>
      </c>
      <c r="I23" s="216" t="s">
        <v>2380</v>
      </c>
      <c r="J23" s="466"/>
      <c r="K23" s="466"/>
      <c r="L23" s="466"/>
      <c r="M23" s="13"/>
      <c r="N23" s="13"/>
    </row>
    <row r="24" spans="1:14" x14ac:dyDescent="0.25">
      <c r="A24" s="216"/>
      <c r="B24" s="466"/>
      <c r="C24" s="466"/>
      <c r="D24" s="466"/>
      <c r="E24" s="466"/>
      <c r="F24" s="466"/>
      <c r="G24" s="216" t="s">
        <v>2381</v>
      </c>
      <c r="H24" s="224" t="s">
        <v>2382</v>
      </c>
      <c r="I24" s="216" t="s">
        <v>2381</v>
      </c>
      <c r="J24" s="466"/>
      <c r="K24" s="466"/>
      <c r="L24" s="466"/>
      <c r="M24" s="13"/>
      <c r="N24" s="13"/>
    </row>
    <row r="25" spans="1:14" x14ac:dyDescent="0.25">
      <c r="A25" s="51" t="s">
        <v>350</v>
      </c>
      <c r="B25" s="466"/>
      <c r="C25" s="466"/>
      <c r="D25" s="466"/>
      <c r="E25" s="343" t="s">
        <v>212</v>
      </c>
      <c r="F25" s="466"/>
      <c r="G25" s="343" t="s">
        <v>2383</v>
      </c>
      <c r="H25" s="226" t="s">
        <v>317</v>
      </c>
      <c r="I25" s="343" t="s">
        <v>354</v>
      </c>
      <c r="J25" s="518" t="s">
        <v>2449</v>
      </c>
      <c r="K25" s="468"/>
      <c r="L25" s="468"/>
      <c r="M25" s="13"/>
      <c r="N25" s="13"/>
    </row>
    <row r="26" spans="1:14" x14ac:dyDescent="0.25">
      <c r="A26" s="216">
        <v>5</v>
      </c>
      <c r="B26" s="466"/>
      <c r="C26" s="466"/>
      <c r="D26" s="466"/>
      <c r="E26" s="537" t="s">
        <v>86</v>
      </c>
      <c r="F26" s="466"/>
      <c r="G26" s="986">
        <v>0</v>
      </c>
      <c r="H26" s="986">
        <v>0</v>
      </c>
      <c r="I26" s="986">
        <v>0</v>
      </c>
      <c r="J26" s="896" t="s">
        <v>2450</v>
      </c>
      <c r="K26" s="468"/>
      <c r="L26" s="468"/>
      <c r="M26" s="13"/>
      <c r="N26" s="13"/>
    </row>
    <row r="27" spans="1:14" x14ac:dyDescent="0.25">
      <c r="A27" s="216">
        <v>6</v>
      </c>
      <c r="B27" s="466"/>
      <c r="C27" s="466"/>
      <c r="D27" s="466"/>
      <c r="E27" s="537" t="s">
        <v>86</v>
      </c>
      <c r="F27" s="466"/>
      <c r="G27" s="986">
        <v>0</v>
      </c>
      <c r="H27" s="986">
        <v>0</v>
      </c>
      <c r="I27" s="986">
        <v>0</v>
      </c>
      <c r="J27" s="896" t="s">
        <v>2450</v>
      </c>
      <c r="K27" s="468"/>
      <c r="L27" s="468"/>
      <c r="M27" s="13"/>
      <c r="N27" s="13"/>
    </row>
    <row r="28" spans="1:14" x14ac:dyDescent="0.25">
      <c r="A28" s="216">
        <v>7</v>
      </c>
      <c r="B28" s="470"/>
      <c r="C28" s="466"/>
      <c r="D28" s="466"/>
      <c r="E28" s="537" t="s">
        <v>86</v>
      </c>
      <c r="F28" s="466"/>
      <c r="G28" s="986">
        <v>0</v>
      </c>
      <c r="H28" s="475" t="s">
        <v>86</v>
      </c>
      <c r="I28" s="986">
        <v>0</v>
      </c>
      <c r="J28" s="465" t="s">
        <v>2451</v>
      </c>
      <c r="K28" s="468"/>
      <c r="L28" s="468"/>
    </row>
    <row r="29" spans="1:14" x14ac:dyDescent="0.25">
      <c r="A29" s="216">
        <v>8</v>
      </c>
      <c r="B29" s="213"/>
      <c r="C29" s="466"/>
      <c r="D29" s="466"/>
      <c r="E29" s="537" t="s">
        <v>86</v>
      </c>
      <c r="F29" s="466"/>
      <c r="G29" s="986">
        <v>0</v>
      </c>
      <c r="H29" s="475" t="s">
        <v>86</v>
      </c>
      <c r="I29" s="986">
        <v>0</v>
      </c>
      <c r="J29" s="465" t="s">
        <v>2451</v>
      </c>
      <c r="K29" s="468"/>
      <c r="L29" s="468"/>
    </row>
    <row r="30" spans="1:14" x14ac:dyDescent="0.25">
      <c r="A30" s="216">
        <v>9</v>
      </c>
      <c r="B30" s="466"/>
      <c r="C30" s="466"/>
      <c r="D30" s="466"/>
      <c r="E30" s="537" t="s">
        <v>86</v>
      </c>
      <c r="F30" s="466"/>
      <c r="G30" s="986">
        <v>0</v>
      </c>
      <c r="H30" s="475" t="s">
        <v>86</v>
      </c>
      <c r="I30" s="986">
        <v>0</v>
      </c>
      <c r="J30" s="465" t="s">
        <v>2451</v>
      </c>
      <c r="K30" s="468"/>
      <c r="L30" s="468"/>
    </row>
    <row r="31" spans="1:14" x14ac:dyDescent="0.25">
      <c r="A31" s="216"/>
      <c r="B31" s="466"/>
      <c r="C31" s="466"/>
      <c r="D31" s="466"/>
      <c r="E31" s="466"/>
      <c r="F31" s="466"/>
      <c r="G31" s="986"/>
      <c r="H31" s="475"/>
      <c r="I31" s="986"/>
      <c r="J31" s="465"/>
      <c r="K31" s="468"/>
      <c r="L31" s="468"/>
    </row>
    <row r="32" spans="1:14" x14ac:dyDescent="0.25">
      <c r="A32" s="103"/>
      <c r="B32" s="468" t="s">
        <v>2732</v>
      </c>
      <c r="C32" s="468"/>
      <c r="D32" s="468"/>
      <c r="E32" s="468"/>
      <c r="F32" s="468"/>
      <c r="G32" s="480"/>
      <c r="H32" s="538"/>
      <c r="I32" s="480"/>
      <c r="J32" s="465"/>
      <c r="K32" s="468"/>
      <c r="L32" s="468"/>
    </row>
    <row r="33" spans="1:12" ht="14.4" x14ac:dyDescent="0.3">
      <c r="A33" s="374" t="s">
        <v>350</v>
      </c>
      <c r="B33" s="468"/>
      <c r="C33" s="468"/>
      <c r="D33" s="468"/>
      <c r="E33" s="468"/>
      <c r="F33" s="468"/>
      <c r="G33" s="336" t="s">
        <v>194</v>
      </c>
      <c r="H33" s="538"/>
      <c r="I33" s="43" t="s">
        <v>198</v>
      </c>
      <c r="J33" s="941"/>
      <c r="K33" s="468"/>
      <c r="L33" s="468"/>
    </row>
    <row r="34" spans="1:12" ht="14.4" x14ac:dyDescent="0.3">
      <c r="A34" s="103">
        <v>10</v>
      </c>
      <c r="B34" s="468"/>
      <c r="C34" s="468"/>
      <c r="D34" s="468"/>
      <c r="E34" s="941"/>
      <c r="F34" s="893" t="s">
        <v>2733</v>
      </c>
      <c r="G34" s="1028">
        <v>0</v>
      </c>
      <c r="H34" s="538"/>
      <c r="I34" s="465" t="s">
        <v>2734</v>
      </c>
      <c r="J34" s="941"/>
      <c r="K34" s="468"/>
      <c r="L34" s="468"/>
    </row>
    <row r="35" spans="1:12" ht="14.4" x14ac:dyDescent="0.3">
      <c r="A35" s="103">
        <v>11</v>
      </c>
      <c r="B35" s="468"/>
      <c r="C35" s="468"/>
      <c r="D35" s="468"/>
      <c r="E35" s="468"/>
      <c r="F35" s="893" t="s">
        <v>2384</v>
      </c>
      <c r="G35" s="1029">
        <v>0</v>
      </c>
      <c r="H35" s="538"/>
      <c r="I35" s="465" t="s">
        <v>2777</v>
      </c>
      <c r="J35" s="941"/>
      <c r="K35" s="468"/>
      <c r="L35" s="468"/>
    </row>
    <row r="36" spans="1:12" ht="14.4" x14ac:dyDescent="0.3">
      <c r="A36" s="103">
        <v>12</v>
      </c>
      <c r="B36" s="468"/>
      <c r="C36" s="468"/>
      <c r="D36" s="468"/>
      <c r="E36" s="468"/>
      <c r="F36" s="893" t="s">
        <v>2735</v>
      </c>
      <c r="G36" s="1029">
        <v>0</v>
      </c>
      <c r="H36" s="538"/>
      <c r="I36" s="465" t="str">
        <f>"Line "&amp;A34&amp;" - Line "&amp;A35&amp;""</f>
        <v>Line 10 - Line 11</v>
      </c>
      <c r="J36" s="941"/>
      <c r="K36" s="468"/>
      <c r="L36" s="468"/>
    </row>
    <row r="37" spans="1:12" ht="14.4" x14ac:dyDescent="0.3">
      <c r="A37" s="103">
        <v>13</v>
      </c>
      <c r="B37" s="468"/>
      <c r="C37" s="468"/>
      <c r="D37" s="468"/>
      <c r="E37" s="468"/>
      <c r="F37" s="893" t="s">
        <v>2736</v>
      </c>
      <c r="G37" s="970" t="s">
        <v>2690</v>
      </c>
      <c r="H37" s="941"/>
      <c r="I37" s="465" t="str">
        <f>"27-Allocators, Line 9"</f>
        <v>27-Allocators, Line 9</v>
      </c>
      <c r="J37" s="941"/>
      <c r="K37" s="468"/>
      <c r="L37" s="468"/>
    </row>
    <row r="38" spans="1:12" ht="14.4" x14ac:dyDescent="0.3">
      <c r="A38" s="103">
        <v>14</v>
      </c>
      <c r="B38" s="468"/>
      <c r="C38" s="468"/>
      <c r="D38" s="468"/>
      <c r="E38" s="468"/>
      <c r="F38" s="893" t="s">
        <v>2737</v>
      </c>
      <c r="G38" s="1029">
        <v>0</v>
      </c>
      <c r="H38" s="538"/>
      <c r="I38" s="465" t="str">
        <f>"Line "&amp;A36&amp;" * Line "&amp;A37&amp;""</f>
        <v>Line 12 * Line 13</v>
      </c>
      <c r="J38" s="465"/>
      <c r="K38" s="468"/>
      <c r="L38" s="468"/>
    </row>
    <row r="39" spans="1:12" x14ac:dyDescent="0.25">
      <c r="A39" s="466"/>
      <c r="B39" s="466"/>
      <c r="C39" s="466"/>
      <c r="D39" s="466"/>
      <c r="E39" s="466"/>
      <c r="F39" s="466"/>
      <c r="G39" s="466"/>
      <c r="H39" s="466"/>
      <c r="I39" s="466"/>
      <c r="J39" s="466"/>
      <c r="K39" s="466"/>
      <c r="L39" s="466"/>
    </row>
    <row r="40" spans="1:12" x14ac:dyDescent="0.25">
      <c r="A40" s="451" t="s">
        <v>256</v>
      </c>
      <c r="B40" s="466"/>
      <c r="C40" s="466"/>
      <c r="D40" s="466"/>
      <c r="E40" s="466"/>
      <c r="F40" s="466"/>
      <c r="G40" s="466"/>
      <c r="H40" s="466"/>
      <c r="I40" s="466"/>
      <c r="J40" s="466"/>
      <c r="K40" s="466"/>
      <c r="L40" s="466"/>
    </row>
    <row r="41" spans="1:12" x14ac:dyDescent="0.25">
      <c r="A41" s="466" t="s">
        <v>2766</v>
      </c>
      <c r="B41" s="466"/>
      <c r="C41" s="466"/>
      <c r="D41" s="466"/>
      <c r="E41" s="466"/>
      <c r="F41" s="466"/>
      <c r="G41" s="466"/>
      <c r="H41" s="466"/>
      <c r="I41" s="466"/>
      <c r="J41" s="466"/>
      <c r="K41" s="466"/>
      <c r="L41" s="466"/>
    </row>
    <row r="42" spans="1:12" x14ac:dyDescent="0.25">
      <c r="A42" s="470" t="s">
        <v>2767</v>
      </c>
      <c r="B42" s="466"/>
      <c r="C42" s="466"/>
      <c r="D42" s="466"/>
      <c r="E42" s="466"/>
      <c r="F42" s="466"/>
      <c r="G42" s="466"/>
      <c r="H42" s="466"/>
      <c r="I42" s="466"/>
      <c r="J42" s="466"/>
      <c r="K42" s="466"/>
      <c r="L42" s="466"/>
    </row>
    <row r="43" spans="1:12" x14ac:dyDescent="0.25">
      <c r="A43" s="470" t="s">
        <v>2768</v>
      </c>
      <c r="B43" s="466"/>
      <c r="C43" s="466"/>
      <c r="D43" s="466"/>
      <c r="E43" s="466"/>
      <c r="F43" s="466"/>
      <c r="G43" s="466"/>
      <c r="H43" s="466"/>
      <c r="I43" s="466"/>
      <c r="J43" s="466"/>
      <c r="K43" s="466"/>
      <c r="L43" s="466"/>
    </row>
    <row r="44" spans="1:12" x14ac:dyDescent="0.25">
      <c r="A44" s="470"/>
      <c r="B44" s="466"/>
      <c r="C44" s="466"/>
      <c r="D44" s="466"/>
      <c r="E44" s="466"/>
      <c r="F44" s="466"/>
      <c r="G44" s="466"/>
      <c r="H44" s="466"/>
      <c r="I44" s="466"/>
      <c r="J44" s="466"/>
      <c r="K44" s="466"/>
      <c r="L44" s="466"/>
    </row>
    <row r="45" spans="1:12" x14ac:dyDescent="0.25">
      <c r="A45" s="470"/>
      <c r="B45" s="466"/>
      <c r="C45" s="466"/>
      <c r="D45" s="466"/>
      <c r="E45" s="466"/>
      <c r="F45" s="466"/>
      <c r="G45" s="466"/>
      <c r="H45" s="466"/>
      <c r="I45" s="577" t="s">
        <v>2738</v>
      </c>
      <c r="J45" s="466"/>
      <c r="K45" s="466"/>
      <c r="L45" s="466"/>
    </row>
    <row r="46" spans="1:12" x14ac:dyDescent="0.25">
      <c r="A46" s="216"/>
      <c r="B46" s="466"/>
      <c r="C46" s="466"/>
      <c r="D46" s="466"/>
      <c r="E46" s="466"/>
      <c r="F46" s="466"/>
      <c r="G46" s="3" t="s">
        <v>212</v>
      </c>
      <c r="H46" s="343" t="s">
        <v>194</v>
      </c>
      <c r="I46" s="343" t="s">
        <v>224</v>
      </c>
      <c r="J46" s="466"/>
      <c r="K46" s="466"/>
      <c r="L46" s="466"/>
    </row>
    <row r="47" spans="1:12" x14ac:dyDescent="0.25">
      <c r="A47" s="216"/>
      <c r="B47" s="466" t="s">
        <v>2769</v>
      </c>
      <c r="C47" s="466"/>
      <c r="D47" s="466"/>
      <c r="E47" s="466"/>
      <c r="F47" s="466"/>
      <c r="G47" s="537"/>
      <c r="H47" s="1006">
        <v>0</v>
      </c>
      <c r="I47" s="1022"/>
      <c r="J47" s="476"/>
      <c r="K47" s="476"/>
      <c r="L47" s="466"/>
    </row>
    <row r="48" spans="1:12" x14ac:dyDescent="0.25">
      <c r="A48" s="470"/>
      <c r="B48" s="482" t="s">
        <v>2739</v>
      </c>
      <c r="C48" s="466"/>
      <c r="D48" s="466"/>
      <c r="E48" s="466"/>
      <c r="F48" s="466"/>
      <c r="G48" s="476"/>
      <c r="H48" s="1006">
        <v>0</v>
      </c>
      <c r="I48" s="476"/>
      <c r="J48" s="476"/>
      <c r="K48" s="476"/>
      <c r="L48" s="466"/>
    </row>
    <row r="49" spans="1:12" x14ac:dyDescent="0.25">
      <c r="A49" s="470"/>
      <c r="B49" s="1023"/>
      <c r="C49" s="466"/>
      <c r="D49" s="466"/>
      <c r="E49" s="466"/>
      <c r="F49" s="466"/>
      <c r="G49" s="537" t="s">
        <v>563</v>
      </c>
      <c r="H49" s="1024"/>
      <c r="I49" s="1025"/>
      <c r="J49" s="476"/>
      <c r="K49" s="476"/>
      <c r="L49" s="466"/>
    </row>
    <row r="50" spans="1:12" x14ac:dyDescent="0.25">
      <c r="A50" s="470"/>
      <c r="B50" s="1023"/>
      <c r="C50" s="466"/>
      <c r="D50" s="466"/>
      <c r="E50" s="466"/>
      <c r="F50" s="466"/>
      <c r="G50" s="466"/>
      <c r="H50" s="466"/>
      <c r="I50" s="466"/>
      <c r="J50" s="466"/>
      <c r="K50" s="466"/>
      <c r="L50" s="466"/>
    </row>
    <row r="51" spans="1:12" x14ac:dyDescent="0.25">
      <c r="A51" s="470"/>
      <c r="B51" s="1023"/>
      <c r="C51" s="466"/>
      <c r="D51" s="466"/>
      <c r="E51" s="466"/>
      <c r="F51" s="466"/>
      <c r="G51" s="466"/>
      <c r="H51" s="466"/>
      <c r="I51" s="466"/>
      <c r="J51" s="466"/>
      <c r="K51" s="466"/>
      <c r="L51" s="466"/>
    </row>
    <row r="52" spans="1:12" x14ac:dyDescent="0.25">
      <c r="A52" s="470" t="s">
        <v>2770</v>
      </c>
      <c r="B52" s="1023"/>
      <c r="C52" s="466"/>
      <c r="D52" s="466"/>
      <c r="E52" s="466"/>
      <c r="F52" s="466"/>
      <c r="G52" s="466"/>
      <c r="H52" s="466"/>
      <c r="J52" s="466"/>
      <c r="K52" s="466"/>
      <c r="L52" s="466"/>
    </row>
    <row r="53" spans="1:12" x14ac:dyDescent="0.25">
      <c r="A53" s="470"/>
      <c r="B53" s="1023"/>
      <c r="C53" s="466"/>
      <c r="D53" s="466"/>
      <c r="E53" s="466"/>
      <c r="F53" s="466"/>
      <c r="G53" s="466"/>
      <c r="H53" s="466"/>
      <c r="I53" s="1026"/>
      <c r="J53" s="466"/>
      <c r="K53" s="466"/>
      <c r="L53" s="466"/>
    </row>
    <row r="54" spans="1:12" x14ac:dyDescent="0.25">
      <c r="A54" s="470"/>
      <c r="B54" s="1023"/>
      <c r="C54" s="466"/>
      <c r="D54" s="466"/>
      <c r="E54" s="466"/>
      <c r="F54" s="466"/>
      <c r="G54" s="4" t="s">
        <v>2375</v>
      </c>
      <c r="H54" s="4" t="s">
        <v>2376</v>
      </c>
      <c r="I54" s="4" t="s">
        <v>2377</v>
      </c>
      <c r="J54" s="4" t="s">
        <v>2740</v>
      </c>
      <c r="K54" s="4" t="s">
        <v>2741</v>
      </c>
      <c r="L54" s="466"/>
    </row>
    <row r="55" spans="1:12" x14ac:dyDescent="0.25">
      <c r="A55" s="470"/>
      <c r="B55" s="1023"/>
      <c r="C55" s="466"/>
      <c r="D55" s="466"/>
      <c r="E55" s="466"/>
      <c r="F55" s="466"/>
      <c r="G55" s="466"/>
      <c r="H55" s="466"/>
      <c r="I55" s="1030"/>
      <c r="J55" s="466"/>
      <c r="K55" s="466"/>
      <c r="L55" s="466"/>
    </row>
    <row r="56" spans="1:12" x14ac:dyDescent="0.25">
      <c r="A56" s="470"/>
      <c r="B56" s="1023"/>
      <c r="C56" s="466"/>
      <c r="D56" s="466"/>
      <c r="E56" s="466"/>
      <c r="F56" s="466"/>
      <c r="G56" s="466"/>
      <c r="H56" s="466"/>
      <c r="I56" s="4" t="s">
        <v>1048</v>
      </c>
      <c r="J56" s="475" t="s">
        <v>2742</v>
      </c>
      <c r="K56" s="475" t="s">
        <v>2743</v>
      </c>
      <c r="L56" s="466"/>
    </row>
    <row r="57" spans="1:12" ht="14.4" x14ac:dyDescent="0.3">
      <c r="A57" s="470"/>
      <c r="B57" s="1023"/>
      <c r="C57" s="466"/>
      <c r="D57" s="466"/>
      <c r="E57" s="466"/>
      <c r="F57" s="466"/>
      <c r="G57" s="466"/>
      <c r="H57" s="466"/>
      <c r="I57" s="577" t="s">
        <v>2385</v>
      </c>
      <c r="J57" s="362" t="s">
        <v>2744</v>
      </c>
      <c r="K57" s="1030" t="s">
        <v>2385</v>
      </c>
      <c r="L57" s="466"/>
    </row>
    <row r="58" spans="1:12" ht="14.4" x14ac:dyDescent="0.3">
      <c r="A58" s="470"/>
      <c r="B58" s="466" t="s">
        <v>359</v>
      </c>
      <c r="C58" s="466"/>
      <c r="D58" s="466"/>
      <c r="E58" s="466"/>
      <c r="F58" s="216"/>
      <c r="G58" s="577" t="s">
        <v>2381</v>
      </c>
      <c r="H58" s="577" t="s">
        <v>2381</v>
      </c>
      <c r="I58" s="577" t="s">
        <v>2386</v>
      </c>
      <c r="J58" s="362" t="s">
        <v>533</v>
      </c>
      <c r="K58" s="577" t="s">
        <v>2386</v>
      </c>
      <c r="L58" s="466"/>
    </row>
    <row r="59" spans="1:12" x14ac:dyDescent="0.25">
      <c r="A59" s="470"/>
      <c r="B59" s="466" t="s">
        <v>2387</v>
      </c>
      <c r="C59" s="466"/>
      <c r="D59" s="466"/>
      <c r="E59" s="466"/>
      <c r="F59" s="343" t="s">
        <v>212</v>
      </c>
      <c r="G59" s="343" t="s">
        <v>2383</v>
      </c>
      <c r="H59" s="343" t="s">
        <v>2382</v>
      </c>
      <c r="I59" s="3" t="s">
        <v>2382</v>
      </c>
      <c r="J59" s="3" t="s">
        <v>2382</v>
      </c>
      <c r="K59" s="343" t="s">
        <v>2382</v>
      </c>
      <c r="L59" s="466"/>
    </row>
    <row r="60" spans="1:12" x14ac:dyDescent="0.25">
      <c r="A60" s="470"/>
      <c r="B60" s="466" t="s">
        <v>2771</v>
      </c>
      <c r="C60" s="466"/>
      <c r="D60" s="466"/>
      <c r="E60" s="466"/>
      <c r="F60" s="537" t="s">
        <v>86</v>
      </c>
      <c r="G60" s="1006">
        <v>0</v>
      </c>
      <c r="H60" s="1006">
        <v>0</v>
      </c>
      <c r="I60" s="1006">
        <v>0</v>
      </c>
      <c r="J60" s="986">
        <v>0</v>
      </c>
      <c r="K60" s="986">
        <v>0</v>
      </c>
      <c r="L60" s="470"/>
    </row>
    <row r="61" spans="1:12" x14ac:dyDescent="0.25">
      <c r="A61" s="470"/>
      <c r="B61" s="466"/>
      <c r="C61" s="466"/>
      <c r="D61" s="466"/>
      <c r="E61" s="466"/>
      <c r="F61" s="537" t="s">
        <v>86</v>
      </c>
      <c r="G61" s="1006">
        <v>0</v>
      </c>
      <c r="H61" s="1006">
        <v>0</v>
      </c>
      <c r="I61" s="1006">
        <v>0</v>
      </c>
      <c r="J61" s="986">
        <v>0</v>
      </c>
      <c r="K61" s="986">
        <v>0</v>
      </c>
      <c r="L61" s="466"/>
    </row>
    <row r="62" spans="1:12" x14ac:dyDescent="0.25">
      <c r="A62" s="470"/>
      <c r="B62" s="466"/>
      <c r="C62" s="466"/>
      <c r="D62" s="466" t="s">
        <v>359</v>
      </c>
      <c r="E62" s="466"/>
      <c r="F62" s="537" t="s">
        <v>563</v>
      </c>
      <c r="G62" s="498"/>
      <c r="H62" s="498"/>
      <c r="I62" s="94"/>
      <c r="K62" s="466"/>
      <c r="L62" s="466"/>
    </row>
    <row r="63" spans="1:12" x14ac:dyDescent="0.25">
      <c r="A63" s="470"/>
      <c r="B63" s="466"/>
      <c r="C63" s="466"/>
      <c r="D63" s="466"/>
      <c r="E63" s="466"/>
      <c r="F63" s="703"/>
      <c r="G63" s="480"/>
      <c r="J63" s="705" t="s">
        <v>2388</v>
      </c>
      <c r="K63" s="986">
        <v>0</v>
      </c>
      <c r="L63" s="470" t="s">
        <v>2389</v>
      </c>
    </row>
    <row r="64" spans="1:12" x14ac:dyDescent="0.25">
      <c r="A64" s="470"/>
      <c r="B64" s="466"/>
      <c r="C64" s="466"/>
      <c r="D64" s="466"/>
      <c r="E64" s="466"/>
      <c r="F64" s="703"/>
      <c r="G64" s="468"/>
      <c r="H64" s="466"/>
      <c r="I64" s="466"/>
      <c r="J64" s="466"/>
      <c r="K64" s="466"/>
      <c r="L64" s="466"/>
    </row>
    <row r="65" spans="1:12" x14ac:dyDescent="0.25">
      <c r="A65" s="466" t="s">
        <v>2390</v>
      </c>
      <c r="B65" s="466"/>
      <c r="C65" s="466"/>
      <c r="D65" s="466"/>
      <c r="E65" s="466"/>
      <c r="F65" s="466"/>
      <c r="G65" s="466"/>
      <c r="H65" s="466"/>
      <c r="I65" s="466"/>
      <c r="J65" s="466"/>
      <c r="K65" s="466"/>
      <c r="L65" s="466"/>
    </row>
    <row r="66" spans="1:12" x14ac:dyDescent="0.25">
      <c r="A66" s="470" t="s">
        <v>2391</v>
      </c>
      <c r="B66" s="466"/>
      <c r="C66" s="466"/>
      <c r="D66" s="466"/>
      <c r="E66" s="466"/>
      <c r="F66" s="466"/>
      <c r="G66" s="466"/>
      <c r="H66" s="466"/>
      <c r="I66" s="466"/>
      <c r="J66" s="466"/>
      <c r="K66" s="466"/>
      <c r="L66" s="466"/>
    </row>
    <row r="67" spans="1:12" x14ac:dyDescent="0.25">
      <c r="A67" s="470" t="s">
        <v>2392</v>
      </c>
      <c r="B67" s="466"/>
      <c r="C67" s="466"/>
      <c r="D67" s="466"/>
      <c r="E67" s="466"/>
      <c r="F67" s="466"/>
      <c r="G67" s="466"/>
      <c r="H67" s="466"/>
      <c r="I67" s="466"/>
      <c r="J67" s="466"/>
      <c r="K67" s="466"/>
      <c r="L67" s="466"/>
    </row>
    <row r="68" spans="1:12" x14ac:dyDescent="0.25">
      <c r="A68" s="470" t="s">
        <v>2393</v>
      </c>
      <c r="B68" s="466"/>
      <c r="C68" s="466"/>
      <c r="D68" s="466"/>
      <c r="E68" s="466"/>
      <c r="F68" s="466"/>
      <c r="G68" s="466"/>
      <c r="H68" s="466"/>
      <c r="I68" s="466"/>
      <c r="J68" s="466"/>
      <c r="K68" s="466"/>
      <c r="L68" s="466"/>
    </row>
    <row r="69" spans="1:12" x14ac:dyDescent="0.25">
      <c r="A69" s="470" t="s">
        <v>2775</v>
      </c>
      <c r="B69" s="466"/>
      <c r="C69" s="466"/>
      <c r="D69" s="466"/>
      <c r="E69" s="466"/>
      <c r="F69" s="466"/>
      <c r="G69" s="466"/>
      <c r="H69" s="466"/>
      <c r="I69" s="466"/>
      <c r="J69" s="466"/>
      <c r="K69" s="466"/>
      <c r="L69" s="466"/>
    </row>
    <row r="70" spans="1:12" x14ac:dyDescent="0.25">
      <c r="A70" s="466"/>
      <c r="B70" s="466"/>
      <c r="C70" s="466"/>
      <c r="D70" s="466"/>
      <c r="E70" s="466"/>
      <c r="F70" s="466"/>
      <c r="G70" s="343" t="s">
        <v>194</v>
      </c>
      <c r="H70" s="343" t="s">
        <v>171</v>
      </c>
      <c r="I70" s="466"/>
      <c r="J70" s="466"/>
      <c r="K70" s="466"/>
      <c r="L70" s="466"/>
    </row>
    <row r="71" spans="1:12" x14ac:dyDescent="0.25">
      <c r="A71" s="216" t="s">
        <v>1916</v>
      </c>
      <c r="B71" s="466"/>
      <c r="C71" s="466"/>
      <c r="D71" s="466"/>
      <c r="E71" s="466"/>
      <c r="F71" s="464" t="s">
        <v>2394</v>
      </c>
      <c r="G71" s="986">
        <v>0</v>
      </c>
      <c r="H71" s="470" t="s">
        <v>2395</v>
      </c>
      <c r="I71" s="466"/>
      <c r="J71" s="466"/>
      <c r="K71" s="466"/>
      <c r="L71" s="466"/>
    </row>
    <row r="72" spans="1:12" ht="15" x14ac:dyDescent="0.4">
      <c r="A72" s="216" t="s">
        <v>1917</v>
      </c>
      <c r="B72" s="466"/>
      <c r="C72" s="466"/>
      <c r="D72" s="466"/>
      <c r="E72" s="466"/>
      <c r="F72" s="464" t="s">
        <v>2396</v>
      </c>
      <c r="G72" s="987">
        <v>0</v>
      </c>
      <c r="H72" s="470" t="s">
        <v>2772</v>
      </c>
      <c r="I72" s="466"/>
      <c r="J72" s="466"/>
      <c r="K72" s="466"/>
      <c r="L72" s="466"/>
    </row>
    <row r="73" spans="1:12" x14ac:dyDescent="0.25">
      <c r="A73" s="216" t="s">
        <v>1918</v>
      </c>
      <c r="B73" s="466"/>
      <c r="C73" s="466"/>
      <c r="D73" s="466"/>
      <c r="E73" s="466"/>
      <c r="F73" s="464" t="s">
        <v>2776</v>
      </c>
      <c r="G73" s="986">
        <v>0</v>
      </c>
      <c r="H73" s="470" t="s">
        <v>2397</v>
      </c>
      <c r="I73" s="466"/>
      <c r="J73" s="466"/>
      <c r="K73" s="466"/>
      <c r="L73" s="466"/>
    </row>
    <row r="74" spans="1:12" x14ac:dyDescent="0.25">
      <c r="A74" s="216"/>
      <c r="B74" s="466"/>
      <c r="C74" s="466"/>
      <c r="D74" s="466"/>
      <c r="E74" s="466"/>
      <c r="F74" s="466"/>
      <c r="G74" s="466"/>
      <c r="H74" s="466"/>
      <c r="I74" s="466"/>
      <c r="J74" s="466"/>
      <c r="K74" s="466"/>
      <c r="L74" s="466"/>
    </row>
    <row r="75" spans="1:12" x14ac:dyDescent="0.25">
      <c r="A75" s="216"/>
      <c r="B75" s="466"/>
      <c r="C75" s="466"/>
      <c r="D75" s="466" t="s">
        <v>2398</v>
      </c>
      <c r="E75" s="466"/>
      <c r="F75" s="466"/>
      <c r="G75" s="466"/>
      <c r="H75" s="466"/>
      <c r="I75" s="466"/>
      <c r="J75" s="466"/>
      <c r="K75" s="466"/>
      <c r="L75" s="466"/>
    </row>
    <row r="76" spans="1:12" x14ac:dyDescent="0.25">
      <c r="A76" s="216"/>
      <c r="B76" s="466"/>
      <c r="C76" s="466"/>
      <c r="D76" s="466"/>
      <c r="E76" s="466"/>
      <c r="F76" s="216"/>
      <c r="G76" s="3" t="s">
        <v>2773</v>
      </c>
      <c r="H76" s="466"/>
      <c r="I76" s="466"/>
      <c r="J76" s="466"/>
      <c r="K76" s="466"/>
      <c r="L76" s="466"/>
    </row>
    <row r="77" spans="1:12" x14ac:dyDescent="0.25">
      <c r="A77" s="216"/>
      <c r="B77" s="466"/>
      <c r="C77" s="466"/>
      <c r="D77" s="466"/>
      <c r="E77" s="466"/>
      <c r="F77" s="343" t="s">
        <v>212</v>
      </c>
      <c r="G77" s="343" t="s">
        <v>2383</v>
      </c>
      <c r="H77" s="466"/>
      <c r="I77" s="466"/>
      <c r="J77" s="466"/>
      <c r="K77" s="466"/>
      <c r="L77" s="466"/>
    </row>
    <row r="78" spans="1:12" x14ac:dyDescent="0.25">
      <c r="A78" s="216" t="s">
        <v>1919</v>
      </c>
      <c r="B78" s="466"/>
      <c r="C78" s="466"/>
      <c r="D78" s="466"/>
      <c r="E78" s="466"/>
      <c r="F78" s="537" t="s">
        <v>86</v>
      </c>
      <c r="G78" s="1006">
        <v>0</v>
      </c>
      <c r="H78" s="466"/>
      <c r="I78" s="466"/>
      <c r="J78" s="466"/>
      <c r="K78" s="466"/>
      <c r="L78" s="466"/>
    </row>
    <row r="79" spans="1:12" x14ac:dyDescent="0.25">
      <c r="A79" s="216" t="s">
        <v>1920</v>
      </c>
      <c r="B79" s="466"/>
      <c r="C79" s="466"/>
      <c r="D79" s="466"/>
      <c r="E79" s="466"/>
      <c r="F79" s="537" t="s">
        <v>86</v>
      </c>
      <c r="G79" s="1006">
        <v>0</v>
      </c>
      <c r="H79" s="466"/>
      <c r="I79" s="466"/>
      <c r="J79" s="466"/>
      <c r="K79" s="466"/>
      <c r="L79" s="466"/>
    </row>
    <row r="80" spans="1:12" x14ac:dyDescent="0.25">
      <c r="A80" s="216" t="s">
        <v>1921</v>
      </c>
      <c r="B80" s="466"/>
      <c r="C80" s="466"/>
      <c r="D80" s="466"/>
      <c r="E80" s="466"/>
      <c r="F80" s="537" t="s">
        <v>86</v>
      </c>
      <c r="G80" s="1006">
        <v>0</v>
      </c>
      <c r="H80" s="466"/>
      <c r="I80" s="466"/>
      <c r="J80" s="466"/>
      <c r="K80" s="466"/>
      <c r="L80" s="466"/>
    </row>
    <row r="81" spans="1:13" x14ac:dyDescent="0.25">
      <c r="A81" s="216" t="s">
        <v>1923</v>
      </c>
      <c r="B81" s="466"/>
      <c r="C81" s="466"/>
      <c r="D81" s="466"/>
      <c r="E81" s="466"/>
      <c r="F81" s="537" t="s">
        <v>86</v>
      </c>
      <c r="G81" s="1006">
        <v>0</v>
      </c>
      <c r="H81" s="466"/>
      <c r="I81" s="466"/>
      <c r="J81" s="466"/>
      <c r="K81" s="466"/>
      <c r="L81" s="466"/>
    </row>
    <row r="82" spans="1:13" x14ac:dyDescent="0.25">
      <c r="A82" s="216" t="s">
        <v>2204</v>
      </c>
      <c r="B82" s="466"/>
      <c r="C82" s="466"/>
      <c r="D82" s="466"/>
      <c r="E82" s="466"/>
      <c r="F82" s="537" t="s">
        <v>86</v>
      </c>
      <c r="G82" s="1006">
        <v>0</v>
      </c>
      <c r="H82" s="466"/>
      <c r="I82" s="466"/>
      <c r="J82" s="466"/>
      <c r="K82" s="466"/>
      <c r="L82" s="466"/>
    </row>
    <row r="83" spans="1:13" x14ac:dyDescent="0.25">
      <c r="A83" s="216"/>
      <c r="B83" s="466"/>
      <c r="C83" s="466"/>
      <c r="D83" s="466"/>
      <c r="E83" s="466"/>
      <c r="F83" s="466"/>
      <c r="G83" s="466"/>
      <c r="H83" s="466"/>
      <c r="I83" s="466"/>
      <c r="J83" s="466"/>
      <c r="K83" s="466"/>
      <c r="L83" s="466"/>
    </row>
    <row r="84" spans="1:13" x14ac:dyDescent="0.25">
      <c r="A84" s="466"/>
      <c r="B84" s="466" t="s">
        <v>2774</v>
      </c>
      <c r="C84" s="466"/>
      <c r="D84" s="466"/>
      <c r="E84" s="466"/>
      <c r="F84" s="466"/>
      <c r="G84" s="466"/>
      <c r="H84" s="441" t="s">
        <v>171</v>
      </c>
      <c r="I84" s="466"/>
      <c r="J84" s="466"/>
      <c r="K84" s="466"/>
      <c r="L84" s="466"/>
    </row>
    <row r="85" spans="1:13" x14ac:dyDescent="0.25">
      <c r="A85" s="216" t="s">
        <v>2205</v>
      </c>
      <c r="B85" s="466" t="s">
        <v>2399</v>
      </c>
      <c r="C85" s="466"/>
      <c r="D85" s="466"/>
      <c r="E85" s="466"/>
      <c r="F85" s="466"/>
      <c r="G85" s="986">
        <v>0</v>
      </c>
      <c r="H85" s="465" t="s">
        <v>2406</v>
      </c>
      <c r="I85" s="466"/>
      <c r="J85" s="466"/>
      <c r="K85" s="466"/>
      <c r="L85" s="466"/>
    </row>
    <row r="86" spans="1:13" x14ac:dyDescent="0.25">
      <c r="A86" s="216"/>
      <c r="B86" s="466"/>
      <c r="C86" s="466"/>
      <c r="D86" s="466"/>
      <c r="E86" s="466"/>
      <c r="F86" s="466"/>
      <c r="G86" s="986"/>
      <c r="H86" s="465"/>
      <c r="I86" s="466"/>
      <c r="J86" s="466"/>
      <c r="K86" s="466"/>
      <c r="L86" s="466"/>
    </row>
    <row r="87" spans="1:13" x14ac:dyDescent="0.25">
      <c r="A87" s="894" t="s">
        <v>2745</v>
      </c>
      <c r="B87" s="466"/>
      <c r="C87" s="466"/>
      <c r="D87" s="466"/>
      <c r="E87" s="466"/>
      <c r="F87" s="466"/>
      <c r="G87" s="986"/>
      <c r="H87" s="465"/>
      <c r="I87" s="466"/>
      <c r="J87" s="466"/>
      <c r="K87" s="466"/>
      <c r="L87" s="466"/>
    </row>
    <row r="88" spans="1:13" x14ac:dyDescent="0.25">
      <c r="A88" s="465" t="s">
        <v>2746</v>
      </c>
      <c r="B88" s="466"/>
      <c r="C88" s="466"/>
      <c r="D88" s="466"/>
      <c r="E88" s="466"/>
      <c r="F88" s="466"/>
      <c r="G88" s="986"/>
      <c r="H88" s="465"/>
      <c r="I88" s="466"/>
      <c r="J88" s="466"/>
      <c r="K88" s="466"/>
      <c r="L88" s="466"/>
    </row>
    <row r="89" spans="1:13" x14ac:dyDescent="0.25">
      <c r="A89" s="465" t="s">
        <v>2747</v>
      </c>
      <c r="B89" s="466"/>
      <c r="C89" s="466"/>
      <c r="D89" s="466"/>
      <c r="E89" s="466"/>
      <c r="F89" s="466"/>
      <c r="G89" s="986"/>
      <c r="H89" s="465"/>
      <c r="I89" s="466"/>
      <c r="J89" s="466"/>
      <c r="K89" s="466"/>
      <c r="L89" s="466"/>
    </row>
    <row r="91" spans="1:13" x14ac:dyDescent="0.25">
      <c r="A91" s="918" t="s">
        <v>420</v>
      </c>
      <c r="B91" s="13"/>
      <c r="C91" s="13"/>
      <c r="D91" s="13"/>
      <c r="E91" s="13"/>
      <c r="F91" s="13"/>
      <c r="G91" s="13"/>
      <c r="H91" s="13"/>
      <c r="I91" s="13"/>
      <c r="J91" s="13"/>
      <c r="K91" s="13"/>
      <c r="L91" s="13"/>
    </row>
    <row r="92" spans="1:13" ht="13.8" x14ac:dyDescent="0.25">
      <c r="A92" s="465" t="s">
        <v>2748</v>
      </c>
      <c r="B92" s="1031"/>
      <c r="C92" s="1032"/>
      <c r="D92" s="1032"/>
      <c r="E92" s="1032"/>
      <c r="F92" s="1032"/>
      <c r="G92" s="1032"/>
      <c r="H92" s="1032"/>
      <c r="I92" s="1032"/>
      <c r="J92" s="1032"/>
      <c r="K92" s="1032"/>
      <c r="L92" s="1032"/>
      <c r="M92" s="1032"/>
    </row>
    <row r="93" spans="1:13" ht="13.8" x14ac:dyDescent="0.25">
      <c r="A93" s="919" t="s">
        <v>2749</v>
      </c>
      <c r="B93" s="1031"/>
      <c r="C93" s="1032"/>
      <c r="D93" s="1032"/>
      <c r="E93" s="1032"/>
      <c r="F93" s="1032"/>
      <c r="G93" s="1032"/>
      <c r="H93" s="1032"/>
      <c r="I93" s="1032"/>
      <c r="J93" s="1032"/>
      <c r="K93" s="1032"/>
      <c r="L93" s="1032"/>
      <c r="M93" s="1032"/>
    </row>
    <row r="94" spans="1:13" ht="13.8" x14ac:dyDescent="0.25">
      <c r="A94" s="919" t="s">
        <v>2750</v>
      </c>
      <c r="B94" s="1031"/>
      <c r="C94" s="1032"/>
      <c r="D94" s="1032"/>
      <c r="E94" s="1032"/>
      <c r="F94" s="1032"/>
      <c r="G94" s="1032"/>
      <c r="H94" s="1032"/>
      <c r="I94" s="1032"/>
      <c r="J94" s="1032"/>
      <c r="K94" s="1032"/>
      <c r="L94" s="1032"/>
      <c r="M94" s="1032"/>
    </row>
    <row r="95" spans="1:13" ht="13.8" x14ac:dyDescent="0.25">
      <c r="A95" s="919" t="s">
        <v>2751</v>
      </c>
      <c r="B95" s="1031"/>
      <c r="C95" s="1032"/>
      <c r="D95" s="1032"/>
      <c r="E95" s="1032"/>
      <c r="F95" s="1032"/>
      <c r="G95" s="1032"/>
      <c r="H95" s="1032"/>
      <c r="I95" s="1032"/>
      <c r="J95" s="1032"/>
      <c r="K95" s="1032"/>
      <c r="L95" s="1032"/>
      <c r="M95" s="1032"/>
    </row>
    <row r="96" spans="1:13" ht="13.8" x14ac:dyDescent="0.25">
      <c r="A96" s="919" t="s">
        <v>2752</v>
      </c>
      <c r="B96" s="1031"/>
      <c r="C96" s="1032"/>
      <c r="D96" s="1032"/>
      <c r="E96" s="1032"/>
      <c r="F96" s="1032"/>
      <c r="G96" s="1032"/>
      <c r="H96" s="1032"/>
      <c r="I96" s="1032"/>
      <c r="J96" s="1032"/>
      <c r="K96" s="1032"/>
      <c r="L96" s="1032"/>
      <c r="M96" s="1032"/>
    </row>
    <row r="97" spans="1:13" ht="13.8" x14ac:dyDescent="0.25">
      <c r="A97" s="490" t="s">
        <v>2753</v>
      </c>
      <c r="B97" s="1031"/>
      <c r="C97" s="1032"/>
      <c r="D97" s="1032"/>
      <c r="E97" s="1032"/>
      <c r="F97" s="1032"/>
      <c r="G97" s="1032"/>
      <c r="H97" s="1032"/>
      <c r="I97" s="1032"/>
      <c r="J97" s="1032"/>
      <c r="K97" s="1032"/>
      <c r="L97" s="1032"/>
      <c r="M97" s="1032"/>
    </row>
    <row r="98" spans="1:13" ht="13.8" x14ac:dyDescent="0.25">
      <c r="A98" s="919" t="s">
        <v>2754</v>
      </c>
      <c r="B98" s="1032"/>
      <c r="C98" s="1032"/>
      <c r="D98" s="1032"/>
      <c r="E98" s="1032"/>
      <c r="F98" s="1032"/>
      <c r="G98" s="1032"/>
      <c r="H98" s="1032"/>
      <c r="I98" s="1032"/>
      <c r="J98" s="1032"/>
      <c r="K98" s="1032"/>
      <c r="L98" s="1032"/>
      <c r="M98" s="1032"/>
    </row>
    <row r="99" spans="1:13" ht="13.8" x14ac:dyDescent="0.25">
      <c r="A99" s="919" t="s">
        <v>2755</v>
      </c>
      <c r="B99" s="1032"/>
      <c r="C99" s="1032"/>
      <c r="D99" s="1032"/>
      <c r="E99" s="1032"/>
      <c r="F99" s="1032"/>
      <c r="G99" s="1032"/>
      <c r="H99" s="1032"/>
      <c r="I99" s="1032"/>
      <c r="J99" s="1032"/>
      <c r="K99" s="1032"/>
      <c r="L99" s="1032"/>
      <c r="M99" s="1032"/>
    </row>
    <row r="100" spans="1:13" ht="13.8" x14ac:dyDescent="0.25">
      <c r="A100" s="465" t="s">
        <v>2756</v>
      </c>
      <c r="B100" s="1032"/>
      <c r="C100" s="1032"/>
      <c r="D100" s="1032"/>
      <c r="E100" s="1032"/>
      <c r="F100" s="1032"/>
      <c r="G100" s="1032"/>
      <c r="H100" s="1032"/>
      <c r="I100" s="1032"/>
      <c r="J100" s="1032"/>
      <c r="K100" s="1032"/>
      <c r="L100" s="1032"/>
      <c r="M100" s="1032"/>
    </row>
    <row r="101" spans="1:13" ht="13.8" x14ac:dyDescent="0.25">
      <c r="A101" s="919" t="s">
        <v>2757</v>
      </c>
      <c r="B101" s="1032"/>
      <c r="C101" s="1032"/>
      <c r="D101" s="1032"/>
      <c r="E101" s="1032"/>
      <c r="F101" s="1032"/>
      <c r="G101" s="1032"/>
      <c r="H101" s="1032"/>
      <c r="I101" s="1032"/>
      <c r="J101" s="1032"/>
      <c r="K101" s="1032"/>
      <c r="L101" s="1032"/>
      <c r="M101" s="1032"/>
    </row>
    <row r="102" spans="1:13" ht="13.8" x14ac:dyDescent="0.25">
      <c r="A102" s="919" t="s">
        <v>2758</v>
      </c>
      <c r="B102" s="1032"/>
      <c r="C102" s="1032"/>
      <c r="D102" s="1032"/>
      <c r="E102" s="1032"/>
      <c r="F102" s="1032"/>
      <c r="G102" s="1032"/>
      <c r="H102" s="1032"/>
      <c r="I102" s="1032"/>
      <c r="J102" s="1032"/>
      <c r="K102" s="1032"/>
      <c r="L102" s="1032"/>
      <c r="M102" s="1032"/>
    </row>
    <row r="103" spans="1:13" ht="13.8" x14ac:dyDescent="0.25">
      <c r="A103" s="919" t="s">
        <v>2759</v>
      </c>
      <c r="B103" s="1033"/>
      <c r="C103" s="1032"/>
      <c r="D103" s="1032"/>
      <c r="E103" s="1032"/>
      <c r="F103" s="1032"/>
      <c r="G103" s="1032"/>
      <c r="H103" s="1032"/>
      <c r="I103" s="1032"/>
      <c r="J103" s="1032"/>
      <c r="K103" s="1032"/>
      <c r="L103" s="1032"/>
      <c r="M103" s="1032"/>
    </row>
    <row r="104" spans="1:13" ht="13.8" x14ac:dyDescent="0.25">
      <c r="A104" s="919" t="s">
        <v>2760</v>
      </c>
      <c r="B104" s="1031"/>
      <c r="C104" s="1032"/>
      <c r="D104" s="1032"/>
      <c r="E104" s="1032"/>
      <c r="F104" s="1032"/>
      <c r="G104" s="1032"/>
      <c r="H104" s="1032"/>
      <c r="I104" s="1032"/>
      <c r="J104" s="1032"/>
      <c r="K104" s="1032"/>
      <c r="L104" s="1032"/>
      <c r="M104" s="1032"/>
    </row>
    <row r="105" spans="1:13" ht="13.8" x14ac:dyDescent="0.25">
      <c r="A105" s="919" t="s">
        <v>2761</v>
      </c>
      <c r="B105" s="1031"/>
      <c r="C105" s="1032"/>
      <c r="D105" s="1032"/>
      <c r="E105" s="1032"/>
      <c r="F105" s="1032"/>
      <c r="G105" s="1032"/>
      <c r="H105" s="1032"/>
      <c r="I105" s="1032"/>
      <c r="J105" s="1032"/>
      <c r="K105" s="1032"/>
      <c r="L105" s="1032"/>
      <c r="M105" s="1032"/>
    </row>
  </sheetData>
  <pageMargins left="0.7" right="0.7" top="0.75" bottom="0.75" header="0.3" footer="0.3"/>
  <pageSetup scale="65" orientation="portrait" cellComments="asDisplayed" r:id="rId1"/>
  <headerFooter>
    <oddHeader xml:space="preserve">&amp;C&amp;"Arial,Bold"Schedule 35
PBOPs&amp;"Arial,Regular"
</oddHeader>
    <oddFooter>&amp;R35-PBOPs</oddFooter>
  </headerFooter>
  <rowBreaks count="1" manualBreakCount="1">
    <brk id="6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7"/>
  <sheetViews>
    <sheetView tabSelected="1" zoomScale="90" zoomScaleNormal="90" zoomScalePageLayoutView="85" workbookViewId="0"/>
  </sheetViews>
  <sheetFormatPr defaultRowHeight="13.2" x14ac:dyDescent="0.25"/>
  <cols>
    <col min="1" max="1" width="4.6640625" customWidth="1"/>
    <col min="8" max="9" width="26.6640625" customWidth="1"/>
    <col min="10" max="10" width="2.6640625" customWidth="1"/>
    <col min="11" max="11" width="16.6640625" customWidth="1"/>
    <col min="14" max="15" width="8.88671875" customWidth="1"/>
  </cols>
  <sheetData>
    <row r="1" spans="1:12" x14ac:dyDescent="0.25">
      <c r="A1" s="1" t="s">
        <v>185</v>
      </c>
    </row>
    <row r="2" spans="1:12" x14ac:dyDescent="0.25">
      <c r="I2" s="94" t="s">
        <v>332</v>
      </c>
      <c r="J2" s="94"/>
      <c r="K2" s="13"/>
      <c r="L2" s="13"/>
    </row>
    <row r="3" spans="1:12" x14ac:dyDescent="0.25">
      <c r="A3" s="1" t="s">
        <v>186</v>
      </c>
      <c r="L3" s="13"/>
    </row>
    <row r="4" spans="1:12" x14ac:dyDescent="0.25">
      <c r="H4" s="2"/>
      <c r="I4" s="2" t="s">
        <v>188</v>
      </c>
      <c r="K4" s="233" t="s">
        <v>1562</v>
      </c>
    </row>
    <row r="5" spans="1:12" x14ac:dyDescent="0.25">
      <c r="A5" s="51" t="s">
        <v>350</v>
      </c>
      <c r="H5" s="3" t="s">
        <v>187</v>
      </c>
      <c r="I5" s="3" t="s">
        <v>189</v>
      </c>
      <c r="K5" s="3" t="s">
        <v>190</v>
      </c>
    </row>
    <row r="7" spans="1:12" x14ac:dyDescent="0.25">
      <c r="A7" s="9" t="s">
        <v>195</v>
      </c>
      <c r="B7" s="10"/>
      <c r="C7" s="10"/>
      <c r="D7" s="10"/>
      <c r="E7" s="10"/>
      <c r="F7" s="10"/>
      <c r="G7" s="10"/>
      <c r="H7" s="8"/>
      <c r="I7" s="8"/>
      <c r="J7" s="8"/>
      <c r="K7" s="8"/>
    </row>
    <row r="9" spans="1:12" x14ac:dyDescent="0.25">
      <c r="A9" s="2">
        <v>1</v>
      </c>
      <c r="B9" s="48" t="s">
        <v>1144</v>
      </c>
      <c r="I9" s="14" t="str">
        <f>"6-PlantInService, Line "&amp;'6-PlantInService'!A43&amp;""</f>
        <v>6-PlantInService, Line 19</v>
      </c>
      <c r="K9" s="968">
        <v>0</v>
      </c>
    </row>
    <row r="10" spans="1:12" x14ac:dyDescent="0.25">
      <c r="A10" s="2">
        <f>A9+1</f>
        <v>2</v>
      </c>
      <c r="B10" s="48" t="s">
        <v>348</v>
      </c>
      <c r="I10" s="14" t="str">
        <f>"6-PlantInService, Line "&amp;'6-PlantInService'!A63&amp;""</f>
        <v>6-PlantInService, Line 27</v>
      </c>
      <c r="K10" s="968">
        <v>0</v>
      </c>
    </row>
    <row r="11" spans="1:12" x14ac:dyDescent="0.25">
      <c r="A11" s="2">
        <f>A10+1</f>
        <v>3</v>
      </c>
      <c r="B11" s="48" t="s">
        <v>174</v>
      </c>
      <c r="I11" s="14" t="str">
        <f>"11-PHFU, Line "&amp;'11-PHFU'!A38&amp;""</f>
        <v>11-PHFU, Line 8</v>
      </c>
      <c r="K11" s="968">
        <v>0</v>
      </c>
    </row>
    <row r="12" spans="1:12" x14ac:dyDescent="0.25">
      <c r="A12" s="2">
        <f>A11+1</f>
        <v>4</v>
      </c>
      <c r="B12" s="102" t="s">
        <v>343</v>
      </c>
      <c r="C12" s="13"/>
      <c r="D12" s="13"/>
      <c r="E12" s="13"/>
      <c r="F12" s="13"/>
      <c r="G12" s="13"/>
      <c r="H12" s="13"/>
      <c r="I12" s="14" t="str">
        <f>"12-AbandonedPlant, Line "&amp;'12-AbandonedPlant'!A20&amp;""</f>
        <v>12-AbandonedPlant, Line 3</v>
      </c>
      <c r="K12" s="968">
        <v>0</v>
      </c>
    </row>
    <row r="13" spans="1:12" x14ac:dyDescent="0.25">
      <c r="A13" s="2"/>
      <c r="B13" s="102"/>
      <c r="C13" s="13"/>
      <c r="D13" s="13"/>
      <c r="E13" s="13"/>
      <c r="F13" s="13"/>
      <c r="G13" s="13"/>
      <c r="H13" s="13"/>
      <c r="I13" s="13"/>
      <c r="K13" s="6"/>
    </row>
    <row r="14" spans="1:12" x14ac:dyDescent="0.25">
      <c r="A14" s="2"/>
      <c r="B14" s="44" t="s">
        <v>269</v>
      </c>
      <c r="C14" s="13"/>
      <c r="D14" s="13"/>
      <c r="E14" s="13"/>
      <c r="F14" s="13"/>
      <c r="G14" s="13"/>
      <c r="H14" s="13"/>
      <c r="I14" s="13"/>
      <c r="K14" s="6"/>
    </row>
    <row r="15" spans="1:12" x14ac:dyDescent="0.25">
      <c r="A15" s="2">
        <f>A12+1</f>
        <v>5</v>
      </c>
      <c r="B15" s="12" t="s">
        <v>102</v>
      </c>
      <c r="I15" s="14" t="str">
        <f>"13-WorkCap, Line "&amp;'13-WorkCap'!A26&amp;""</f>
        <v>13-WorkCap, Line 16</v>
      </c>
      <c r="K15" s="968">
        <v>0</v>
      </c>
    </row>
    <row r="16" spans="1:12" x14ac:dyDescent="0.25">
      <c r="A16" s="2">
        <f>A15+1</f>
        <v>6</v>
      </c>
      <c r="B16" s="15" t="s">
        <v>103</v>
      </c>
      <c r="I16" s="14" t="str">
        <f>"13-WorkCap, Line "&amp;'13-WorkCap'!A55&amp;""</f>
        <v>13-WorkCap, Line 36</v>
      </c>
      <c r="K16" s="968">
        <v>0</v>
      </c>
    </row>
    <row r="17" spans="1:11" ht="15" x14ac:dyDescent="0.4">
      <c r="A17" s="2">
        <f>A16+1</f>
        <v>7</v>
      </c>
      <c r="B17" s="12" t="s">
        <v>191</v>
      </c>
      <c r="I17" s="14" t="str">
        <f>"(Line "&amp;A124&amp;" + Line "&amp;A125&amp;") / 16"</f>
        <v>(Line 65 + Line 66) / 16</v>
      </c>
      <c r="K17" s="969">
        <v>0</v>
      </c>
    </row>
    <row r="18" spans="1:11" x14ac:dyDescent="0.25">
      <c r="A18" s="2">
        <f>A17+1</f>
        <v>8</v>
      </c>
      <c r="B18" s="12" t="s">
        <v>101</v>
      </c>
      <c r="I18" s="14" t="str">
        <f>"Line "&amp;A15&amp;" + Line "&amp;A16&amp;" + Line "&amp;A17&amp;""</f>
        <v>Line 5 + Line 6 + Line 7</v>
      </c>
      <c r="K18" s="968">
        <v>0</v>
      </c>
    </row>
    <row r="19" spans="1:11" x14ac:dyDescent="0.25">
      <c r="A19" s="2"/>
      <c r="B19" s="12"/>
      <c r="I19" s="13"/>
      <c r="K19" s="6"/>
    </row>
    <row r="20" spans="1:11" x14ac:dyDescent="0.25">
      <c r="A20" s="2"/>
      <c r="B20" s="77" t="s">
        <v>184</v>
      </c>
      <c r="I20" s="13"/>
      <c r="K20" s="6"/>
    </row>
    <row r="21" spans="1:11" x14ac:dyDescent="0.25">
      <c r="A21" s="2">
        <f>A18+1</f>
        <v>9</v>
      </c>
      <c r="B21" s="12" t="s">
        <v>1147</v>
      </c>
      <c r="H21" t="s">
        <v>168</v>
      </c>
      <c r="I21" s="14" t="str">
        <f>"8-AccDep, Line "&amp;'8-AccDep'!A24&amp;", Col. 12"</f>
        <v>8-AccDep, Line 13, Col. 12</v>
      </c>
      <c r="K21" s="968">
        <v>0</v>
      </c>
    </row>
    <row r="22" spans="1:11" x14ac:dyDescent="0.25">
      <c r="A22" s="2">
        <f>A21+1</f>
        <v>10</v>
      </c>
      <c r="B22" s="12" t="s">
        <v>1148</v>
      </c>
      <c r="H22" t="s">
        <v>168</v>
      </c>
      <c r="I22" s="14" t="str">
        <f>"8-AccDep, Line "&amp;'8-AccDep'!A35&amp;", Col. 5"</f>
        <v>8-AccDep, Line 16, Col. 5</v>
      </c>
      <c r="K22" s="968">
        <v>0</v>
      </c>
    </row>
    <row r="23" spans="1:11" ht="15" x14ac:dyDescent="0.4">
      <c r="A23" s="2">
        <f>A22+1</f>
        <v>11</v>
      </c>
      <c r="B23" s="12" t="s">
        <v>339</v>
      </c>
      <c r="C23" s="21"/>
      <c r="H23" t="s">
        <v>168</v>
      </c>
      <c r="I23" s="14" t="str">
        <f>"8-AccDep, Line "&amp;'8-AccDep'!A61&amp;""</f>
        <v>8-AccDep, Line 26</v>
      </c>
      <c r="K23" s="969">
        <v>0</v>
      </c>
    </row>
    <row r="24" spans="1:11" x14ac:dyDescent="0.25">
      <c r="A24" s="2">
        <f>A23+1</f>
        <v>12</v>
      </c>
      <c r="B24" s="78" t="s">
        <v>181</v>
      </c>
      <c r="C24" s="21"/>
      <c r="I24" s="14" t="str">
        <f>"Line "&amp;A21&amp;" + Line "&amp;A22&amp;" + Line "&amp;A23&amp;""</f>
        <v>Line 9 + Line 10 + Line 11</v>
      </c>
      <c r="K24" s="968">
        <v>0</v>
      </c>
    </row>
    <row r="25" spans="1:11" x14ac:dyDescent="0.25">
      <c r="B25" s="11"/>
      <c r="I25" s="13"/>
      <c r="K25" s="6"/>
    </row>
    <row r="26" spans="1:11" x14ac:dyDescent="0.25">
      <c r="A26" s="2">
        <f>A24+1</f>
        <v>13</v>
      </c>
      <c r="B26" s="63" t="s">
        <v>182</v>
      </c>
      <c r="H26" t="s">
        <v>168</v>
      </c>
      <c r="I26" s="14" t="str">
        <f>"9-ADIT, Line "&amp;'9-ADIT'!A13&amp;", Col. 2"</f>
        <v>9-ADIT, Line 4, Col. 2</v>
      </c>
      <c r="K26" s="968">
        <v>0</v>
      </c>
    </row>
    <row r="27" spans="1:11" x14ac:dyDescent="0.25">
      <c r="A27" s="2"/>
      <c r="B27" s="63"/>
      <c r="I27" s="13"/>
    </row>
    <row r="28" spans="1:11" x14ac:dyDescent="0.25">
      <c r="A28" s="2">
        <f>A26+1</f>
        <v>14</v>
      </c>
      <c r="B28" s="48" t="s">
        <v>266</v>
      </c>
      <c r="I28" s="14" t="str">
        <f>"14-IncentivePlant, L "&amp;'14-IncentivePlant'!A37&amp;", Col 1"</f>
        <v>14-IncentivePlant, L 12, Col 1</v>
      </c>
      <c r="K28" s="968">
        <v>0</v>
      </c>
    </row>
    <row r="29" spans="1:11" x14ac:dyDescent="0.25">
      <c r="A29" s="2"/>
      <c r="B29" s="48"/>
      <c r="I29" s="13"/>
      <c r="K29" s="6"/>
    </row>
    <row r="30" spans="1:11" x14ac:dyDescent="0.25">
      <c r="A30" s="2">
        <f>A28+1</f>
        <v>15</v>
      </c>
      <c r="B30" s="48" t="s">
        <v>398</v>
      </c>
      <c r="I30" s="14" t="str">
        <f>"23-RegAssets, Line "&amp;'23-RegAssets'!A17&amp;""</f>
        <v>23-RegAssets, Line 14</v>
      </c>
      <c r="K30" s="968">
        <v>0</v>
      </c>
    </row>
    <row r="31" spans="1:11" x14ac:dyDescent="0.25">
      <c r="A31" s="103" t="s">
        <v>900</v>
      </c>
      <c r="B31" s="905" t="s">
        <v>2407</v>
      </c>
      <c r="C31" s="13"/>
      <c r="D31" s="13"/>
      <c r="E31" s="13"/>
      <c r="F31" s="13"/>
      <c r="G31" s="13"/>
      <c r="H31" s="13"/>
      <c r="I31" s="14" t="str">
        <f>"34-UnfundedReserves, Line "&amp;'34-UnfundedReserves'!A9&amp;""</f>
        <v>34-UnfundedReserves, Line 6</v>
      </c>
      <c r="J31" s="13"/>
      <c r="K31" s="968">
        <v>0</v>
      </c>
    </row>
    <row r="32" spans="1:11" x14ac:dyDescent="0.25">
      <c r="A32" s="103">
        <f>A30+1</f>
        <v>16</v>
      </c>
      <c r="B32" s="905" t="s">
        <v>64</v>
      </c>
      <c r="C32" s="13"/>
      <c r="D32" s="13"/>
      <c r="E32" s="13"/>
      <c r="F32" s="13"/>
      <c r="G32" s="13"/>
      <c r="H32" s="13" t="s">
        <v>168</v>
      </c>
      <c r="I32" s="14" t="str">
        <f>"22-NUCs, Line "&amp;'22-NUCs'!A12&amp;""</f>
        <v>22-NUCs, Line 5</v>
      </c>
      <c r="K32" s="968">
        <v>0</v>
      </c>
    </row>
    <row r="33" spans="1:11" x14ac:dyDescent="0.25">
      <c r="A33" s="2"/>
      <c r="B33" s="63"/>
    </row>
    <row r="34" spans="1:11" x14ac:dyDescent="0.25">
      <c r="A34" s="2">
        <f>A32+1</f>
        <v>17</v>
      </c>
      <c r="B34" t="s">
        <v>192</v>
      </c>
      <c r="I34" s="14" t="str">
        <f>"L"&amp;A9&amp;" + L"&amp;A10&amp;" + L"&amp;A11&amp;" + L"&amp;A12&amp;" + L"&amp;A18&amp;" + L"&amp;A24&amp;" +"</f>
        <v>L1 + L2 + L3 + L4 + L8 + L12 +</v>
      </c>
      <c r="J34" s="13"/>
      <c r="K34" s="968">
        <v>0</v>
      </c>
    </row>
    <row r="35" spans="1:11" x14ac:dyDescent="0.25">
      <c r="A35" s="2"/>
      <c r="I35" s="102" t="str">
        <f>"L"&amp;A26&amp;" + L"&amp;A28&amp;"+ L"&amp;A30&amp;"+ L"&amp;A31&amp;" + L"&amp;A32&amp;""</f>
        <v>L13 + L14+ L15+ L15a + L16</v>
      </c>
      <c r="J35" s="13"/>
      <c r="K35" s="61"/>
    </row>
    <row r="37" spans="1:11" x14ac:dyDescent="0.25">
      <c r="A37" s="9" t="s">
        <v>277</v>
      </c>
      <c r="B37" s="10"/>
      <c r="C37" s="10"/>
      <c r="D37" s="10"/>
      <c r="E37" s="10"/>
      <c r="F37" s="10"/>
      <c r="G37" s="10"/>
      <c r="H37" s="8"/>
      <c r="I37" s="8"/>
      <c r="J37" s="8"/>
      <c r="K37" s="8"/>
    </row>
    <row r="39" spans="1:11" x14ac:dyDescent="0.25">
      <c r="A39" s="2">
        <f>A34+1</f>
        <v>18</v>
      </c>
      <c r="B39" s="468" t="s">
        <v>2044</v>
      </c>
      <c r="C39" s="13"/>
      <c r="D39" s="13"/>
      <c r="H39" s="476" t="s">
        <v>2688</v>
      </c>
      <c r="I39" s="11" t="s">
        <v>554</v>
      </c>
      <c r="K39" s="966">
        <v>0</v>
      </c>
    </row>
    <row r="40" spans="1:11" x14ac:dyDescent="0.25">
      <c r="A40" s="2">
        <f>A39+1</f>
        <v>19</v>
      </c>
      <c r="B40" s="105" t="s">
        <v>66</v>
      </c>
      <c r="C40" s="13"/>
      <c r="D40" s="13"/>
      <c r="I40" s="14" t="str">
        <f>"27-Allocators, Line "&amp;'27-Allocators'!A28&amp;""</f>
        <v>27-Allocators, Line 22</v>
      </c>
      <c r="K40" s="970" t="s">
        <v>2690</v>
      </c>
    </row>
    <row r="41" spans="1:11" x14ac:dyDescent="0.25">
      <c r="A41" s="2">
        <f>A40+1</f>
        <v>20</v>
      </c>
      <c r="B41" s="13" t="s">
        <v>70</v>
      </c>
      <c r="C41" s="13"/>
      <c r="D41" s="13"/>
      <c r="I41" s="14" t="str">
        <f>"Line "&amp;A39&amp;" * Line "&amp;A40&amp;""</f>
        <v>Line 18 * Line 19</v>
      </c>
      <c r="K41" s="968">
        <v>0</v>
      </c>
    </row>
    <row r="42" spans="1:11" x14ac:dyDescent="0.25">
      <c r="A42" s="2" t="s">
        <v>359</v>
      </c>
      <c r="B42" s="13"/>
      <c r="C42" s="13"/>
      <c r="D42" s="13"/>
      <c r="H42" s="11"/>
      <c r="I42" s="13"/>
      <c r="K42" s="7"/>
    </row>
    <row r="43" spans="1:11" x14ac:dyDescent="0.25">
      <c r="A43" s="2">
        <f>A41+1</f>
        <v>21</v>
      </c>
      <c r="B43" s="14" t="s">
        <v>278</v>
      </c>
      <c r="C43" s="13"/>
      <c r="D43" s="13"/>
      <c r="I43" s="13"/>
      <c r="K43" s="7"/>
    </row>
    <row r="44" spans="1:11" x14ac:dyDescent="0.25">
      <c r="A44" s="2">
        <f t="shared" ref="A44:A56" si="0">A43+1</f>
        <v>22</v>
      </c>
      <c r="B44" s="105" t="s">
        <v>16</v>
      </c>
      <c r="C44" s="13"/>
      <c r="D44" s="13"/>
      <c r="E44" s="1"/>
      <c r="F44" s="1"/>
      <c r="G44" s="1"/>
      <c r="I44" s="14" t="str">
        <f>"Line "&amp;A45&amp;" + Line "&amp;A46&amp;"+ Line "&amp;A47&amp;""</f>
        <v>Line 23 + Line 24+ Line 25</v>
      </c>
      <c r="K44" s="968">
        <v>0</v>
      </c>
    </row>
    <row r="45" spans="1:11" x14ac:dyDescent="0.25">
      <c r="A45" s="2">
        <f t="shared" si="0"/>
        <v>23</v>
      </c>
      <c r="B45" s="351" t="s">
        <v>46</v>
      </c>
      <c r="C45" s="13"/>
      <c r="D45" s="13"/>
      <c r="E45" s="1"/>
      <c r="F45" s="1"/>
      <c r="G45" s="1"/>
      <c r="H45" s="476" t="s">
        <v>2688</v>
      </c>
      <c r="I45" s="14" t="s">
        <v>555</v>
      </c>
      <c r="K45" s="966">
        <v>0</v>
      </c>
    </row>
    <row r="46" spans="1:11" x14ac:dyDescent="0.25">
      <c r="A46" s="2">
        <f t="shared" si="0"/>
        <v>24</v>
      </c>
      <c r="B46" s="351" t="s">
        <v>47</v>
      </c>
      <c r="C46" s="13"/>
      <c r="D46" s="13"/>
      <c r="E46" s="1"/>
      <c r="F46" s="1"/>
      <c r="G46" s="1"/>
      <c r="H46" s="476" t="s">
        <v>2689</v>
      </c>
      <c r="I46" s="14" t="s">
        <v>555</v>
      </c>
      <c r="K46" s="966">
        <v>0</v>
      </c>
    </row>
    <row r="47" spans="1:11" x14ac:dyDescent="0.25">
      <c r="A47" s="2">
        <f t="shared" si="0"/>
        <v>25</v>
      </c>
      <c r="B47" s="351" t="s">
        <v>48</v>
      </c>
      <c r="C47" s="13"/>
      <c r="D47" s="13"/>
      <c r="E47" s="1"/>
      <c r="F47" s="1"/>
      <c r="G47" s="1"/>
      <c r="H47" s="476" t="s">
        <v>2688</v>
      </c>
      <c r="I47" s="14" t="s">
        <v>555</v>
      </c>
      <c r="K47" s="966">
        <v>0</v>
      </c>
    </row>
    <row r="48" spans="1:11" x14ac:dyDescent="0.25">
      <c r="A48" s="2">
        <f t="shared" si="0"/>
        <v>26</v>
      </c>
      <c r="B48" s="465" t="s">
        <v>2045</v>
      </c>
      <c r="C48" s="13"/>
      <c r="D48" s="13"/>
      <c r="H48" s="476" t="s">
        <v>2688</v>
      </c>
      <c r="I48" s="14" t="s">
        <v>555</v>
      </c>
      <c r="K48" s="966">
        <v>0</v>
      </c>
    </row>
    <row r="49" spans="1:11" x14ac:dyDescent="0.25">
      <c r="A49" s="2">
        <f t="shared" si="0"/>
        <v>27</v>
      </c>
      <c r="B49" s="105" t="s">
        <v>2046</v>
      </c>
      <c r="C49" s="13"/>
      <c r="D49" s="13"/>
      <c r="H49" s="476" t="s">
        <v>2688</v>
      </c>
      <c r="I49" s="14" t="s">
        <v>555</v>
      </c>
      <c r="K49" s="966">
        <v>0</v>
      </c>
    </row>
    <row r="50" spans="1:11" x14ac:dyDescent="0.25">
      <c r="A50" s="554">
        <f t="shared" si="0"/>
        <v>28</v>
      </c>
      <c r="B50" s="105" t="s">
        <v>1855</v>
      </c>
      <c r="C50" s="13"/>
      <c r="D50" s="13"/>
      <c r="H50" s="476" t="s">
        <v>2688</v>
      </c>
      <c r="I50" s="468" t="s">
        <v>1856</v>
      </c>
      <c r="K50" s="966">
        <v>0</v>
      </c>
    </row>
    <row r="51" spans="1:11" x14ac:dyDescent="0.25">
      <c r="A51" s="554">
        <f t="shared" si="0"/>
        <v>29</v>
      </c>
      <c r="B51" s="105" t="s">
        <v>2047</v>
      </c>
      <c r="C51" s="13"/>
      <c r="D51" s="13"/>
      <c r="H51" s="476" t="s">
        <v>2688</v>
      </c>
      <c r="I51" s="468" t="s">
        <v>1856</v>
      </c>
      <c r="K51" s="966">
        <v>0</v>
      </c>
    </row>
    <row r="52" spans="1:11" x14ac:dyDescent="0.25">
      <c r="A52" s="554">
        <f t="shared" si="0"/>
        <v>30</v>
      </c>
      <c r="B52" t="s">
        <v>71</v>
      </c>
      <c r="I52" s="14" t="str">
        <f>"Line "&amp;A44&amp;" + (Line "&amp;A48&amp;" to Line "&amp;A51&amp;")"</f>
        <v>Line 22 + (Line 26 to Line 29)</v>
      </c>
      <c r="K52" s="968">
        <v>0</v>
      </c>
    </row>
    <row r="53" spans="1:11" x14ac:dyDescent="0.25">
      <c r="A53" s="554">
        <f t="shared" si="0"/>
        <v>31</v>
      </c>
      <c r="B53" s="468" t="s">
        <v>1857</v>
      </c>
      <c r="C53" s="13"/>
      <c r="D53" s="13"/>
      <c r="E53" s="13"/>
      <c r="F53" s="13"/>
      <c r="G53" s="13"/>
      <c r="H53" s="468"/>
      <c r="I53" s="468" t="str">
        <f>"26-TaxRates, Line "&amp;'26-TaxRates'!A57&amp;""</f>
        <v>26-TaxRates, Line 51</v>
      </c>
      <c r="K53" s="968">
        <v>0</v>
      </c>
    </row>
    <row r="54" spans="1:11" x14ac:dyDescent="0.25">
      <c r="A54" s="554">
        <f t="shared" si="0"/>
        <v>32</v>
      </c>
      <c r="B54" s="13" t="s">
        <v>1497</v>
      </c>
      <c r="C54" s="13"/>
      <c r="D54" s="13"/>
      <c r="E54" s="13"/>
      <c r="F54" s="13"/>
      <c r="G54" s="13"/>
      <c r="I54" s="14" t="str">
        <f>"Line "&amp;A52&amp;" - Line "&amp;A53&amp;""</f>
        <v>Line 30 - Line 31</v>
      </c>
      <c r="K54" s="968">
        <v>0</v>
      </c>
    </row>
    <row r="55" spans="1:11" x14ac:dyDescent="0.25">
      <c r="A55" s="554">
        <f t="shared" si="0"/>
        <v>33</v>
      </c>
      <c r="B55" s="12" t="s">
        <v>104</v>
      </c>
      <c r="I55" s="14" t="str">
        <f>"27-Allocators, Line "&amp;'27-Allocators'!A15&amp;""</f>
        <v>27-Allocators, Line 9</v>
      </c>
      <c r="K55" s="970" t="s">
        <v>2690</v>
      </c>
    </row>
    <row r="56" spans="1:11" x14ac:dyDescent="0.25">
      <c r="A56" s="554">
        <f t="shared" si="0"/>
        <v>34</v>
      </c>
      <c r="B56" s="48" t="s">
        <v>278</v>
      </c>
      <c r="I56" s="11" t="str">
        <f>"Line "&amp;A54&amp;" * Line "&amp;A55&amp;""</f>
        <v>Line 32 * Line 33</v>
      </c>
      <c r="K56" s="968">
        <v>0</v>
      </c>
    </row>
    <row r="57" spans="1:11" x14ac:dyDescent="0.25">
      <c r="A57" s="2"/>
      <c r="K57" s="6"/>
    </row>
    <row r="58" spans="1:11" x14ac:dyDescent="0.25">
      <c r="A58" s="2">
        <f>A56+1</f>
        <v>35</v>
      </c>
      <c r="B58" s="11" t="s">
        <v>89</v>
      </c>
      <c r="I58" s="11" t="str">
        <f>"Line "&amp;A41&amp;" + Line "&amp;A56&amp;""</f>
        <v>Line 20 + Line 34</v>
      </c>
      <c r="K58" s="968">
        <v>0</v>
      </c>
    </row>
    <row r="60" spans="1:11" x14ac:dyDescent="0.25">
      <c r="A60" s="9" t="s">
        <v>196</v>
      </c>
      <c r="B60" s="10"/>
      <c r="C60" s="10"/>
      <c r="D60" s="10"/>
      <c r="E60" s="10"/>
      <c r="F60" s="10"/>
      <c r="G60" s="10"/>
      <c r="H60" s="8"/>
      <c r="I60" s="8"/>
      <c r="J60" s="8"/>
      <c r="K60" s="8"/>
    </row>
    <row r="61" spans="1:11" x14ac:dyDescent="0.25">
      <c r="A61" s="43"/>
      <c r="B61" s="14"/>
      <c r="C61" s="14"/>
      <c r="D61" s="14"/>
      <c r="E61" s="14"/>
      <c r="F61" s="14"/>
      <c r="G61" s="14"/>
      <c r="H61" s="14"/>
      <c r="I61" s="14"/>
      <c r="J61" s="14"/>
      <c r="K61" s="14"/>
    </row>
    <row r="62" spans="1:11" x14ac:dyDescent="0.25">
      <c r="A62" s="100"/>
      <c r="B62" s="44" t="s">
        <v>26</v>
      </c>
      <c r="C62" s="14"/>
      <c r="D62" s="14"/>
      <c r="E62" s="14"/>
      <c r="F62" s="14"/>
      <c r="G62" s="14"/>
      <c r="H62" s="14"/>
      <c r="I62" s="14"/>
      <c r="J62" s="14"/>
      <c r="K62" s="14"/>
    </row>
    <row r="63" spans="1:11" x14ac:dyDescent="0.25">
      <c r="A63" s="103">
        <f>A58+1</f>
        <v>36</v>
      </c>
      <c r="B63" s="14" t="s">
        <v>228</v>
      </c>
      <c r="C63" s="14"/>
      <c r="D63" s="14"/>
      <c r="E63" s="14"/>
      <c r="F63" s="14"/>
      <c r="G63" s="14"/>
      <c r="H63" s="14"/>
      <c r="I63" s="14" t="str">
        <f>"5-ROR-1, Line "&amp;'5-ROR-1'!A16&amp;""</f>
        <v>5-ROR-1, Line 8</v>
      </c>
      <c r="J63" s="14"/>
      <c r="K63" s="968">
        <v>0</v>
      </c>
    </row>
    <row r="64" spans="1:11" x14ac:dyDescent="0.25">
      <c r="A64" s="2">
        <f>A63+1</f>
        <v>37</v>
      </c>
      <c r="B64" s="14" t="s">
        <v>279</v>
      </c>
      <c r="C64" s="14"/>
      <c r="D64" s="14"/>
      <c r="E64" s="14"/>
      <c r="F64" s="14"/>
      <c r="G64" s="14"/>
      <c r="H64" s="14"/>
      <c r="I64" s="14" t="str">
        <f>"5-ROR-1, Line "&amp;'5-ROR-1'!A27&amp;""</f>
        <v>5-ROR-1, Line 16</v>
      </c>
      <c r="J64" s="14"/>
      <c r="K64" s="968">
        <v>0</v>
      </c>
    </row>
    <row r="65" spans="1:11" x14ac:dyDescent="0.25">
      <c r="A65" s="2">
        <f>A64+1</f>
        <v>38</v>
      </c>
      <c r="B65" s="14" t="s">
        <v>280</v>
      </c>
      <c r="C65" s="14"/>
      <c r="D65" s="14"/>
      <c r="E65" s="14"/>
      <c r="F65" s="14"/>
      <c r="G65" s="14"/>
      <c r="I65" s="14" t="str">
        <f>"5-ROR-1, Line "&amp;'5-ROR-1'!A29&amp;""</f>
        <v>5-ROR-1, Line 17</v>
      </c>
      <c r="J65" s="14"/>
      <c r="K65" s="970" t="s">
        <v>2690</v>
      </c>
    </row>
    <row r="66" spans="1:11" x14ac:dyDescent="0.25">
      <c r="A66" s="103"/>
      <c r="B66" s="14"/>
      <c r="C66" s="14"/>
      <c r="D66" s="14"/>
      <c r="E66" s="14"/>
      <c r="F66" s="14"/>
      <c r="G66" s="14"/>
      <c r="I66" s="14"/>
      <c r="J66" s="14"/>
      <c r="K66" s="47"/>
    </row>
    <row r="67" spans="1:11" x14ac:dyDescent="0.25">
      <c r="A67" s="103"/>
      <c r="B67" s="44" t="s">
        <v>27</v>
      </c>
      <c r="C67" s="14"/>
      <c r="D67" s="14"/>
      <c r="E67" s="14"/>
      <c r="F67" s="14"/>
      <c r="G67" s="14"/>
      <c r="H67" s="14"/>
      <c r="I67" s="14"/>
      <c r="J67" s="14"/>
      <c r="K67" s="14"/>
    </row>
    <row r="68" spans="1:11" x14ac:dyDescent="0.25">
      <c r="A68" s="103">
        <f>A65+1</f>
        <v>39</v>
      </c>
      <c r="B68" s="468" t="s">
        <v>56</v>
      </c>
      <c r="C68" s="14"/>
      <c r="D68" s="14"/>
      <c r="E68" s="14"/>
      <c r="F68" s="14"/>
      <c r="G68" s="14"/>
      <c r="H68" s="14"/>
      <c r="I68" s="14" t="str">
        <f>"5-ROR-1, Line "&amp;'5-ROR-1'!A35&amp;""</f>
        <v>5-ROR-1, Line 21</v>
      </c>
      <c r="J68" s="14"/>
      <c r="K68" s="968">
        <v>0</v>
      </c>
    </row>
    <row r="69" spans="1:11" x14ac:dyDescent="0.25">
      <c r="A69" s="2">
        <f>A68+1</f>
        <v>40</v>
      </c>
      <c r="B69" s="468" t="s">
        <v>25</v>
      </c>
      <c r="C69" s="14"/>
      <c r="D69" s="14"/>
      <c r="E69" s="14"/>
      <c r="F69" s="14"/>
      <c r="G69" s="14"/>
      <c r="H69" s="14"/>
      <c r="I69" s="14" t="str">
        <f>"5-ROR-1, Line "&amp;'5-ROR-1'!A41&amp;""</f>
        <v>5-ROR-1, Line 25</v>
      </c>
      <c r="J69" s="14"/>
      <c r="K69" s="968">
        <v>0</v>
      </c>
    </row>
    <row r="70" spans="1:11" x14ac:dyDescent="0.25">
      <c r="A70" s="2">
        <f>A69+1</f>
        <v>41</v>
      </c>
      <c r="B70" s="468" t="s">
        <v>52</v>
      </c>
      <c r="C70" s="14"/>
      <c r="D70" s="14"/>
      <c r="E70" s="14"/>
      <c r="F70" s="14"/>
      <c r="G70" s="14"/>
      <c r="I70" s="14" t="str">
        <f>"5-ROR-1, Line "&amp;'5-ROR-1'!A43&amp;""</f>
        <v>5-ROR-1, Line 26</v>
      </c>
      <c r="J70" s="14"/>
      <c r="K70" s="970" t="s">
        <v>2690</v>
      </c>
    </row>
    <row r="71" spans="1:11" x14ac:dyDescent="0.25">
      <c r="A71" s="103"/>
      <c r="B71" s="14"/>
      <c r="C71" s="14"/>
      <c r="D71" s="14"/>
      <c r="E71" s="14"/>
      <c r="F71" s="14"/>
      <c r="G71" s="14"/>
      <c r="I71" s="14"/>
      <c r="J71" s="14"/>
      <c r="K71" s="47"/>
    </row>
    <row r="72" spans="1:11" x14ac:dyDescent="0.25">
      <c r="A72" s="103"/>
      <c r="B72" s="44" t="s">
        <v>28</v>
      </c>
      <c r="C72" s="14"/>
      <c r="D72" s="14"/>
      <c r="E72" s="14"/>
      <c r="F72" s="14"/>
      <c r="G72" s="14"/>
      <c r="H72" s="14"/>
      <c r="I72" s="14"/>
      <c r="J72" s="14"/>
      <c r="K72" s="14"/>
    </row>
    <row r="73" spans="1:11" x14ac:dyDescent="0.25">
      <c r="A73" s="103">
        <f>A70+1</f>
        <v>42</v>
      </c>
      <c r="B73" s="14" t="s">
        <v>53</v>
      </c>
      <c r="C73" s="14"/>
      <c r="D73" s="14"/>
      <c r="E73" s="14"/>
      <c r="F73" s="14"/>
      <c r="G73" s="14"/>
      <c r="H73" s="14"/>
      <c r="I73" s="14" t="str">
        <f>"5-ROR-1, Line "&amp;'5-ROR-1'!A51&amp;""</f>
        <v>5-ROR-1, Line 32</v>
      </c>
      <c r="J73" s="14"/>
      <c r="K73" s="968">
        <v>0</v>
      </c>
    </row>
    <row r="74" spans="1:11" x14ac:dyDescent="0.25">
      <c r="A74" s="103"/>
      <c r="B74" s="14"/>
      <c r="C74" s="14"/>
      <c r="D74" s="14"/>
      <c r="E74" s="14"/>
      <c r="F74" s="14"/>
      <c r="G74" s="14"/>
      <c r="H74" s="14"/>
      <c r="I74" s="62"/>
      <c r="J74" s="14"/>
      <c r="K74" s="14"/>
    </row>
    <row r="75" spans="1:11" x14ac:dyDescent="0.25">
      <c r="A75" s="2">
        <f>A73+1</f>
        <v>43</v>
      </c>
      <c r="B75" s="14" t="s">
        <v>55</v>
      </c>
      <c r="C75" s="14"/>
      <c r="D75" s="14"/>
      <c r="E75" s="14"/>
      <c r="F75" s="14"/>
      <c r="G75" s="14"/>
      <c r="H75" s="14"/>
      <c r="I75" s="11" t="str">
        <f>"Line "&amp;A63&amp;" + Line "&amp;A68&amp;" + Line "&amp;A73&amp;""</f>
        <v>Line 36 + Line 39 + Line 42</v>
      </c>
      <c r="J75" s="14"/>
      <c r="K75" s="968">
        <v>0</v>
      </c>
    </row>
    <row r="76" spans="1:11" x14ac:dyDescent="0.25">
      <c r="A76" s="103"/>
      <c r="B76" s="45"/>
      <c r="C76" s="14"/>
      <c r="D76" s="14"/>
      <c r="E76" s="14"/>
      <c r="F76" s="14"/>
      <c r="G76" s="14"/>
      <c r="I76" s="14"/>
      <c r="J76" s="14"/>
      <c r="K76" s="46"/>
    </row>
    <row r="77" spans="1:11" x14ac:dyDescent="0.25">
      <c r="A77" s="103"/>
      <c r="B77" s="44" t="s">
        <v>57</v>
      </c>
      <c r="C77" s="14"/>
      <c r="D77" s="14"/>
      <c r="E77" s="14"/>
      <c r="F77" s="14"/>
      <c r="G77" s="14"/>
      <c r="H77" s="14"/>
      <c r="I77" s="14"/>
      <c r="J77" s="14"/>
      <c r="K77" s="14"/>
    </row>
    <row r="78" spans="1:11" x14ac:dyDescent="0.25">
      <c r="A78" s="103">
        <f>A75+1</f>
        <v>44</v>
      </c>
      <c r="B78" s="14" t="s">
        <v>281</v>
      </c>
      <c r="C78" s="14"/>
      <c r="D78" s="14"/>
      <c r="E78" s="14"/>
      <c r="F78" s="14"/>
      <c r="G78" s="14"/>
      <c r="H78" s="14"/>
      <c r="I78" s="11" t="str">
        <f>"Line "&amp;A63&amp;" / Line "&amp;A75&amp;""</f>
        <v>Line 36 / Line 43</v>
      </c>
      <c r="J78" s="14"/>
      <c r="K78" s="970" t="s">
        <v>2690</v>
      </c>
    </row>
    <row r="79" spans="1:11" x14ac:dyDescent="0.25">
      <c r="A79" s="2">
        <f>A78+1</f>
        <v>45</v>
      </c>
      <c r="B79" s="468" t="s">
        <v>282</v>
      </c>
      <c r="C79" s="14"/>
      <c r="D79" s="14"/>
      <c r="E79" s="14"/>
      <c r="F79" s="14"/>
      <c r="G79" s="14"/>
      <c r="H79" s="14"/>
      <c r="I79" s="11" t="str">
        <f>"Line "&amp;A68&amp;" / Line "&amp;A75&amp;""</f>
        <v>Line 39 / Line 43</v>
      </c>
      <c r="J79" s="14"/>
      <c r="K79" s="970" t="s">
        <v>2690</v>
      </c>
    </row>
    <row r="80" spans="1:11" x14ac:dyDescent="0.25">
      <c r="A80" s="2">
        <f>A79+1</f>
        <v>46</v>
      </c>
      <c r="B80" s="14" t="s">
        <v>58</v>
      </c>
      <c r="C80" s="14"/>
      <c r="D80" s="14"/>
      <c r="E80" s="14"/>
      <c r="F80" s="14"/>
      <c r="G80" s="14"/>
      <c r="H80" s="14"/>
      <c r="I80" s="11" t="str">
        <f>"Line "&amp;A73&amp;" / Line "&amp;A75&amp;""</f>
        <v>Line 42 / Line 43</v>
      </c>
      <c r="J80" s="14"/>
      <c r="K80" s="971" t="s">
        <v>2690</v>
      </c>
    </row>
    <row r="81" spans="1:11" x14ac:dyDescent="0.25">
      <c r="A81" s="103"/>
      <c r="B81" s="14"/>
      <c r="C81" s="14"/>
      <c r="D81" s="14"/>
      <c r="E81" s="14"/>
      <c r="F81" s="14"/>
      <c r="G81" s="14"/>
      <c r="H81" s="14"/>
      <c r="I81" s="11" t="str">
        <f>"Line "&amp;A78&amp;" + Line "&amp;A79&amp;"+ Line "&amp;A80&amp;""</f>
        <v>Line 44 + Line 45+ Line 46</v>
      </c>
      <c r="J81" s="14"/>
      <c r="K81" s="970" t="s">
        <v>2690</v>
      </c>
    </row>
    <row r="82" spans="1:11" x14ac:dyDescent="0.25">
      <c r="A82" s="103"/>
      <c r="B82" s="44" t="s">
        <v>244</v>
      </c>
      <c r="C82" s="14"/>
      <c r="D82" s="14"/>
      <c r="E82" s="14"/>
      <c r="F82" s="14"/>
      <c r="G82" s="14"/>
      <c r="H82" s="14"/>
      <c r="I82" s="14"/>
      <c r="J82" s="14"/>
      <c r="K82" s="47"/>
    </row>
    <row r="83" spans="1:11" x14ac:dyDescent="0.25">
      <c r="A83" s="103">
        <f>A80+1</f>
        <v>47</v>
      </c>
      <c r="B83" s="14" t="s">
        <v>280</v>
      </c>
      <c r="C83" s="14"/>
      <c r="D83" s="14"/>
      <c r="E83" s="14"/>
      <c r="F83" s="14"/>
      <c r="G83" s="14"/>
      <c r="I83" s="11" t="str">
        <f>"Line "&amp;A65&amp;""</f>
        <v>Line 38</v>
      </c>
      <c r="J83" s="14"/>
      <c r="K83" s="972" t="str">
        <f>K65</f>
        <v>- %</v>
      </c>
    </row>
    <row r="84" spans="1:11" x14ac:dyDescent="0.25">
      <c r="A84" s="2">
        <f>A83+1</f>
        <v>48</v>
      </c>
      <c r="B84" s="468" t="s">
        <v>52</v>
      </c>
      <c r="C84" s="14"/>
      <c r="D84" s="14"/>
      <c r="E84" s="14"/>
      <c r="F84" s="14"/>
      <c r="G84" s="14"/>
      <c r="I84" s="11" t="str">
        <f>"Line "&amp;A70&amp;""</f>
        <v>Line 41</v>
      </c>
      <c r="J84" s="14"/>
      <c r="K84" s="972" t="str">
        <f>K70</f>
        <v>- %</v>
      </c>
    </row>
    <row r="85" spans="1:11" x14ac:dyDescent="0.25">
      <c r="A85" s="2">
        <f>A84+1</f>
        <v>49</v>
      </c>
      <c r="B85" s="468" t="s">
        <v>1968</v>
      </c>
      <c r="C85" s="14"/>
      <c r="D85" s="14"/>
      <c r="E85" s="14"/>
      <c r="F85" s="14"/>
      <c r="G85" s="14"/>
      <c r="H85" s="11" t="s">
        <v>395</v>
      </c>
      <c r="I85" s="14" t="s">
        <v>237</v>
      </c>
      <c r="J85" s="14"/>
      <c r="K85" s="1014">
        <v>9.8000000000000004E-2</v>
      </c>
    </row>
    <row r="86" spans="1:11" x14ac:dyDescent="0.25">
      <c r="A86" s="103"/>
      <c r="B86" s="14"/>
      <c r="C86" s="14"/>
      <c r="D86" s="14"/>
      <c r="E86" s="14"/>
      <c r="F86" s="14"/>
      <c r="G86" s="14"/>
      <c r="I86" s="70"/>
      <c r="J86" s="14"/>
      <c r="K86" s="47"/>
    </row>
    <row r="87" spans="1:11" x14ac:dyDescent="0.25">
      <c r="A87" s="103"/>
      <c r="B87" s="44" t="s">
        <v>285</v>
      </c>
      <c r="C87" s="14"/>
      <c r="D87" s="14"/>
      <c r="E87" s="14"/>
      <c r="F87" s="14"/>
      <c r="G87" s="14"/>
      <c r="H87" s="14"/>
      <c r="I87" s="14"/>
      <c r="J87" s="14"/>
      <c r="K87" s="14"/>
    </row>
    <row r="88" spans="1:11" x14ac:dyDescent="0.25">
      <c r="A88" s="103">
        <f>A85+1</f>
        <v>50</v>
      </c>
      <c r="B88" s="14" t="s">
        <v>59</v>
      </c>
      <c r="C88" s="14"/>
      <c r="D88" s="14"/>
      <c r="E88" s="14"/>
      <c r="F88" s="14"/>
      <c r="G88" s="14"/>
      <c r="I88" s="11" t="str">
        <f>"Line "&amp;A65&amp;" * Line "&amp;A78&amp;""</f>
        <v>Line 38 * Line 44</v>
      </c>
      <c r="J88" s="14"/>
      <c r="K88" s="970" t="s">
        <v>2690</v>
      </c>
    </row>
    <row r="89" spans="1:11" x14ac:dyDescent="0.25">
      <c r="A89" s="2">
        <f>A88+1</f>
        <v>51</v>
      </c>
      <c r="B89" s="468" t="s">
        <v>60</v>
      </c>
      <c r="C89" s="14"/>
      <c r="D89" s="14"/>
      <c r="E89" s="14"/>
      <c r="F89" s="14"/>
      <c r="G89" s="14"/>
      <c r="I89" s="11" t="str">
        <f>"Line "&amp;A70&amp;" * Line "&amp;A79&amp;""</f>
        <v>Line 41 * Line 45</v>
      </c>
      <c r="J89" s="14"/>
      <c r="K89" s="970" t="s">
        <v>2690</v>
      </c>
    </row>
    <row r="90" spans="1:11" x14ac:dyDescent="0.25">
      <c r="A90" s="2">
        <f>A89+1</f>
        <v>52</v>
      </c>
      <c r="B90" s="14" t="s">
        <v>61</v>
      </c>
      <c r="C90" s="14"/>
      <c r="D90" s="14"/>
      <c r="E90" s="14"/>
      <c r="F90" s="14"/>
      <c r="G90" s="14"/>
      <c r="I90" s="11" t="str">
        <f>"Line "&amp;A80&amp;" * Line "&amp;A85&amp;""</f>
        <v>Line 46 * Line 49</v>
      </c>
      <c r="J90" s="14"/>
      <c r="K90" s="971" t="s">
        <v>2690</v>
      </c>
    </row>
    <row r="91" spans="1:11" x14ac:dyDescent="0.25">
      <c r="A91" s="2">
        <f>A90+1</f>
        <v>53</v>
      </c>
      <c r="B91" s="45" t="s">
        <v>62</v>
      </c>
      <c r="C91" s="14"/>
      <c r="D91" s="14"/>
      <c r="E91" s="14"/>
      <c r="F91" s="14"/>
      <c r="G91" s="14"/>
      <c r="I91" s="11" t="str">
        <f>"Line "&amp;A88&amp;" + Line "&amp;A89&amp;" + Line "&amp;A90&amp;""</f>
        <v>Line 50 + Line 51 + Line 52</v>
      </c>
      <c r="J91" s="14"/>
      <c r="K91" s="970" t="s">
        <v>2690</v>
      </c>
    </row>
    <row r="92" spans="1:11" x14ac:dyDescent="0.25">
      <c r="A92" s="103"/>
      <c r="B92" s="45"/>
      <c r="C92" s="14"/>
      <c r="D92" s="14"/>
      <c r="E92" s="14"/>
      <c r="F92" s="14"/>
      <c r="G92" s="14"/>
      <c r="I92" s="14"/>
      <c r="J92" s="14"/>
      <c r="K92" s="47"/>
    </row>
    <row r="93" spans="1:11" x14ac:dyDescent="0.25">
      <c r="A93" s="2">
        <f>A91+1</f>
        <v>54</v>
      </c>
      <c r="B93" s="894" t="s">
        <v>1969</v>
      </c>
      <c r="C93" s="14"/>
      <c r="D93" s="14"/>
      <c r="E93" s="14"/>
      <c r="F93" s="14"/>
      <c r="G93" s="14"/>
      <c r="H93" s="14" t="s">
        <v>239</v>
      </c>
      <c r="I93" s="11" t="str">
        <f>"Line "&amp;A89&amp;" + Line "&amp;A90&amp;""</f>
        <v>Line 51 + Line 52</v>
      </c>
      <c r="J93" s="14"/>
      <c r="K93" s="970" t="s">
        <v>2690</v>
      </c>
    </row>
    <row r="94" spans="1:11" x14ac:dyDescent="0.25">
      <c r="A94" s="103"/>
      <c r="B94" s="14"/>
      <c r="C94" s="14"/>
      <c r="D94" s="14"/>
      <c r="E94" s="14"/>
      <c r="F94" s="14"/>
      <c r="G94" s="14"/>
      <c r="I94" s="14"/>
      <c r="J94" s="14"/>
      <c r="K94" s="47"/>
    </row>
    <row r="95" spans="1:11" x14ac:dyDescent="0.25">
      <c r="A95" s="2">
        <f>A93+1</f>
        <v>55</v>
      </c>
      <c r="B95" s="14" t="s">
        <v>63</v>
      </c>
      <c r="C95" s="14"/>
      <c r="D95" s="14"/>
      <c r="E95" s="14"/>
      <c r="F95" s="14"/>
      <c r="G95" s="14"/>
      <c r="I95" s="11" t="str">
        <f>"Line "&amp;A34&amp;" * Line "&amp;A91&amp;""</f>
        <v>Line 17 * Line 53</v>
      </c>
      <c r="J95" s="14"/>
      <c r="K95" s="968">
        <v>0</v>
      </c>
    </row>
    <row r="96" spans="1:11" x14ac:dyDescent="0.25">
      <c r="A96" s="87"/>
      <c r="B96" s="11"/>
      <c r="C96" s="11"/>
      <c r="D96" s="11"/>
      <c r="E96" s="11"/>
      <c r="F96" s="11"/>
      <c r="G96" s="11"/>
      <c r="H96" s="11"/>
      <c r="I96" s="11"/>
      <c r="J96" s="11"/>
      <c r="K96" s="11"/>
    </row>
    <row r="97" spans="1:11" x14ac:dyDescent="0.25">
      <c r="A97" s="11"/>
      <c r="B97" s="11"/>
      <c r="C97" s="11"/>
      <c r="D97" s="11"/>
      <c r="E97" s="11"/>
      <c r="F97" s="11"/>
      <c r="G97" s="11"/>
      <c r="H97" s="11"/>
      <c r="I97" s="11"/>
      <c r="J97" s="11"/>
      <c r="K97" s="11"/>
    </row>
    <row r="98" spans="1:11" x14ac:dyDescent="0.25">
      <c r="A98" s="9" t="s">
        <v>197</v>
      </c>
      <c r="B98" s="10"/>
      <c r="C98" s="10"/>
      <c r="D98" s="10"/>
      <c r="E98" s="10"/>
      <c r="F98" s="10"/>
      <c r="G98" s="10"/>
      <c r="H98" s="8"/>
      <c r="I98" s="8"/>
      <c r="J98" s="8"/>
      <c r="K98" s="8"/>
    </row>
    <row r="100" spans="1:11" x14ac:dyDescent="0.25">
      <c r="A100" s="103">
        <f>A95+1</f>
        <v>56</v>
      </c>
      <c r="B100" t="s">
        <v>238</v>
      </c>
      <c r="I100" s="13" t="str">
        <f>"26-Tax Rates, Line "&amp;'26-TaxRates'!A7&amp;""</f>
        <v>26-Tax Rates, Line 1</v>
      </c>
      <c r="K100" s="970" t="s">
        <v>2690</v>
      </c>
    </row>
    <row r="101" spans="1:11" x14ac:dyDescent="0.25">
      <c r="A101" s="2">
        <f>A100+1</f>
        <v>57</v>
      </c>
      <c r="B101" s="11" t="s">
        <v>284</v>
      </c>
      <c r="I101" s="13" t="str">
        <f>"26-Tax Rates, Line "&amp;'26-TaxRates'!A14&amp;""</f>
        <v>26-Tax Rates, Line 8</v>
      </c>
      <c r="K101" s="970" t="s">
        <v>2690</v>
      </c>
    </row>
    <row r="102" spans="1:11" x14ac:dyDescent="0.25">
      <c r="A102" s="2">
        <f>A101+1</f>
        <v>58</v>
      </c>
      <c r="B102" s="11" t="s">
        <v>283</v>
      </c>
      <c r="H102" s="50" t="s">
        <v>1871</v>
      </c>
      <c r="I102" s="11" t="str">
        <f>"(L"&amp;A100&amp;" + L"&amp;A101&amp;") - (L"&amp;A100&amp;" * L"&amp;A101&amp;")"</f>
        <v>(L56 + L57) - (L56 * L57)</v>
      </c>
      <c r="K102" s="970" t="s">
        <v>2690</v>
      </c>
    </row>
    <row r="103" spans="1:11" x14ac:dyDescent="0.25">
      <c r="A103" s="2"/>
      <c r="K103" s="7"/>
    </row>
    <row r="104" spans="1:11" x14ac:dyDescent="0.25">
      <c r="A104" s="2"/>
      <c r="B104" s="76" t="s">
        <v>286</v>
      </c>
      <c r="K104" s="7"/>
    </row>
    <row r="105" spans="1:11" x14ac:dyDescent="0.25">
      <c r="A105" s="103">
        <f>A102+1</f>
        <v>59</v>
      </c>
      <c r="B105" s="550" t="s">
        <v>2174</v>
      </c>
      <c r="C105" s="13"/>
      <c r="D105" s="13"/>
      <c r="E105" s="13"/>
      <c r="F105" s="13"/>
      <c r="G105" s="13"/>
      <c r="H105" s="11" t="s">
        <v>396</v>
      </c>
      <c r="I105" s="13"/>
      <c r="K105" s="61">
        <v>200</v>
      </c>
    </row>
    <row r="106" spans="1:11" x14ac:dyDescent="0.25">
      <c r="A106" s="2">
        <f>A105+1</f>
        <v>60</v>
      </c>
      <c r="B106" s="550" t="s">
        <v>2175</v>
      </c>
      <c r="C106" s="13"/>
      <c r="D106" s="13"/>
      <c r="E106" s="13"/>
      <c r="F106" s="13"/>
      <c r="G106" s="13"/>
      <c r="H106" s="11" t="s">
        <v>396</v>
      </c>
      <c r="I106" s="13"/>
      <c r="K106" s="61">
        <v>-520000</v>
      </c>
    </row>
    <row r="107" spans="1:11" x14ac:dyDescent="0.25">
      <c r="A107" s="2">
        <f>A106+1</f>
        <v>61</v>
      </c>
      <c r="B107" s="550" t="s">
        <v>2176</v>
      </c>
      <c r="C107" s="13"/>
      <c r="D107" s="13"/>
      <c r="E107" s="13"/>
      <c r="F107" s="13"/>
      <c r="G107" s="13"/>
      <c r="H107" s="11" t="s">
        <v>396</v>
      </c>
      <c r="I107" s="13"/>
      <c r="K107" s="104">
        <v>2606000</v>
      </c>
    </row>
    <row r="108" spans="1:11" x14ac:dyDescent="0.25">
      <c r="A108" s="577">
        <f>A107+1</f>
        <v>62</v>
      </c>
      <c r="B108" s="12" t="s">
        <v>287</v>
      </c>
      <c r="I108" s="466" t="str">
        <f>"Line "&amp;A105&amp;" + Line "&amp;A106&amp;"+ Line "&amp;A107&amp;""</f>
        <v>Line 59 + Line 60+ Line 61</v>
      </c>
      <c r="K108" s="61">
        <f>SUM(K105:K107)</f>
        <v>2086200</v>
      </c>
    </row>
    <row r="109" spans="1:11" x14ac:dyDescent="0.25">
      <c r="A109" s="103"/>
    </row>
    <row r="110" spans="1:11" x14ac:dyDescent="0.25">
      <c r="A110" s="103">
        <f>A108+1</f>
        <v>63</v>
      </c>
      <c r="B110" s="11" t="s">
        <v>288</v>
      </c>
      <c r="I110" t="str">
        <f>"Formula on Line "&amp;A112&amp;""</f>
        <v>Formula on Line 64</v>
      </c>
      <c r="K110" s="968">
        <v>0</v>
      </c>
    </row>
    <row r="111" spans="1:11" x14ac:dyDescent="0.25">
      <c r="A111" s="103"/>
    </row>
    <row r="112" spans="1:11" x14ac:dyDescent="0.25">
      <c r="A112" s="103">
        <f>A110+1</f>
        <v>64</v>
      </c>
      <c r="B112" s="468" t="s">
        <v>2685</v>
      </c>
      <c r="C112" s="13"/>
      <c r="D112" s="13"/>
      <c r="E112" s="13"/>
      <c r="F112" s="13"/>
      <c r="G112" s="13"/>
      <c r="H112" s="13"/>
      <c r="I112" s="13"/>
    </row>
    <row r="113" spans="1:11" x14ac:dyDescent="0.25">
      <c r="A113" s="59"/>
      <c r="B113" s="13"/>
      <c r="C113" s="13"/>
      <c r="D113" s="13"/>
      <c r="E113" s="13"/>
      <c r="F113" s="13"/>
      <c r="G113" s="13"/>
      <c r="H113" s="13"/>
      <c r="I113" s="14"/>
    </row>
    <row r="114" spans="1:11" x14ac:dyDescent="0.25">
      <c r="A114" s="59"/>
      <c r="B114" s="13"/>
      <c r="C114" s="13" t="s">
        <v>240</v>
      </c>
      <c r="D114" s="13"/>
      <c r="E114" s="13"/>
      <c r="F114" s="13"/>
      <c r="G114" s="13"/>
      <c r="H114" s="13"/>
      <c r="I114" s="13"/>
    </row>
    <row r="115" spans="1:11" x14ac:dyDescent="0.25">
      <c r="A115" s="59"/>
      <c r="B115" s="13"/>
      <c r="C115" s="105" t="s">
        <v>241</v>
      </c>
      <c r="D115" s="13"/>
      <c r="E115" s="13"/>
      <c r="F115" s="13"/>
      <c r="G115" s="13"/>
      <c r="H115" s="13"/>
      <c r="I115" s="14" t="str">
        <f>"Line "&amp;A34&amp;""</f>
        <v>Line 17</v>
      </c>
    </row>
    <row r="116" spans="1:11" x14ac:dyDescent="0.25">
      <c r="A116" s="59"/>
      <c r="B116" s="13"/>
      <c r="C116" s="465" t="s">
        <v>1970</v>
      </c>
      <c r="D116" s="13"/>
      <c r="E116" s="13"/>
      <c r="F116" s="13"/>
      <c r="G116" s="13"/>
      <c r="H116" s="13"/>
      <c r="I116" s="14" t="str">
        <f>"Line "&amp;A93&amp;""</f>
        <v>Line 54</v>
      </c>
    </row>
    <row r="117" spans="1:11" x14ac:dyDescent="0.25">
      <c r="A117" s="59"/>
      <c r="B117" s="13"/>
      <c r="C117" s="105" t="s">
        <v>242</v>
      </c>
      <c r="D117" s="13"/>
      <c r="E117" s="13"/>
      <c r="F117" s="13"/>
      <c r="G117" s="13"/>
      <c r="H117" s="13"/>
      <c r="I117" s="14" t="str">
        <f>"Line "&amp;A102&amp;""</f>
        <v>Line 58</v>
      </c>
    </row>
    <row r="118" spans="1:11" x14ac:dyDescent="0.25">
      <c r="A118" s="59"/>
      <c r="B118" s="13"/>
      <c r="C118" s="105" t="s">
        <v>243</v>
      </c>
      <c r="D118" s="13"/>
      <c r="E118" s="13"/>
      <c r="F118" s="13"/>
      <c r="G118" s="13"/>
      <c r="H118" s="13"/>
      <c r="I118" s="14" t="str">
        <f>"Line "&amp;A108&amp;""</f>
        <v>Line 62</v>
      </c>
    </row>
    <row r="119" spans="1:11" x14ac:dyDescent="0.25">
      <c r="A119" s="485"/>
      <c r="B119" s="13"/>
      <c r="C119" s="105" t="s">
        <v>1967</v>
      </c>
      <c r="D119" s="13"/>
      <c r="E119" s="13"/>
      <c r="F119" s="13"/>
      <c r="G119" s="13"/>
      <c r="H119" s="13"/>
      <c r="I119" s="13" t="s">
        <v>33</v>
      </c>
      <c r="K119" s="966">
        <v>0</v>
      </c>
    </row>
    <row r="121" spans="1:11" x14ac:dyDescent="0.25">
      <c r="A121" s="9" t="s">
        <v>72</v>
      </c>
      <c r="B121" s="10"/>
      <c r="C121" s="10"/>
      <c r="D121" s="10"/>
      <c r="E121" s="10"/>
      <c r="F121" s="10"/>
      <c r="G121" s="10"/>
      <c r="H121" s="8"/>
      <c r="I121" s="8"/>
      <c r="J121" s="8"/>
      <c r="K121" s="8"/>
    </row>
    <row r="123" spans="1:11" x14ac:dyDescent="0.25">
      <c r="B123" s="76" t="s">
        <v>289</v>
      </c>
    </row>
    <row r="124" spans="1:11" x14ac:dyDescent="0.25">
      <c r="A124" s="103">
        <f>A112+1</f>
        <v>65</v>
      </c>
      <c r="B124" t="s">
        <v>112</v>
      </c>
      <c r="H124" s="15"/>
      <c r="I124" s="13" t="str">
        <f>"19-OandM, Line "&amp;'19-OandM'!A170&amp;", Col. 6"</f>
        <v>19-OandM, Line 137, Col. 6</v>
      </c>
      <c r="K124" s="968">
        <v>0</v>
      </c>
    </row>
    <row r="125" spans="1:11" x14ac:dyDescent="0.25">
      <c r="A125" s="103">
        <f t="shared" ref="A125:A139" si="1">A124+1</f>
        <v>66</v>
      </c>
      <c r="B125" s="11" t="s">
        <v>290</v>
      </c>
      <c r="H125" s="15"/>
      <c r="I125" s="13" t="str">
        <f>"20-AandG, Line "&amp;'20-AandG'!A30&amp;""</f>
        <v>20-AandG, Line 23</v>
      </c>
      <c r="K125" s="968">
        <v>0</v>
      </c>
    </row>
    <row r="126" spans="1:11" x14ac:dyDescent="0.25">
      <c r="A126" s="103">
        <f t="shared" si="1"/>
        <v>67</v>
      </c>
      <c r="B126" t="s">
        <v>65</v>
      </c>
      <c r="H126" s="15"/>
      <c r="I126" s="14" t="str">
        <f>"22-NUCs, Line "&amp;'22-NUCs'!A19&amp;""</f>
        <v>22-NUCs, Line 10</v>
      </c>
      <c r="K126" s="968">
        <v>0</v>
      </c>
    </row>
    <row r="127" spans="1:11" x14ac:dyDescent="0.25">
      <c r="A127" s="103">
        <f t="shared" si="1"/>
        <v>68</v>
      </c>
      <c r="B127" s="11" t="s">
        <v>276</v>
      </c>
      <c r="H127" s="15"/>
      <c r="I127" s="13" t="str">
        <f>"17-Depreciation, Line "&amp;'17-Depreciation'!A95&amp;""</f>
        <v>17-Depreciation, Line 70</v>
      </c>
      <c r="K127" s="968">
        <v>0</v>
      </c>
    </row>
    <row r="128" spans="1:11" x14ac:dyDescent="0.25">
      <c r="A128" s="103">
        <f t="shared" si="1"/>
        <v>69</v>
      </c>
      <c r="B128" s="11" t="s">
        <v>322</v>
      </c>
      <c r="H128" s="15"/>
      <c r="I128" s="13" t="str">
        <f>"12-AbandonedPlant, Line "&amp;'12-AbandonedPlant'!A18&amp;""</f>
        <v>12-AbandonedPlant, Line 1</v>
      </c>
      <c r="K128" s="968">
        <v>0</v>
      </c>
    </row>
    <row r="129" spans="1:11" x14ac:dyDescent="0.25">
      <c r="A129" s="103">
        <f t="shared" si="1"/>
        <v>70</v>
      </c>
      <c r="B129" s="11" t="s">
        <v>89</v>
      </c>
      <c r="H129" s="15"/>
      <c r="I129" s="13" t="str">
        <f>"Line "&amp;A58&amp;""</f>
        <v>Line 35</v>
      </c>
      <c r="K129" s="968">
        <v>0</v>
      </c>
    </row>
    <row r="130" spans="1:11" x14ac:dyDescent="0.25">
      <c r="A130" s="103">
        <f t="shared" si="1"/>
        <v>71</v>
      </c>
      <c r="B130" t="s">
        <v>11</v>
      </c>
      <c r="H130" s="45" t="s">
        <v>168</v>
      </c>
      <c r="I130" s="13" t="str">
        <f>"21-Revenue Credits, Line "&amp;'21-RevenueCredits'!A216&amp;""</f>
        <v>21-Revenue Credits, Line 44</v>
      </c>
      <c r="K130" s="968">
        <v>0</v>
      </c>
    </row>
    <row r="131" spans="1:11" x14ac:dyDescent="0.25">
      <c r="A131" s="103">
        <f t="shared" si="1"/>
        <v>72</v>
      </c>
      <c r="B131" t="s">
        <v>97</v>
      </c>
      <c r="H131" s="15"/>
      <c r="I131" s="13" t="str">
        <f>"Line "&amp;A95&amp;""</f>
        <v>Line 55</v>
      </c>
      <c r="K131" s="968">
        <v>0</v>
      </c>
    </row>
    <row r="132" spans="1:11" x14ac:dyDescent="0.25">
      <c r="A132" s="103">
        <f t="shared" si="1"/>
        <v>73</v>
      </c>
      <c r="B132" t="s">
        <v>5</v>
      </c>
      <c r="H132" s="15"/>
      <c r="I132" s="13" t="str">
        <f>"Line "&amp;A110&amp;""</f>
        <v>Line 63</v>
      </c>
      <c r="K132" s="968">
        <v>0</v>
      </c>
    </row>
    <row r="133" spans="1:11" x14ac:dyDescent="0.25">
      <c r="A133" s="103">
        <f t="shared" si="1"/>
        <v>74</v>
      </c>
      <c r="B133" t="s">
        <v>1040</v>
      </c>
      <c r="H133" s="12" t="s">
        <v>1284</v>
      </c>
      <c r="I133" s="14" t="str">
        <f>"11-PHFU, Line "&amp;'11-PHFU'!A46&amp;""</f>
        <v>11-PHFU, Line 10</v>
      </c>
      <c r="K133" s="968">
        <v>0</v>
      </c>
    </row>
    <row r="134" spans="1:11" x14ac:dyDescent="0.25">
      <c r="A134" s="103">
        <f t="shared" si="1"/>
        <v>75</v>
      </c>
      <c r="B134" s="590" t="s">
        <v>1952</v>
      </c>
      <c r="C134" s="707"/>
      <c r="D134" s="13"/>
      <c r="E134" s="13"/>
      <c r="H134" s="15"/>
      <c r="I134" s="14" t="str">
        <f>"23-RegAssets, Line "&amp;'23-RegAssets'!A19&amp;""</f>
        <v>23-RegAssets, Line 16</v>
      </c>
      <c r="K134" s="968">
        <v>0</v>
      </c>
    </row>
    <row r="135" spans="1:11" ht="15" x14ac:dyDescent="0.4">
      <c r="A135" s="103">
        <f t="shared" si="1"/>
        <v>76</v>
      </c>
      <c r="B135" s="11" t="s">
        <v>291</v>
      </c>
      <c r="H135" s="15"/>
      <c r="I135" s="13" t="str">
        <f>"15-IncentiveAdder, Line "&amp;'15-IncentiveAdder'!A44&amp;""</f>
        <v>15-IncentiveAdder, Line 14</v>
      </c>
      <c r="K135" s="969">
        <v>0</v>
      </c>
    </row>
    <row r="136" spans="1:11" x14ac:dyDescent="0.25">
      <c r="A136" s="103">
        <f t="shared" si="1"/>
        <v>77</v>
      </c>
      <c r="B136" s="11" t="s">
        <v>1628</v>
      </c>
      <c r="H136" s="15"/>
      <c r="I136" s="13" t="str">
        <f>"Sum of Lines "&amp;A124&amp;" to "&amp;A135&amp;""</f>
        <v>Sum of Lines 65 to 76</v>
      </c>
      <c r="K136" s="968">
        <v>0</v>
      </c>
    </row>
    <row r="137" spans="1:11" x14ac:dyDescent="0.25">
      <c r="A137" s="103"/>
      <c r="B137" s="11"/>
      <c r="H137" s="15"/>
      <c r="I137" s="13"/>
      <c r="K137" s="6"/>
    </row>
    <row r="138" spans="1:11" x14ac:dyDescent="0.25">
      <c r="A138" s="103">
        <f>A136+1</f>
        <v>78</v>
      </c>
      <c r="B138" s="11" t="s">
        <v>316</v>
      </c>
      <c r="I138" s="13" t="str">
        <f>"L "&amp;A136&amp;" * FF Factor (28-FFU, L "&amp;'28-FFU'!A22&amp;")"</f>
        <v>L 77 * FF Factor (28-FFU, L 5)</v>
      </c>
      <c r="J138" s="13"/>
      <c r="K138" s="968">
        <v>0</v>
      </c>
    </row>
    <row r="139" spans="1:11" x14ac:dyDescent="0.25">
      <c r="A139" s="103">
        <f t="shared" si="1"/>
        <v>79</v>
      </c>
      <c r="B139" s="11" t="s">
        <v>315</v>
      </c>
      <c r="I139" s="13" t="str">
        <f>"L "&amp;A136&amp;" * U Factor (28-FFU, L "&amp;'28-FFU'!A22&amp;")"</f>
        <v>L 77 * U Factor (28-FFU, L 5)</v>
      </c>
      <c r="J139" s="13"/>
      <c r="K139" s="968">
        <v>0</v>
      </c>
    </row>
    <row r="140" spans="1:11" x14ac:dyDescent="0.25">
      <c r="A140" s="103"/>
      <c r="B140" s="11"/>
      <c r="K140" s="6"/>
    </row>
    <row r="141" spans="1:11" x14ac:dyDescent="0.25">
      <c r="A141" s="103">
        <f>A139+1</f>
        <v>80</v>
      </c>
      <c r="B141" s="11" t="s">
        <v>106</v>
      </c>
      <c r="I141" t="str">
        <f>"Line "&amp;A136&amp;" + Line "&amp;A138&amp;"+ Line "&amp;A139&amp;""</f>
        <v>Line 77 + Line 78+ Line 79</v>
      </c>
      <c r="K141" s="968">
        <v>0</v>
      </c>
    </row>
    <row r="143" spans="1:11" x14ac:dyDescent="0.25">
      <c r="A143" s="9" t="s">
        <v>292</v>
      </c>
      <c r="B143" s="10"/>
      <c r="C143" s="10"/>
      <c r="D143" s="10"/>
      <c r="E143" s="10"/>
      <c r="F143" s="10"/>
      <c r="G143" s="10"/>
      <c r="H143" s="8"/>
      <c r="I143" s="8"/>
      <c r="J143" s="8"/>
      <c r="K143" s="8"/>
    </row>
    <row r="145" spans="1:11" x14ac:dyDescent="0.25">
      <c r="B145" s="76" t="s">
        <v>1860</v>
      </c>
    </row>
    <row r="146" spans="1:11" x14ac:dyDescent="0.25">
      <c r="A146" s="103">
        <f>A141+1</f>
        <v>81</v>
      </c>
      <c r="B146" t="s">
        <v>106</v>
      </c>
      <c r="I146" t="str">
        <f>"Line "&amp;A141&amp;""</f>
        <v>Line 80</v>
      </c>
      <c r="K146" s="968">
        <v>0</v>
      </c>
    </row>
    <row r="147" spans="1:11" x14ac:dyDescent="0.25">
      <c r="A147" s="103">
        <f>A146+1</f>
        <v>82</v>
      </c>
      <c r="B147" t="s">
        <v>349</v>
      </c>
      <c r="I147" s="14" t="str">
        <f>"2-IFPTRR, Line "&amp;'2-IFPTRR'!A91&amp;""</f>
        <v>2-IFPTRR, Line 82</v>
      </c>
      <c r="K147" s="968">
        <v>0</v>
      </c>
    </row>
    <row r="148" spans="1:11" x14ac:dyDescent="0.25">
      <c r="A148" s="103">
        <f>A147+1</f>
        <v>83</v>
      </c>
      <c r="B148" s="11" t="s">
        <v>29</v>
      </c>
      <c r="H148" s="11" t="s">
        <v>1291</v>
      </c>
      <c r="I148" s="14" t="str">
        <f>"3-TrueUpAdjust, Line "&amp;'3-TrueUpAdjust'!A75&amp;""</f>
        <v>3-TrueUpAdjust, Line 62</v>
      </c>
      <c r="K148" s="968">
        <v>0</v>
      </c>
    </row>
    <row r="149" spans="1:11" x14ac:dyDescent="0.25">
      <c r="A149" s="103">
        <f t="shared" ref="A149:A150" si="2">A148+1</f>
        <v>84</v>
      </c>
      <c r="B149" s="11"/>
      <c r="D149" s="91" t="s">
        <v>1339</v>
      </c>
      <c r="E149" s="537" t="s">
        <v>86</v>
      </c>
      <c r="F149" s="11" t="s">
        <v>1340</v>
      </c>
      <c r="I149" s="14"/>
      <c r="K149" s="98"/>
    </row>
    <row r="150" spans="1:11" ht="15" x14ac:dyDescent="0.4">
      <c r="A150" s="103">
        <f t="shared" si="2"/>
        <v>85</v>
      </c>
      <c r="B150" s="468" t="s">
        <v>2277</v>
      </c>
      <c r="C150" s="13"/>
      <c r="H150" s="11" t="s">
        <v>1306</v>
      </c>
      <c r="I150" s="13"/>
      <c r="K150" s="967">
        <v>0</v>
      </c>
    </row>
    <row r="151" spans="1:11" x14ac:dyDescent="0.25">
      <c r="A151" s="103"/>
      <c r="I151" s="13"/>
      <c r="K151" s="6"/>
    </row>
    <row r="152" spans="1:11" x14ac:dyDescent="0.25">
      <c r="A152" s="103">
        <f>A150+1</f>
        <v>86</v>
      </c>
      <c r="B152" s="466" t="s">
        <v>1858</v>
      </c>
      <c r="H152" s="11" t="s">
        <v>293</v>
      </c>
      <c r="I152" s="13" t="str">
        <f>"L "&amp;A146&amp;" + L "&amp;A147&amp;" + L "&amp;A148&amp;" + L "&amp;A150&amp;""</f>
        <v>L 81 + L 82 + L 83 + L 85</v>
      </c>
      <c r="K152" s="968">
        <v>0</v>
      </c>
    </row>
    <row r="153" spans="1:11" x14ac:dyDescent="0.25">
      <c r="A153" s="103"/>
      <c r="I153" s="13"/>
      <c r="K153" s="6"/>
    </row>
    <row r="154" spans="1:11" x14ac:dyDescent="0.25">
      <c r="A154" s="103"/>
      <c r="B154" s="76" t="s">
        <v>1859</v>
      </c>
      <c r="I154" s="13"/>
      <c r="K154" s="6"/>
    </row>
    <row r="155" spans="1:11" x14ac:dyDescent="0.25">
      <c r="A155" s="103">
        <f>A152+1</f>
        <v>87</v>
      </c>
      <c r="B155" t="s">
        <v>1551</v>
      </c>
      <c r="I155" s="13" t="str">
        <f>"Line "&amp;A152&amp;""</f>
        <v>Line 86</v>
      </c>
      <c r="K155" s="968">
        <v>0</v>
      </c>
    </row>
    <row r="156" spans="1:11" ht="15" x14ac:dyDescent="0.4">
      <c r="A156" s="103">
        <f>A155+1</f>
        <v>88</v>
      </c>
      <c r="B156" t="s">
        <v>1550</v>
      </c>
      <c r="I156" s="14" t="str">
        <f>"25-WholesaleDifference, Line "&amp;'25-WholesaleDifference'!A92&amp;""</f>
        <v>25-WholesaleDifference, Line 44</v>
      </c>
      <c r="K156" s="969">
        <v>0</v>
      </c>
    </row>
    <row r="157" spans="1:11" x14ac:dyDescent="0.25">
      <c r="A157" s="103">
        <f>A156+1</f>
        <v>89</v>
      </c>
      <c r="B157" t="s">
        <v>1859</v>
      </c>
      <c r="I157" t="str">
        <f>"Line "&amp;A155&amp;" + Line "&amp;A156&amp;""</f>
        <v>Line 87 + Line 88</v>
      </c>
      <c r="K157" s="968">
        <v>0</v>
      </c>
    </row>
    <row r="158" spans="1:11" x14ac:dyDescent="0.25">
      <c r="A158" s="13"/>
      <c r="H158" s="11"/>
    </row>
    <row r="160" spans="1:11" x14ac:dyDescent="0.25">
      <c r="B160" s="49" t="s">
        <v>256</v>
      </c>
    </row>
    <row r="161" spans="2:11" x14ac:dyDescent="0.25">
      <c r="B161" s="468" t="s">
        <v>2720</v>
      </c>
      <c r="C161" s="13"/>
      <c r="D161" s="13"/>
      <c r="E161" s="13"/>
      <c r="F161" s="13"/>
      <c r="G161" s="13"/>
      <c r="H161" s="13"/>
      <c r="I161" s="13"/>
      <c r="J161" s="13"/>
      <c r="K161" s="13"/>
    </row>
    <row r="162" spans="2:11" x14ac:dyDescent="0.25">
      <c r="B162" s="468" t="s">
        <v>1877</v>
      </c>
      <c r="C162" s="13"/>
      <c r="D162" s="13"/>
      <c r="E162" s="13"/>
      <c r="F162" s="13"/>
      <c r="G162" s="13"/>
      <c r="H162" s="13"/>
      <c r="I162" s="13"/>
      <c r="J162" s="13"/>
      <c r="K162" s="13"/>
    </row>
    <row r="163" spans="2:11" x14ac:dyDescent="0.25">
      <c r="B163" s="468" t="s">
        <v>2166</v>
      </c>
      <c r="C163" s="13"/>
      <c r="D163" s="13"/>
      <c r="E163" s="13"/>
      <c r="F163" s="13"/>
      <c r="G163" s="13"/>
      <c r="H163" s="13"/>
      <c r="I163" s="13"/>
      <c r="J163" s="13"/>
      <c r="K163" s="13"/>
    </row>
    <row r="164" spans="2:11" x14ac:dyDescent="0.25">
      <c r="B164" s="468"/>
      <c r="C164" s="13" t="s">
        <v>2165</v>
      </c>
      <c r="D164" s="13"/>
      <c r="E164" s="13"/>
      <c r="F164" s="1018" t="s">
        <v>86</v>
      </c>
      <c r="G164" s="94"/>
      <c r="H164" s="94"/>
      <c r="I164" s="13"/>
      <c r="J164" s="13"/>
      <c r="K164" s="13"/>
    </row>
    <row r="165" spans="2:11" x14ac:dyDescent="0.25">
      <c r="B165" s="466" t="s">
        <v>2177</v>
      </c>
      <c r="C165" s="13"/>
      <c r="D165" s="13"/>
      <c r="E165" s="13"/>
      <c r="F165" s="13"/>
      <c r="G165" s="13"/>
      <c r="H165" s="13"/>
      <c r="I165" s="13"/>
    </row>
    <row r="166" spans="2:11" x14ac:dyDescent="0.25">
      <c r="B166" s="11" t="s">
        <v>1612</v>
      </c>
    </row>
    <row r="167" spans="2:11" x14ac:dyDescent="0.25">
      <c r="B167" s="468" t="s">
        <v>2683</v>
      </c>
    </row>
  </sheetData>
  <phoneticPr fontId="9" type="noConversion"/>
  <pageMargins left="0.75" right="0.75" top="1" bottom="1" header="0.5" footer="0.5"/>
  <pageSetup scale="65" orientation="portrait" cellComments="asDisplayed" r:id="rId1"/>
  <headerFooter alignWithMargins="0">
    <oddHeader xml:space="preserve">&amp;C&amp;"Arial,Bold"Schedule 1
Base TRR&amp;"Arial,Regular"
</oddHeader>
    <oddFooter>&amp;R&amp;A</oddFooter>
  </headerFooter>
  <rowBreaks count="2" manualBreakCount="2">
    <brk id="59" max="16383" man="1"/>
    <brk id="120" max="16383" man="1"/>
  </rowBreaks>
  <colBreaks count="1" manualBreakCount="1">
    <brk id="1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90" zoomScaleNormal="90" workbookViewId="0">
      <selection activeCell="C25" sqref="C25"/>
    </sheetView>
  </sheetViews>
  <sheetFormatPr defaultRowHeight="13.2" x14ac:dyDescent="0.25"/>
  <cols>
    <col min="1" max="1" width="4.6640625" customWidth="1"/>
    <col min="2" max="2" width="20.6640625" customWidth="1"/>
    <col min="3" max="4" width="16.6640625" customWidth="1"/>
    <col min="5" max="5" width="24.6640625" customWidth="1"/>
    <col min="6" max="6" width="9.109375" customWidth="1"/>
    <col min="10" max="10" width="18.5546875" customWidth="1"/>
    <col min="11" max="11" width="20.88671875" customWidth="1"/>
  </cols>
  <sheetData>
    <row r="1" spans="1:6" x14ac:dyDescent="0.25">
      <c r="A1" s="1" t="s">
        <v>1183</v>
      </c>
    </row>
    <row r="2" spans="1:6" x14ac:dyDescent="0.25">
      <c r="A2" s="1"/>
    </row>
    <row r="3" spans="1:6" x14ac:dyDescent="0.25">
      <c r="B3" s="11" t="s">
        <v>454</v>
      </c>
    </row>
    <row r="4" spans="1:6" x14ac:dyDescent="0.25">
      <c r="A4" s="1"/>
      <c r="B4" s="12" t="s">
        <v>372</v>
      </c>
    </row>
    <row r="5" spans="1:6" x14ac:dyDescent="0.25">
      <c r="A5" s="1"/>
      <c r="B5" s="12" t="s">
        <v>373</v>
      </c>
    </row>
    <row r="7" spans="1:6" x14ac:dyDescent="0.25">
      <c r="B7" s="1" t="s">
        <v>1093</v>
      </c>
    </row>
    <row r="8" spans="1:6" x14ac:dyDescent="0.25">
      <c r="E8" s="15"/>
    </row>
    <row r="9" spans="1:6" x14ac:dyDescent="0.25">
      <c r="A9" s="49" t="s">
        <v>360</v>
      </c>
      <c r="B9" s="71" t="s">
        <v>1182</v>
      </c>
    </row>
    <row r="10" spans="1:6" x14ac:dyDescent="0.25">
      <c r="A10" s="2">
        <v>1</v>
      </c>
    </row>
    <row r="11" spans="1:6" x14ac:dyDescent="0.25">
      <c r="A11" s="2">
        <f>A10+1</f>
        <v>2</v>
      </c>
      <c r="B11" s="350" t="s">
        <v>1618</v>
      </c>
      <c r="C11" s="13"/>
      <c r="D11" s="13"/>
      <c r="E11" s="13"/>
      <c r="F11" s="13"/>
    </row>
    <row r="12" spans="1:6" x14ac:dyDescent="0.25">
      <c r="A12" s="2">
        <f t="shared" ref="A12:A87" si="0">A11+1</f>
        <v>3</v>
      </c>
      <c r="B12" s="350" t="s">
        <v>1142</v>
      </c>
      <c r="C12" s="13"/>
      <c r="D12" s="13"/>
      <c r="E12" s="13"/>
      <c r="F12" s="13"/>
    </row>
    <row r="13" spans="1:6" x14ac:dyDescent="0.25">
      <c r="A13" s="2">
        <f t="shared" si="0"/>
        <v>4</v>
      </c>
      <c r="B13" s="350"/>
      <c r="C13" s="13"/>
      <c r="D13" s="13"/>
      <c r="E13" s="13"/>
      <c r="F13" s="13"/>
    </row>
    <row r="14" spans="1:6" x14ac:dyDescent="0.25">
      <c r="A14" s="2">
        <f t="shared" si="0"/>
        <v>5</v>
      </c>
      <c r="B14" s="919" t="s">
        <v>2721</v>
      </c>
      <c r="C14" s="13"/>
      <c r="D14" s="13"/>
      <c r="E14" s="13"/>
      <c r="F14" s="13"/>
    </row>
    <row r="15" spans="1:6" x14ac:dyDescent="0.25">
      <c r="A15" s="2">
        <f t="shared" si="0"/>
        <v>6</v>
      </c>
      <c r="B15" s="351"/>
      <c r="C15" s="13"/>
      <c r="D15" s="13"/>
      <c r="E15" s="13"/>
      <c r="F15" s="13"/>
    </row>
    <row r="16" spans="1:6" x14ac:dyDescent="0.25">
      <c r="A16" s="2">
        <f t="shared" si="0"/>
        <v>7</v>
      </c>
      <c r="B16" s="350" t="s">
        <v>399</v>
      </c>
      <c r="C16" s="13"/>
      <c r="D16" s="13"/>
      <c r="E16" s="13"/>
      <c r="F16" s="348"/>
    </row>
    <row r="17" spans="1:7" x14ac:dyDescent="0.25">
      <c r="A17" s="2">
        <f t="shared" si="0"/>
        <v>8</v>
      </c>
      <c r="B17" s="352" t="s">
        <v>1138</v>
      </c>
      <c r="C17" s="13"/>
      <c r="D17" s="13"/>
      <c r="E17" s="13"/>
      <c r="F17" s="67"/>
    </row>
    <row r="18" spans="1:7" x14ac:dyDescent="0.25">
      <c r="A18" s="2">
        <f t="shared" si="0"/>
        <v>9</v>
      </c>
      <c r="B18" s="352" t="s">
        <v>1139</v>
      </c>
      <c r="C18" s="13"/>
      <c r="D18" s="13"/>
      <c r="E18" s="13"/>
      <c r="F18" s="67"/>
    </row>
    <row r="19" spans="1:7" x14ac:dyDescent="0.25">
      <c r="A19" s="2">
        <f t="shared" si="0"/>
        <v>10</v>
      </c>
      <c r="B19" s="352" t="s">
        <v>242</v>
      </c>
      <c r="C19" s="13"/>
      <c r="D19" s="13"/>
      <c r="E19" s="340"/>
      <c r="F19" s="61"/>
    </row>
    <row r="20" spans="1:7" x14ac:dyDescent="0.25">
      <c r="A20" s="2">
        <f t="shared" si="0"/>
        <v>11</v>
      </c>
      <c r="B20" s="43"/>
      <c r="C20" s="13"/>
      <c r="D20" s="340"/>
      <c r="E20" s="113" t="s">
        <v>224</v>
      </c>
      <c r="F20" s="13"/>
    </row>
    <row r="21" spans="1:7" x14ac:dyDescent="0.25">
      <c r="A21" s="2">
        <f t="shared" si="0"/>
        <v>12</v>
      </c>
      <c r="C21" s="340" t="s">
        <v>1197</v>
      </c>
      <c r="D21" s="970" t="s">
        <v>2690</v>
      </c>
      <c r="E21" s="45" t="str">
        <f>"1-BaseTRR, Line "&amp;'1-BaseTRR'!A88&amp;""</f>
        <v>1-BaseTRR, Line 50</v>
      </c>
      <c r="F21" s="13"/>
      <c r="G21" s="13"/>
    </row>
    <row r="22" spans="1:7" x14ac:dyDescent="0.25">
      <c r="A22" s="2">
        <f t="shared" si="0"/>
        <v>13</v>
      </c>
      <c r="C22" s="340" t="s">
        <v>1198</v>
      </c>
      <c r="D22" s="970" t="s">
        <v>2690</v>
      </c>
      <c r="E22" s="45" t="str">
        <f>"1-BaseTRR, Line "&amp;'1-BaseTRR'!A93&amp;""</f>
        <v>1-BaseTRR, Line 54</v>
      </c>
      <c r="F22" s="13"/>
      <c r="G22" s="13"/>
    </row>
    <row r="23" spans="1:7" x14ac:dyDescent="0.25">
      <c r="A23" s="2">
        <f t="shared" si="0"/>
        <v>14</v>
      </c>
      <c r="C23" s="340" t="s">
        <v>1141</v>
      </c>
      <c r="D23" s="970" t="s">
        <v>2690</v>
      </c>
      <c r="E23" s="45" t="str">
        <f>"1-BaseTRR, Line "&amp;'1-BaseTRR'!A102&amp;""</f>
        <v>1-BaseTRR, Line 58</v>
      </c>
      <c r="F23" s="13"/>
      <c r="G23" s="13"/>
    </row>
    <row r="24" spans="1:7" x14ac:dyDescent="0.25">
      <c r="A24" s="2">
        <f t="shared" si="0"/>
        <v>15</v>
      </c>
      <c r="B24" s="14"/>
      <c r="C24" s="13"/>
      <c r="D24" s="349"/>
      <c r="E24" s="45"/>
      <c r="F24" s="13"/>
      <c r="G24" s="13"/>
    </row>
    <row r="25" spans="1:7" x14ac:dyDescent="0.25">
      <c r="A25" s="2">
        <f t="shared" si="0"/>
        <v>16</v>
      </c>
      <c r="C25" s="340" t="s">
        <v>1140</v>
      </c>
      <c r="D25" s="970" t="s">
        <v>2690</v>
      </c>
      <c r="E25" s="45" t="str">
        <f>"Line "&amp;A21&amp;" + (Line "&amp;A22&amp;" * (1/(1 - Line "&amp;A23&amp;")))"</f>
        <v>Line 12 + (Line 13 * (1/(1 - Line 14)))</v>
      </c>
      <c r="F25" s="13"/>
      <c r="G25" s="13"/>
    </row>
    <row r="26" spans="1:7" x14ac:dyDescent="0.25">
      <c r="A26" s="2">
        <f t="shared" si="0"/>
        <v>17</v>
      </c>
      <c r="B26" s="14"/>
      <c r="C26" s="13"/>
      <c r="D26" s="340"/>
      <c r="E26" s="45"/>
      <c r="F26" s="13"/>
      <c r="G26" s="13"/>
    </row>
    <row r="27" spans="1:7" x14ac:dyDescent="0.25">
      <c r="A27" s="2">
        <f t="shared" si="0"/>
        <v>18</v>
      </c>
      <c r="B27" s="71" t="s">
        <v>1091</v>
      </c>
      <c r="C27" s="13"/>
      <c r="D27" s="340"/>
      <c r="E27" s="45"/>
      <c r="F27" s="13"/>
      <c r="G27" s="13"/>
    </row>
    <row r="28" spans="1:7" x14ac:dyDescent="0.25">
      <c r="A28" s="2">
        <f t="shared" si="0"/>
        <v>19</v>
      </c>
      <c r="B28" s="14"/>
      <c r="C28" s="13"/>
      <c r="D28" s="340"/>
      <c r="E28" s="45"/>
      <c r="F28" s="13"/>
      <c r="G28" s="13"/>
    </row>
    <row r="29" spans="1:7" x14ac:dyDescent="0.25">
      <c r="A29" s="2">
        <f t="shared" si="0"/>
        <v>20</v>
      </c>
      <c r="B29" s="350" t="s">
        <v>1199</v>
      </c>
      <c r="C29" s="13"/>
      <c r="D29" s="340"/>
      <c r="E29" s="45"/>
      <c r="F29" s="13"/>
      <c r="G29" s="13"/>
    </row>
    <row r="30" spans="1:7" x14ac:dyDescent="0.25">
      <c r="A30" s="2">
        <f t="shared" si="0"/>
        <v>21</v>
      </c>
      <c r="B30" s="350" t="s">
        <v>1200</v>
      </c>
      <c r="C30" s="13"/>
      <c r="D30" s="340"/>
      <c r="E30" s="45"/>
      <c r="F30" s="13"/>
      <c r="G30" s="13"/>
    </row>
    <row r="31" spans="1:7" x14ac:dyDescent="0.25">
      <c r="A31" s="2">
        <f t="shared" si="0"/>
        <v>22</v>
      </c>
      <c r="C31" s="13"/>
      <c r="D31" s="340"/>
      <c r="E31" s="45"/>
      <c r="F31" s="13"/>
      <c r="G31" s="13"/>
    </row>
    <row r="32" spans="1:7" x14ac:dyDescent="0.25">
      <c r="A32" s="2">
        <f t="shared" si="0"/>
        <v>23</v>
      </c>
      <c r="B32" s="352" t="s">
        <v>1143</v>
      </c>
      <c r="C32" s="13"/>
      <c r="D32" s="340"/>
      <c r="E32" s="45"/>
      <c r="F32" s="13"/>
      <c r="G32" s="13"/>
    </row>
    <row r="33" spans="1:11" x14ac:dyDescent="0.25">
      <c r="A33" s="2">
        <f t="shared" si="0"/>
        <v>24</v>
      </c>
      <c r="E33" s="13"/>
      <c r="F33" s="13"/>
      <c r="G33" s="13"/>
    </row>
    <row r="34" spans="1:11" x14ac:dyDescent="0.25">
      <c r="A34" s="2">
        <f t="shared" si="0"/>
        <v>25</v>
      </c>
      <c r="B34" s="71" t="s">
        <v>1181</v>
      </c>
      <c r="E34" s="13"/>
      <c r="F34" s="13"/>
      <c r="G34" s="13"/>
    </row>
    <row r="35" spans="1:11" x14ac:dyDescent="0.25">
      <c r="A35" s="2">
        <f t="shared" si="0"/>
        <v>26</v>
      </c>
      <c r="B35" s="11"/>
      <c r="E35" s="113" t="s">
        <v>224</v>
      </c>
      <c r="F35" s="13"/>
      <c r="G35" s="13"/>
    </row>
    <row r="36" spans="1:11" x14ac:dyDescent="0.25">
      <c r="A36" s="2">
        <f t="shared" si="0"/>
        <v>27</v>
      </c>
      <c r="C36" s="91" t="s">
        <v>1149</v>
      </c>
      <c r="D36" s="968">
        <v>0</v>
      </c>
      <c r="E36" s="45" t="str">
        <f>"6-PlantInService, Line "&amp;'6-PlantInService'!A23&amp;""</f>
        <v>6-PlantInService, Line 13</v>
      </c>
      <c r="F36" s="13"/>
      <c r="G36" s="13"/>
    </row>
    <row r="37" spans="1:11" x14ac:dyDescent="0.25">
      <c r="A37" s="2">
        <f t="shared" si="0"/>
        <v>28</v>
      </c>
      <c r="C37" s="91" t="s">
        <v>1150</v>
      </c>
      <c r="D37" s="968">
        <v>0</v>
      </c>
      <c r="E37" s="45" t="str">
        <f>"6-PlantInService, Line "&amp;'6-PlantInService'!A35&amp;""</f>
        <v>6-PlantInService, Line 16</v>
      </c>
      <c r="F37" s="13"/>
      <c r="G37" s="13"/>
    </row>
    <row r="38" spans="1:11" x14ac:dyDescent="0.25">
      <c r="A38" s="2">
        <f t="shared" si="0"/>
        <v>29</v>
      </c>
      <c r="C38" s="91" t="s">
        <v>1179</v>
      </c>
      <c r="D38" s="968">
        <v>0</v>
      </c>
      <c r="E38" s="45" t="str">
        <f>"8-AccDep, Line "&amp;'8-AccDep'!A24&amp;""</f>
        <v>8-AccDep, Line 13</v>
      </c>
      <c r="F38" s="13"/>
      <c r="G38" s="13"/>
    </row>
    <row r="39" spans="1:11" ht="15" x14ac:dyDescent="0.4">
      <c r="A39" s="2">
        <f t="shared" si="0"/>
        <v>30</v>
      </c>
      <c r="C39" s="91" t="s">
        <v>1180</v>
      </c>
      <c r="D39" s="969">
        <v>0</v>
      </c>
      <c r="E39" s="45" t="str">
        <f>"8-AccDep, Line "&amp;'8-AccDep'!A35&amp;""</f>
        <v>8-AccDep, Line 16</v>
      </c>
      <c r="F39" s="13"/>
      <c r="G39" s="13"/>
    </row>
    <row r="40" spans="1:11" x14ac:dyDescent="0.25">
      <c r="A40" s="2">
        <f t="shared" si="0"/>
        <v>31</v>
      </c>
      <c r="C40" s="91" t="s">
        <v>1092</v>
      </c>
      <c r="D40" s="968">
        <v>0</v>
      </c>
      <c r="E40" s="45" t="str">
        <f>"(L"&amp;A36&amp;" + L"&amp;A37&amp;") - (L"&amp;A38&amp;" + L"&amp;A39&amp;")"</f>
        <v>(L27 + L28) - (L29 + L30)</v>
      </c>
      <c r="F40" s="13"/>
      <c r="G40" s="13"/>
    </row>
    <row r="41" spans="1:11" x14ac:dyDescent="0.25">
      <c r="A41" s="2">
        <f t="shared" si="0"/>
        <v>32</v>
      </c>
      <c r="C41" s="91"/>
      <c r="D41" s="6"/>
      <c r="E41" s="45"/>
      <c r="F41" s="13"/>
      <c r="G41" s="13"/>
    </row>
    <row r="42" spans="1:11" x14ac:dyDescent="0.25">
      <c r="A42" s="2">
        <f t="shared" si="0"/>
        <v>33</v>
      </c>
      <c r="B42" s="71" t="s">
        <v>1598</v>
      </c>
      <c r="E42" s="13"/>
      <c r="F42" s="13"/>
      <c r="G42" s="13"/>
    </row>
    <row r="43" spans="1:11" x14ac:dyDescent="0.25">
      <c r="A43" s="453">
        <f t="shared" si="0"/>
        <v>34</v>
      </c>
      <c r="B43" s="71"/>
      <c r="E43" s="13"/>
      <c r="F43" s="13"/>
      <c r="G43" s="13"/>
    </row>
    <row r="44" spans="1:11" x14ac:dyDescent="0.25">
      <c r="A44" s="453">
        <f t="shared" si="0"/>
        <v>35</v>
      </c>
      <c r="B44" s="71" t="s">
        <v>1599</v>
      </c>
      <c r="E44" s="13"/>
      <c r="F44" s="13"/>
      <c r="G44" s="13"/>
    </row>
    <row r="45" spans="1:11" x14ac:dyDescent="0.25">
      <c r="A45" s="453">
        <f t="shared" si="0"/>
        <v>36</v>
      </c>
      <c r="B45" s="53" t="s">
        <v>1600</v>
      </c>
      <c r="E45" s="13"/>
      <c r="F45" s="13"/>
      <c r="G45" s="13"/>
    </row>
    <row r="46" spans="1:11" x14ac:dyDescent="0.25">
      <c r="A46" s="453">
        <f t="shared" si="0"/>
        <v>37</v>
      </c>
      <c r="B46" s="71"/>
      <c r="C46" s="91" t="s">
        <v>1619</v>
      </c>
      <c r="D46" s="968">
        <v>0</v>
      </c>
      <c r="E46" s="45" t="str">
        <f>"10-CWIP, L "&amp;'10-CWIP'!A25&amp;" C1"</f>
        <v>10-CWIP, L 13 C1</v>
      </c>
      <c r="F46" s="13"/>
      <c r="G46" s="13"/>
      <c r="K46" s="6"/>
    </row>
    <row r="47" spans="1:11" x14ac:dyDescent="0.25">
      <c r="A47" s="453">
        <f t="shared" si="0"/>
        <v>38</v>
      </c>
      <c r="B47" s="71"/>
      <c r="C47" s="91" t="s">
        <v>387</v>
      </c>
      <c r="D47" s="970" t="s">
        <v>2690</v>
      </c>
      <c r="E47" s="45" t="str">
        <f>"Line "&amp;A25&amp;""</f>
        <v>Line 16</v>
      </c>
      <c r="F47" s="13"/>
      <c r="G47" s="13"/>
      <c r="K47" s="6"/>
    </row>
    <row r="48" spans="1:11" x14ac:dyDescent="0.25">
      <c r="A48" s="453">
        <f t="shared" si="0"/>
        <v>39</v>
      </c>
      <c r="B48" s="71"/>
      <c r="C48" s="91" t="s">
        <v>1593</v>
      </c>
      <c r="D48" s="968">
        <v>0</v>
      </c>
      <c r="E48" s="45" t="str">
        <f>"Line "&amp;A46&amp;" * Line "&amp;A47&amp;""</f>
        <v>Line 37 * Line 38</v>
      </c>
      <c r="F48" s="13"/>
      <c r="G48" s="13"/>
      <c r="K48" s="6"/>
    </row>
    <row r="49" spans="1:11" x14ac:dyDescent="0.25">
      <c r="A49" s="453">
        <f t="shared" si="0"/>
        <v>40</v>
      </c>
      <c r="B49" s="71"/>
      <c r="C49" s="91"/>
      <c r="D49" s="98"/>
      <c r="E49" s="45"/>
      <c r="F49" s="13"/>
      <c r="G49" s="13"/>
      <c r="K49" s="6"/>
    </row>
    <row r="50" spans="1:11" x14ac:dyDescent="0.25">
      <c r="A50" s="453">
        <f t="shared" si="0"/>
        <v>41</v>
      </c>
      <c r="B50" s="53" t="s">
        <v>1601</v>
      </c>
      <c r="E50" s="13"/>
      <c r="F50" s="13"/>
      <c r="G50" s="13"/>
      <c r="K50" s="6"/>
    </row>
    <row r="51" spans="1:11" x14ac:dyDescent="0.25">
      <c r="A51" s="453">
        <f t="shared" si="0"/>
        <v>42</v>
      </c>
      <c r="B51" s="71"/>
      <c r="C51" s="91" t="s">
        <v>1607</v>
      </c>
      <c r="D51" s="968">
        <v>0</v>
      </c>
      <c r="E51" s="105" t="str">
        <f>"15-IncentiveAdder, Line "&amp;'15-IncentiveAdder'!A17&amp;""</f>
        <v>15-IncentiveAdder, Line 3</v>
      </c>
      <c r="F51" s="13"/>
      <c r="G51" s="13"/>
      <c r="K51" s="6"/>
    </row>
    <row r="52" spans="1:11" x14ac:dyDescent="0.25">
      <c r="A52" s="453">
        <f t="shared" si="0"/>
        <v>43</v>
      </c>
      <c r="B52" s="71"/>
      <c r="C52" s="91"/>
      <c r="E52" s="13"/>
      <c r="F52" s="13"/>
      <c r="G52" s="13"/>
      <c r="K52" s="6"/>
    </row>
    <row r="53" spans="1:11" x14ac:dyDescent="0.25">
      <c r="A53" s="453">
        <f t="shared" si="0"/>
        <v>44</v>
      </c>
      <c r="B53" s="71"/>
      <c r="C53" s="91" t="s">
        <v>1580</v>
      </c>
      <c r="D53" s="968">
        <v>0</v>
      </c>
      <c r="E53" s="45" t="str">
        <f>"10-CWIP, Line "&amp;'10-CWIP'!A25&amp;""</f>
        <v>10-CWIP, Line 13</v>
      </c>
      <c r="F53" s="14"/>
      <c r="G53" s="13"/>
      <c r="K53" s="6"/>
    </row>
    <row r="54" spans="1:11" x14ac:dyDescent="0.25">
      <c r="A54" s="453">
        <f t="shared" si="0"/>
        <v>45</v>
      </c>
      <c r="B54" s="71"/>
      <c r="C54" s="91" t="s">
        <v>1604</v>
      </c>
      <c r="D54" s="970" t="s">
        <v>2690</v>
      </c>
      <c r="E54" s="105" t="str">
        <f>"15-IncentiveAdder, Line "&amp;'15-IncentiveAdder'!A26&amp;""</f>
        <v>15-IncentiveAdder, Line 5</v>
      </c>
      <c r="F54" s="14"/>
      <c r="G54" s="13"/>
      <c r="K54" s="6"/>
    </row>
    <row r="55" spans="1:11" x14ac:dyDescent="0.25">
      <c r="A55" s="453">
        <f t="shared" si="0"/>
        <v>46</v>
      </c>
      <c r="B55" s="71"/>
      <c r="C55" s="91" t="s">
        <v>1603</v>
      </c>
      <c r="D55" s="968">
        <v>0</v>
      </c>
      <c r="E55" s="465" t="str">
        <f>"Formula on Line "&amp;A61&amp;""</f>
        <v>Formula on Line 52</v>
      </c>
      <c r="F55" s="13"/>
      <c r="G55" s="13"/>
      <c r="K55" s="6"/>
    </row>
    <row r="56" spans="1:11" x14ac:dyDescent="0.25">
      <c r="A56" s="453">
        <f t="shared" si="0"/>
        <v>47</v>
      </c>
      <c r="B56" s="71"/>
      <c r="C56" s="91"/>
      <c r="E56" s="61"/>
      <c r="F56" s="13"/>
      <c r="G56" s="13"/>
      <c r="K56" s="6"/>
    </row>
    <row r="57" spans="1:11" x14ac:dyDescent="0.25">
      <c r="A57" s="453">
        <f t="shared" si="0"/>
        <v>48</v>
      </c>
      <c r="C57" s="91" t="s">
        <v>1602</v>
      </c>
      <c r="D57" s="968">
        <v>0</v>
      </c>
      <c r="E57" s="45" t="str">
        <f>"10-CWIP, Line "&amp;'10-CWIP'!A25&amp;""</f>
        <v>10-CWIP, Line 13</v>
      </c>
      <c r="F57" s="13"/>
      <c r="G57" s="13"/>
      <c r="K57" s="6"/>
    </row>
    <row r="58" spans="1:11" x14ac:dyDescent="0.25">
      <c r="A58" s="453">
        <f t="shared" si="0"/>
        <v>49</v>
      </c>
      <c r="C58" s="91" t="s">
        <v>1605</v>
      </c>
      <c r="D58" s="970" t="s">
        <v>2690</v>
      </c>
      <c r="E58" s="105" t="str">
        <f>"15-IncentiveAdder, Line "&amp;'15-IncentiveAdder'!A27&amp;""</f>
        <v>15-IncentiveAdder, Line 6</v>
      </c>
      <c r="F58" s="13"/>
      <c r="G58" s="13"/>
      <c r="K58" s="6"/>
    </row>
    <row r="59" spans="1:11" x14ac:dyDescent="0.25">
      <c r="A59" s="453">
        <f t="shared" si="0"/>
        <v>50</v>
      </c>
      <c r="C59" s="91" t="s">
        <v>1606</v>
      </c>
      <c r="D59" s="968">
        <v>0</v>
      </c>
      <c r="E59" s="45" t="str">
        <f>"Formula on Line "&amp;A61&amp;""</f>
        <v>Formula on Line 52</v>
      </c>
      <c r="F59" s="13"/>
      <c r="G59" s="13"/>
      <c r="K59" s="6"/>
    </row>
    <row r="60" spans="1:11" x14ac:dyDescent="0.25">
      <c r="A60" s="453">
        <f t="shared" si="0"/>
        <v>51</v>
      </c>
      <c r="C60" s="91"/>
      <c r="D60" s="6"/>
      <c r="E60" s="45"/>
      <c r="F60" s="13"/>
      <c r="G60" s="13"/>
      <c r="K60" s="6"/>
    </row>
    <row r="61" spans="1:11" x14ac:dyDescent="0.25">
      <c r="A61" s="453">
        <f t="shared" si="0"/>
        <v>52</v>
      </c>
      <c r="C61" s="48" t="s">
        <v>1582</v>
      </c>
      <c r="D61" s="6"/>
      <c r="E61" s="45"/>
      <c r="F61" s="13"/>
      <c r="G61" s="13"/>
      <c r="K61" s="6"/>
    </row>
    <row r="62" spans="1:11" x14ac:dyDescent="0.25">
      <c r="A62" s="453">
        <f t="shared" si="0"/>
        <v>53</v>
      </c>
      <c r="E62" s="13"/>
      <c r="F62" s="13"/>
      <c r="G62" s="13"/>
      <c r="K62" s="6"/>
    </row>
    <row r="63" spans="1:11" x14ac:dyDescent="0.25">
      <c r="A63" s="453">
        <f t="shared" si="0"/>
        <v>54</v>
      </c>
      <c r="C63" s="464" t="s">
        <v>1645</v>
      </c>
      <c r="D63" s="968">
        <v>0</v>
      </c>
      <c r="E63" s="45" t="str">
        <f>"Line "&amp;A48&amp;" + Line "&amp;A55&amp;" + Line "&amp;A59&amp;""</f>
        <v>Line 39 + Line 46 + Line 50</v>
      </c>
      <c r="F63" s="13"/>
      <c r="G63" s="13"/>
      <c r="K63" s="6"/>
    </row>
    <row r="64" spans="1:11" ht="15" x14ac:dyDescent="0.4">
      <c r="A64" s="463">
        <f t="shared" si="0"/>
        <v>55</v>
      </c>
      <c r="C64" s="464" t="s">
        <v>1644</v>
      </c>
      <c r="D64" s="969">
        <v>0</v>
      </c>
      <c r="E64" s="465" t="str">
        <f>"(28-FFU, L"&amp;'28-FFU'!A22&amp;" FF Factor + U Factor) * L"&amp;A63&amp;""</f>
        <v>(28-FFU, L5 FF Factor + U Factor) * L54</v>
      </c>
      <c r="F64" s="13"/>
      <c r="G64" s="13"/>
      <c r="K64" s="6"/>
    </row>
    <row r="65" spans="1:11" x14ac:dyDescent="0.25">
      <c r="A65" s="463">
        <f t="shared" si="0"/>
        <v>56</v>
      </c>
      <c r="C65" s="464" t="s">
        <v>1646</v>
      </c>
      <c r="D65" s="968">
        <v>0</v>
      </c>
      <c r="E65" s="45" t="str">
        <f>"Line "&amp;A63&amp;" + Line "&amp;A64&amp;""</f>
        <v>Line 54 + Line 55</v>
      </c>
      <c r="F65" s="13"/>
      <c r="K65" s="6"/>
    </row>
    <row r="66" spans="1:11" x14ac:dyDescent="0.25">
      <c r="A66" s="463">
        <f t="shared" si="0"/>
        <v>57</v>
      </c>
      <c r="C66" s="91"/>
      <c r="D66" s="98"/>
      <c r="E66" s="45"/>
      <c r="F66" s="13"/>
      <c r="K66" s="6"/>
    </row>
    <row r="67" spans="1:11" x14ac:dyDescent="0.25">
      <c r="A67" s="463">
        <f t="shared" si="0"/>
        <v>58</v>
      </c>
      <c r="B67" s="71" t="s">
        <v>1608</v>
      </c>
      <c r="C67" s="91"/>
      <c r="D67" s="98"/>
      <c r="E67" s="45"/>
      <c r="F67" s="13"/>
      <c r="K67" s="6"/>
    </row>
    <row r="68" spans="1:11" x14ac:dyDescent="0.25">
      <c r="A68" s="463">
        <f t="shared" si="0"/>
        <v>59</v>
      </c>
      <c r="F68" s="13"/>
      <c r="K68" s="6"/>
    </row>
    <row r="69" spans="1:11" x14ac:dyDescent="0.25">
      <c r="A69" s="103">
        <f t="shared" si="0"/>
        <v>60</v>
      </c>
      <c r="B69" s="13"/>
      <c r="C69" s="893" t="s">
        <v>1645</v>
      </c>
      <c r="D69" s="968">
        <v>0</v>
      </c>
      <c r="E69" s="45" t="str">
        <f>"Line "&amp;A63&amp;""</f>
        <v>Line 54</v>
      </c>
      <c r="F69" s="13"/>
      <c r="K69" s="6"/>
    </row>
    <row r="70" spans="1:11" x14ac:dyDescent="0.25">
      <c r="A70" s="103">
        <f t="shared" si="0"/>
        <v>61</v>
      </c>
      <c r="B70" s="13"/>
      <c r="C70" s="893" t="s">
        <v>1962</v>
      </c>
      <c r="D70" s="968">
        <v>0</v>
      </c>
      <c r="E70" s="45" t="str">
        <f>"1-BaseTRR, Line "&amp;'1-BaseTRR'!A136&amp;""</f>
        <v>1-BaseTRR, Line 77</v>
      </c>
      <c r="F70" s="13"/>
      <c r="K70" s="6"/>
    </row>
    <row r="71" spans="1:11" x14ac:dyDescent="0.25">
      <c r="A71" s="103">
        <f t="shared" si="0"/>
        <v>62</v>
      </c>
      <c r="B71" s="13"/>
      <c r="C71" s="340" t="s">
        <v>1620</v>
      </c>
      <c r="D71" s="968">
        <v>0</v>
      </c>
      <c r="E71" s="45" t="str">
        <f>"Line "&amp;A70&amp;" - Line "&amp;A69&amp;""</f>
        <v>Line 61 - Line 60</v>
      </c>
      <c r="F71" s="13"/>
      <c r="K71" s="6"/>
    </row>
    <row r="72" spans="1:11" x14ac:dyDescent="0.25">
      <c r="A72" s="103">
        <f t="shared" si="0"/>
        <v>63</v>
      </c>
      <c r="B72" s="13"/>
      <c r="C72" s="922" t="s">
        <v>2196</v>
      </c>
      <c r="D72" s="968">
        <v>0</v>
      </c>
      <c r="E72" s="45" t="str">
        <f>"(1-BaseTRR, Line "&amp;'1-BaseTRR'!A124&amp;" + Line "&amp;'1-BaseTRR'!A125&amp;") * .75"</f>
        <v>(1-BaseTRR, Line 65 + Line 66) * .75</v>
      </c>
      <c r="F72" s="13"/>
      <c r="K72" s="6"/>
    </row>
    <row r="73" spans="1:11" x14ac:dyDescent="0.25">
      <c r="A73" s="103">
        <f t="shared" si="0"/>
        <v>64</v>
      </c>
      <c r="B73" s="13"/>
      <c r="C73" s="340" t="s">
        <v>299</v>
      </c>
      <c r="D73" s="970" t="s">
        <v>2690</v>
      </c>
      <c r="E73" s="45" t="str">
        <f>"(Line "&amp;A71&amp;" - Line "&amp;A72&amp;") / Line "&amp;A40&amp;""</f>
        <v>(Line 62 - Line 63) / Line 31</v>
      </c>
      <c r="F73" s="13"/>
      <c r="K73" s="6"/>
    </row>
    <row r="74" spans="1:11" x14ac:dyDescent="0.25">
      <c r="A74" s="103">
        <f t="shared" si="0"/>
        <v>65</v>
      </c>
      <c r="B74" s="13"/>
      <c r="C74" s="13"/>
      <c r="D74" s="61"/>
      <c r="E74" s="45"/>
      <c r="F74" s="13"/>
    </row>
    <row r="75" spans="1:11" x14ac:dyDescent="0.25">
      <c r="A75" s="103">
        <f t="shared" si="0"/>
        <v>66</v>
      </c>
      <c r="B75" s="43" t="s">
        <v>385</v>
      </c>
      <c r="C75" s="13"/>
      <c r="D75" s="13"/>
      <c r="E75" s="13"/>
      <c r="F75" s="13"/>
    </row>
    <row r="76" spans="1:11" x14ac:dyDescent="0.25">
      <c r="A76" s="103">
        <f t="shared" si="0"/>
        <v>67</v>
      </c>
      <c r="B76" s="13"/>
      <c r="C76" s="13"/>
      <c r="D76" s="13"/>
      <c r="E76" s="13"/>
      <c r="F76" s="13"/>
    </row>
    <row r="77" spans="1:11" x14ac:dyDescent="0.25">
      <c r="A77" s="103">
        <f t="shared" si="0"/>
        <v>68</v>
      </c>
      <c r="B77" s="13"/>
      <c r="C77" s="13"/>
      <c r="D77" s="13"/>
      <c r="E77" s="113" t="s">
        <v>224</v>
      </c>
      <c r="F77" s="13"/>
      <c r="I77" s="1"/>
    </row>
    <row r="78" spans="1:11" x14ac:dyDescent="0.25">
      <c r="A78" s="103">
        <f t="shared" si="0"/>
        <v>69</v>
      </c>
      <c r="B78" s="13"/>
      <c r="C78" s="340" t="s">
        <v>298</v>
      </c>
      <c r="D78" s="968">
        <v>0</v>
      </c>
      <c r="E78" s="45" t="str">
        <f>"16-PlantAdditions, L "&amp;'16-PlantAdditions'!A37&amp;", C10"</f>
        <v>16-PlantAdditions, L 25, C10</v>
      </c>
      <c r="F78" s="13"/>
      <c r="K78" s="6"/>
    </row>
    <row r="79" spans="1:11" x14ac:dyDescent="0.25">
      <c r="A79" s="103">
        <f t="shared" si="0"/>
        <v>70</v>
      </c>
      <c r="B79" s="13"/>
      <c r="C79" s="340" t="s">
        <v>299</v>
      </c>
      <c r="D79" s="970" t="s">
        <v>2690</v>
      </c>
      <c r="E79" s="45" t="str">
        <f>"Line "&amp;A73&amp;""</f>
        <v>Line 64</v>
      </c>
      <c r="F79" s="13"/>
      <c r="K79" s="702"/>
    </row>
    <row r="80" spans="1:11" x14ac:dyDescent="0.25">
      <c r="A80" s="103">
        <f t="shared" si="0"/>
        <v>71</v>
      </c>
      <c r="B80" s="13"/>
      <c r="C80" s="340" t="s">
        <v>386</v>
      </c>
      <c r="D80" s="968">
        <v>0</v>
      </c>
      <c r="E80" s="45" t="str">
        <f>"Line "&amp;A78&amp;" * Line "&amp;A79&amp;""</f>
        <v>Line 69 * Line 70</v>
      </c>
      <c r="F80" s="13"/>
      <c r="K80" s="6"/>
    </row>
    <row r="81" spans="1:11" x14ac:dyDescent="0.25">
      <c r="A81" s="103">
        <f t="shared" si="0"/>
        <v>72</v>
      </c>
      <c r="B81" s="13"/>
      <c r="C81" s="13"/>
      <c r="D81" s="13"/>
      <c r="E81" s="13"/>
      <c r="F81" s="13"/>
      <c r="K81" s="6"/>
    </row>
    <row r="82" spans="1:11" x14ac:dyDescent="0.25">
      <c r="A82" s="103">
        <f t="shared" si="0"/>
        <v>73</v>
      </c>
      <c r="B82" s="13"/>
      <c r="C82" s="340" t="s">
        <v>389</v>
      </c>
      <c r="D82" s="968">
        <v>0</v>
      </c>
      <c r="E82" s="45" t="str">
        <f>"10-CWIP, L "&amp;'10-CWIP'!A79&amp;", C8"</f>
        <v>10-CWIP, L 54, C8</v>
      </c>
      <c r="F82" s="13"/>
      <c r="K82" s="6"/>
    </row>
    <row r="83" spans="1:11" x14ac:dyDescent="0.25">
      <c r="A83" s="103">
        <f t="shared" si="0"/>
        <v>74</v>
      </c>
      <c r="B83" s="13"/>
      <c r="C83" s="340" t="s">
        <v>387</v>
      </c>
      <c r="D83" s="970" t="s">
        <v>2690</v>
      </c>
      <c r="E83" s="45" t="str">
        <f>"Line "&amp;A25&amp;""</f>
        <v>Line 16</v>
      </c>
      <c r="F83" s="13"/>
      <c r="K83" s="702"/>
    </row>
    <row r="84" spans="1:11" x14ac:dyDescent="0.25">
      <c r="A84" s="103">
        <f t="shared" si="0"/>
        <v>75</v>
      </c>
      <c r="B84" s="13"/>
      <c r="C84" s="340" t="s">
        <v>388</v>
      </c>
      <c r="D84" s="968">
        <v>0</v>
      </c>
      <c r="E84" s="45" t="str">
        <f>"Line "&amp;A82&amp;" * Line "&amp;A83&amp;""</f>
        <v>Line 73 * Line 74</v>
      </c>
      <c r="F84" s="13"/>
      <c r="K84" s="6"/>
    </row>
    <row r="85" spans="1:11" x14ac:dyDescent="0.25">
      <c r="A85" s="103">
        <f t="shared" si="0"/>
        <v>76</v>
      </c>
      <c r="B85" s="13"/>
      <c r="C85" s="13"/>
      <c r="D85" s="13"/>
      <c r="E85" s="13"/>
      <c r="F85" s="13"/>
      <c r="K85" s="6"/>
    </row>
    <row r="86" spans="1:11" x14ac:dyDescent="0.25">
      <c r="A86" s="103">
        <f t="shared" si="0"/>
        <v>77</v>
      </c>
      <c r="B86" s="13"/>
      <c r="C86" s="340" t="s">
        <v>1629</v>
      </c>
      <c r="D86" s="968">
        <v>0</v>
      </c>
      <c r="E86" s="45" t="str">
        <f>"Line "&amp;A80&amp;" + Line "&amp;A84&amp;""</f>
        <v>Line 71 + Line 75</v>
      </c>
      <c r="F86" s="13"/>
      <c r="K86" s="6"/>
    </row>
    <row r="87" spans="1:11" x14ac:dyDescent="0.25">
      <c r="A87" s="103">
        <f t="shared" si="0"/>
        <v>78</v>
      </c>
      <c r="B87" s="13"/>
      <c r="C87" s="13"/>
      <c r="D87" s="13"/>
      <c r="E87" s="13"/>
      <c r="F87" s="13"/>
      <c r="K87" s="6"/>
    </row>
    <row r="88" spans="1:11" x14ac:dyDescent="0.25">
      <c r="A88" s="103">
        <f t="shared" ref="A88:A91" si="1">A87+1</f>
        <v>79</v>
      </c>
      <c r="B88" s="13"/>
      <c r="C88" s="340" t="s">
        <v>1630</v>
      </c>
      <c r="D88" s="968">
        <v>0</v>
      </c>
      <c r="E88" s="105" t="str">
        <f>"Line "&amp;A86&amp;" * FF (from 28-FFU, L "&amp;'28-FFU'!A22&amp;")"</f>
        <v>Line 77 * FF (from 28-FFU, L 5)</v>
      </c>
      <c r="F88" s="13"/>
      <c r="K88" s="6"/>
    </row>
    <row r="89" spans="1:11" x14ac:dyDescent="0.25">
      <c r="A89" s="103">
        <f t="shared" si="1"/>
        <v>80</v>
      </c>
      <c r="B89" s="13"/>
      <c r="C89" s="80" t="s">
        <v>1631</v>
      </c>
      <c r="D89" s="968">
        <v>0</v>
      </c>
      <c r="E89" s="105" t="str">
        <f>"Line "&amp;A86&amp;" * U (from 28-FFU, L "&amp;'28-FFU'!A22&amp;")"</f>
        <v>Line 77 * U (from 28-FFU, L 5)</v>
      </c>
      <c r="F89" s="13"/>
      <c r="K89" s="6"/>
    </row>
    <row r="90" spans="1:11" x14ac:dyDescent="0.25">
      <c r="A90" s="103">
        <f t="shared" si="1"/>
        <v>81</v>
      </c>
      <c r="B90" s="13"/>
      <c r="C90" s="13"/>
      <c r="D90" s="61"/>
      <c r="E90" s="13"/>
      <c r="F90" s="13"/>
      <c r="K90" s="6"/>
    </row>
    <row r="91" spans="1:11" x14ac:dyDescent="0.25">
      <c r="A91" s="103">
        <f t="shared" si="1"/>
        <v>82</v>
      </c>
      <c r="B91" s="13"/>
      <c r="C91" s="80" t="s">
        <v>390</v>
      </c>
      <c r="D91" s="968">
        <v>0</v>
      </c>
      <c r="E91" s="45" t="str">
        <f>"Line "&amp;A86&amp;" + Line "&amp;A88&amp;" + Line "&amp;A89&amp;""</f>
        <v>Line 77 + Line 79 + Line 80</v>
      </c>
      <c r="F91" s="13"/>
      <c r="K91" s="6"/>
    </row>
  </sheetData>
  <phoneticPr fontId="9" type="noConversion"/>
  <pageMargins left="0.75" right="0.75" top="1" bottom="1" header="0.5" footer="0.5"/>
  <pageSetup scale="75" orientation="portrait" cellComments="asDisplayed" r:id="rId1"/>
  <headerFooter alignWithMargins="0">
    <oddHeader xml:space="preserve">&amp;C&amp;"Arial,Bold"Schedule 2
Incremental Forecast Period TRR&amp;"Arial,Regular"
</oddHeader>
    <oddFooter>&amp;R&amp;A</oddFooter>
  </headerFooter>
  <rowBreaks count="1" manualBreakCount="1">
    <brk id="66"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zoomScaleNormal="100" workbookViewId="0"/>
  </sheetViews>
  <sheetFormatPr defaultRowHeight="13.2" x14ac:dyDescent="0.25"/>
  <cols>
    <col min="1" max="1" width="4.6640625" customWidth="1"/>
    <col min="2" max="2" width="6.6640625" customWidth="1"/>
    <col min="3" max="5" width="14.6640625" customWidth="1"/>
    <col min="6" max="6" width="15.5546875" customWidth="1"/>
    <col min="7" max="7" width="14.6640625" customWidth="1"/>
    <col min="8" max="8" width="15.88671875" customWidth="1"/>
    <col min="9" max="9" width="15.6640625" customWidth="1"/>
    <col min="10" max="10" width="15.109375" customWidth="1"/>
    <col min="11" max="11" width="14.6640625" customWidth="1"/>
    <col min="12" max="12" width="15.33203125" customWidth="1"/>
  </cols>
  <sheetData>
    <row r="1" spans="1:12" x14ac:dyDescent="0.25">
      <c r="A1" s="1" t="s">
        <v>1914</v>
      </c>
      <c r="B1" s="213"/>
      <c r="C1" s="213"/>
      <c r="D1" s="213"/>
      <c r="E1" s="213"/>
      <c r="F1" s="213"/>
      <c r="G1" s="213"/>
      <c r="H1" s="213"/>
      <c r="I1" s="213"/>
      <c r="J1" s="213"/>
      <c r="K1" s="213"/>
      <c r="L1" s="213"/>
    </row>
    <row r="2" spans="1:12" x14ac:dyDescent="0.25">
      <c r="A2" s="213"/>
      <c r="B2" s="213"/>
      <c r="C2" s="213"/>
      <c r="D2" s="213"/>
      <c r="E2" s="213"/>
      <c r="F2" s="213"/>
      <c r="G2" s="213"/>
      <c r="H2" s="213"/>
      <c r="I2" s="213"/>
      <c r="J2" s="213"/>
      <c r="K2" s="213"/>
      <c r="L2" s="213"/>
    </row>
    <row r="3" spans="1:12" x14ac:dyDescent="0.25">
      <c r="A3" s="213"/>
      <c r="B3" s="1" t="s">
        <v>541</v>
      </c>
      <c r="C3" s="213"/>
      <c r="D3" s="213"/>
      <c r="E3" s="213"/>
      <c r="F3" s="213"/>
      <c r="G3" s="213"/>
      <c r="H3" s="213"/>
      <c r="I3" s="213"/>
      <c r="J3" s="213"/>
      <c r="K3" s="213"/>
      <c r="L3" s="213"/>
    </row>
    <row r="4" spans="1:12" x14ac:dyDescent="0.25">
      <c r="A4" s="213"/>
      <c r="B4" s="470" t="s">
        <v>1681</v>
      </c>
      <c r="C4" s="213"/>
      <c r="D4" s="213"/>
      <c r="E4" s="213"/>
      <c r="F4" s="213"/>
      <c r="G4" s="213"/>
      <c r="H4" s="213"/>
      <c r="I4" s="213"/>
      <c r="J4" s="213"/>
      <c r="K4" s="213"/>
      <c r="L4" s="213"/>
    </row>
    <row r="5" spans="1:12" x14ac:dyDescent="0.25">
      <c r="A5" s="213"/>
      <c r="B5" s="96" t="str">
        <f>"for each month (see Note #2).  If formula was not in effect in Prior Year, do not populate Column 2 or 3, Lines "&amp;A24&amp;" to "&amp;A35&amp;"."</f>
        <v>for each month (see Note #2).  If formula was not in effect in Prior Year, do not populate Column 2 or 3, Lines 11 to 22.</v>
      </c>
      <c r="C5" s="213"/>
      <c r="D5" s="213"/>
      <c r="E5" s="213"/>
      <c r="F5" s="213"/>
      <c r="G5" s="213"/>
      <c r="H5" s="213"/>
      <c r="I5" s="213"/>
      <c r="J5" s="213"/>
      <c r="K5" s="213"/>
      <c r="L5" s="213"/>
    </row>
    <row r="6" spans="1:12" x14ac:dyDescent="0.25">
      <c r="A6" s="213"/>
      <c r="B6" s="470" t="s">
        <v>1682</v>
      </c>
      <c r="C6" s="213"/>
      <c r="D6" s="213"/>
      <c r="E6" s="213"/>
      <c r="F6" s="213"/>
      <c r="G6" s="213"/>
      <c r="H6" s="213"/>
      <c r="I6" s="213"/>
      <c r="J6" s="213"/>
      <c r="K6" s="213"/>
      <c r="L6" s="213"/>
    </row>
    <row r="7" spans="1:12" x14ac:dyDescent="0.25">
      <c r="A7" s="213"/>
      <c r="B7" s="12" t="s">
        <v>1151</v>
      </c>
      <c r="C7" s="213"/>
      <c r="D7" s="213"/>
      <c r="E7" s="213"/>
      <c r="F7" s="213"/>
      <c r="G7" s="213"/>
      <c r="H7" s="213"/>
      <c r="I7" s="213"/>
      <c r="J7" s="213"/>
      <c r="K7" s="213"/>
      <c r="L7" s="213"/>
    </row>
    <row r="8" spans="1:12" x14ac:dyDescent="0.25">
      <c r="A8" s="213"/>
      <c r="B8" s="12" t="str">
        <f>"d) Continue interest calculation through the end of the previous Rate Effective Period (Line "&amp;A44&amp;")."</f>
        <v>d) Continue interest calculation through the end of the previous Rate Effective Period (Line 31).</v>
      </c>
      <c r="C8" s="213"/>
      <c r="D8" s="213"/>
      <c r="E8" s="213"/>
      <c r="F8" s="213"/>
      <c r="G8" s="213"/>
      <c r="H8" s="213"/>
      <c r="I8" s="213"/>
      <c r="J8" s="213"/>
      <c r="K8" s="213"/>
      <c r="L8" s="213"/>
    </row>
    <row r="9" spans="1:12" x14ac:dyDescent="0.25">
      <c r="A9" s="213"/>
      <c r="B9" s="12" t="str">
        <f>"e) Amortize this ending balance from (d) over the current Rate Effective Period so that the ending balance on Line "&amp;A67&amp;" is equal to $0."</f>
        <v>e) Amortize this ending balance from (d) over the current Rate Effective Period so that the ending balance on Line 54 is equal to $0.</v>
      </c>
      <c r="C9" s="213"/>
      <c r="D9" s="213"/>
      <c r="E9" s="213"/>
      <c r="F9" s="213"/>
      <c r="G9" s="213"/>
      <c r="H9" s="213"/>
      <c r="I9" s="213"/>
      <c r="J9" s="213"/>
      <c r="K9" s="213"/>
      <c r="L9" s="213"/>
    </row>
    <row r="10" spans="1:12" x14ac:dyDescent="0.25">
      <c r="A10" s="213"/>
      <c r="B10" s="213"/>
      <c r="C10" s="213"/>
      <c r="D10" s="213"/>
      <c r="E10" s="213"/>
      <c r="F10" s="213"/>
      <c r="G10" s="213"/>
      <c r="H10" s="213"/>
      <c r="I10" s="213"/>
      <c r="J10" s="213"/>
      <c r="K10" s="213"/>
      <c r="L10" s="213"/>
    </row>
    <row r="11" spans="1:12" x14ac:dyDescent="0.25">
      <c r="A11" s="2"/>
      <c r="B11" s="83" t="s">
        <v>1683</v>
      </c>
      <c r="C11" s="213"/>
      <c r="D11" s="214"/>
      <c r="E11" s="215"/>
      <c r="F11" s="213"/>
      <c r="G11" s="213"/>
      <c r="H11" s="213"/>
      <c r="I11" s="213"/>
      <c r="J11" s="213"/>
      <c r="K11" s="98"/>
      <c r="L11" s="213"/>
    </row>
    <row r="12" spans="1:12" x14ac:dyDescent="0.25">
      <c r="A12" s="2"/>
      <c r="B12" s="83" t="s">
        <v>560</v>
      </c>
      <c r="C12" s="213"/>
      <c r="D12" s="214"/>
      <c r="E12" s="215"/>
      <c r="F12" s="213"/>
      <c r="G12" s="213"/>
      <c r="H12" s="213"/>
      <c r="I12" s="213"/>
      <c r="J12" s="213"/>
      <c r="K12" s="213"/>
      <c r="L12" s="213"/>
    </row>
    <row r="13" spans="1:12" x14ac:dyDescent="0.25">
      <c r="A13" s="51" t="s">
        <v>350</v>
      </c>
      <c r="B13" s="213"/>
      <c r="C13" s="83"/>
      <c r="D13" s="214"/>
      <c r="E13" s="215"/>
      <c r="F13" s="3"/>
      <c r="G13" s="213"/>
      <c r="H13" s="213"/>
      <c r="I13" s="213"/>
      <c r="J13" s="213"/>
      <c r="K13" s="213"/>
      <c r="L13" s="213"/>
    </row>
    <row r="14" spans="1:12" x14ac:dyDescent="0.25">
      <c r="A14" s="2">
        <f>A7+1</f>
        <v>1</v>
      </c>
      <c r="B14" s="213"/>
      <c r="C14" s="213"/>
      <c r="D14" s="489" t="s">
        <v>1680</v>
      </c>
      <c r="E14" s="968">
        <v>0</v>
      </c>
      <c r="F14" s="490" t="s">
        <v>2057</v>
      </c>
      <c r="G14" s="222"/>
      <c r="H14" s="213" t="str">
        <f>"Line "&amp;'4-TUTRR'!A73&amp;""</f>
        <v>Line 45</v>
      </c>
      <c r="I14" s="213"/>
      <c r="J14" s="213"/>
      <c r="K14" s="213"/>
      <c r="L14" s="213"/>
    </row>
    <row r="15" spans="1:12" x14ac:dyDescent="0.25">
      <c r="A15" s="2">
        <f>A14+1</f>
        <v>2</v>
      </c>
      <c r="B15" s="83"/>
      <c r="C15" s="213"/>
      <c r="D15" s="213"/>
      <c r="E15" s="213"/>
      <c r="F15" s="213"/>
      <c r="G15" s="213"/>
      <c r="H15" s="215"/>
      <c r="I15" s="213"/>
      <c r="J15" s="213"/>
      <c r="K15" s="213"/>
      <c r="L15" s="213"/>
    </row>
    <row r="16" spans="1:12" x14ac:dyDescent="0.25">
      <c r="A16" s="2">
        <f t="shared" ref="A16:A81" si="0">A15+1</f>
        <v>3</v>
      </c>
      <c r="B16" s="213"/>
      <c r="C16" s="213"/>
      <c r="D16" s="84" t="s">
        <v>394</v>
      </c>
      <c r="E16" s="84" t="s">
        <v>378</v>
      </c>
      <c r="F16" s="84" t="s">
        <v>379</v>
      </c>
      <c r="G16" s="84" t="s">
        <v>380</v>
      </c>
      <c r="H16" s="84" t="s">
        <v>381</v>
      </c>
      <c r="I16" s="84" t="s">
        <v>382</v>
      </c>
      <c r="J16" s="84" t="s">
        <v>383</v>
      </c>
      <c r="K16" s="84" t="s">
        <v>595</v>
      </c>
      <c r="L16" s="84" t="s">
        <v>1043</v>
      </c>
    </row>
    <row r="17" spans="1:12" x14ac:dyDescent="0.25">
      <c r="A17" s="2">
        <f t="shared" si="0"/>
        <v>4</v>
      </c>
      <c r="B17" s="213"/>
      <c r="C17" s="214" t="s">
        <v>1044</v>
      </c>
      <c r="D17" s="84"/>
      <c r="E17" s="87" t="s">
        <v>235</v>
      </c>
      <c r="F17" s="87" t="s">
        <v>311</v>
      </c>
      <c r="G17" s="87" t="s">
        <v>1045</v>
      </c>
      <c r="H17" s="93" t="s">
        <v>584</v>
      </c>
      <c r="I17" s="87" t="s">
        <v>1046</v>
      </c>
      <c r="J17" s="87" t="s">
        <v>582</v>
      </c>
      <c r="K17" s="87" t="s">
        <v>583</v>
      </c>
      <c r="L17" s="93" t="s">
        <v>1047</v>
      </c>
    </row>
    <row r="18" spans="1:12" x14ac:dyDescent="0.25">
      <c r="A18" s="2">
        <f t="shared" si="0"/>
        <v>5</v>
      </c>
      <c r="B18" s="213"/>
      <c r="C18" s="213"/>
      <c r="D18" s="84"/>
      <c r="G18" s="84"/>
      <c r="I18" s="84"/>
      <c r="J18" s="2" t="s">
        <v>223</v>
      </c>
      <c r="K18" s="84"/>
      <c r="L18" s="84"/>
    </row>
    <row r="19" spans="1:12" ht="14.4" x14ac:dyDescent="0.3">
      <c r="A19" s="2">
        <f t="shared" si="0"/>
        <v>6</v>
      </c>
      <c r="B19" s="213"/>
      <c r="C19" s="213"/>
      <c r="D19" s="84"/>
      <c r="G19" s="225" t="s">
        <v>1152</v>
      </c>
      <c r="I19" s="213"/>
      <c r="J19" s="2" t="s">
        <v>30</v>
      </c>
      <c r="K19" s="213"/>
      <c r="L19" s="2" t="s">
        <v>223</v>
      </c>
    </row>
    <row r="20" spans="1:12" x14ac:dyDescent="0.25">
      <c r="A20" s="2">
        <f t="shared" si="0"/>
        <v>7</v>
      </c>
      <c r="B20" s="213"/>
      <c r="C20" s="213"/>
      <c r="D20" s="84"/>
      <c r="F20" s="2" t="s">
        <v>559</v>
      </c>
      <c r="G20" s="2" t="s">
        <v>1048</v>
      </c>
      <c r="H20" s="2" t="s">
        <v>19</v>
      </c>
      <c r="I20" s="213"/>
      <c r="J20" s="2" t="s">
        <v>31</v>
      </c>
      <c r="K20" s="213"/>
      <c r="L20" s="2" t="s">
        <v>30</v>
      </c>
    </row>
    <row r="21" spans="1:12" x14ac:dyDescent="0.25">
      <c r="A21" s="2">
        <f t="shared" si="0"/>
        <v>8</v>
      </c>
      <c r="B21" s="213"/>
      <c r="C21" s="213"/>
      <c r="D21" s="2"/>
      <c r="E21" s="2" t="s">
        <v>19</v>
      </c>
      <c r="F21" s="2" t="s">
        <v>580</v>
      </c>
      <c r="G21" s="2" t="s">
        <v>218</v>
      </c>
      <c r="H21" s="2" t="s">
        <v>30</v>
      </c>
      <c r="I21" s="2" t="s">
        <v>19</v>
      </c>
      <c r="J21" s="2" t="s">
        <v>22</v>
      </c>
      <c r="K21" s="216" t="s">
        <v>23</v>
      </c>
      <c r="L21" s="2" t="s">
        <v>31</v>
      </c>
    </row>
    <row r="22" spans="1:12" x14ac:dyDescent="0.25">
      <c r="A22" s="2">
        <f t="shared" si="0"/>
        <v>9</v>
      </c>
      <c r="B22" s="213"/>
      <c r="C22" s="213"/>
      <c r="D22" s="2"/>
      <c r="E22" s="2" t="s">
        <v>307</v>
      </c>
      <c r="F22" s="2" t="s">
        <v>337</v>
      </c>
      <c r="G22" s="2" t="s">
        <v>307</v>
      </c>
      <c r="H22" s="2" t="s">
        <v>31</v>
      </c>
      <c r="I22" s="2" t="s">
        <v>23</v>
      </c>
      <c r="J22" s="2" t="s">
        <v>1153</v>
      </c>
      <c r="K22" s="2" t="s">
        <v>1154</v>
      </c>
      <c r="L22" s="2" t="s">
        <v>22</v>
      </c>
    </row>
    <row r="23" spans="1:12" x14ac:dyDescent="0.25">
      <c r="A23" s="2">
        <f t="shared" si="0"/>
        <v>10</v>
      </c>
      <c r="B23" s="213"/>
      <c r="C23" s="24" t="s">
        <v>211</v>
      </c>
      <c r="D23" s="24" t="s">
        <v>212</v>
      </c>
      <c r="E23" s="3" t="s">
        <v>1050</v>
      </c>
      <c r="F23" s="3" t="s">
        <v>21</v>
      </c>
      <c r="G23" s="3" t="s">
        <v>176</v>
      </c>
      <c r="H23" s="3" t="s">
        <v>22</v>
      </c>
      <c r="I23" s="3" t="s">
        <v>13</v>
      </c>
      <c r="J23" s="3" t="s">
        <v>1155</v>
      </c>
      <c r="K23" s="3" t="s">
        <v>211</v>
      </c>
      <c r="L23" s="3" t="s">
        <v>1051</v>
      </c>
    </row>
    <row r="24" spans="1:12" x14ac:dyDescent="0.25">
      <c r="A24" s="2">
        <f t="shared" si="0"/>
        <v>11</v>
      </c>
      <c r="B24" s="213"/>
      <c r="C24" s="19" t="s">
        <v>200</v>
      </c>
      <c r="D24" s="979" t="s">
        <v>1562</v>
      </c>
      <c r="E24" s="968">
        <v>0</v>
      </c>
      <c r="F24" s="968">
        <v>0</v>
      </c>
      <c r="G24" s="966">
        <v>0</v>
      </c>
      <c r="H24" s="968">
        <v>0</v>
      </c>
      <c r="I24" s="980" t="s">
        <v>2690</v>
      </c>
      <c r="J24" s="968">
        <v>0</v>
      </c>
      <c r="K24" s="968">
        <v>0</v>
      </c>
      <c r="L24" s="968">
        <v>0</v>
      </c>
    </row>
    <row r="25" spans="1:12" x14ac:dyDescent="0.25">
      <c r="A25" s="2">
        <f t="shared" si="0"/>
        <v>12</v>
      </c>
      <c r="B25" s="213"/>
      <c r="C25" s="20" t="s">
        <v>201</v>
      </c>
      <c r="D25" s="979" t="s">
        <v>1562</v>
      </c>
      <c r="E25" s="968">
        <v>0</v>
      </c>
      <c r="F25" s="968">
        <v>0</v>
      </c>
      <c r="G25" s="966">
        <v>0</v>
      </c>
      <c r="H25" s="968">
        <v>0</v>
      </c>
      <c r="I25" s="980" t="s">
        <v>2690</v>
      </c>
      <c r="J25" s="968">
        <v>0</v>
      </c>
      <c r="K25" s="968">
        <v>0</v>
      </c>
      <c r="L25" s="968">
        <v>0</v>
      </c>
    </row>
    <row r="26" spans="1:12" x14ac:dyDescent="0.25">
      <c r="A26" s="2">
        <f t="shared" si="0"/>
        <v>13</v>
      </c>
      <c r="B26" s="213"/>
      <c r="C26" s="20" t="s">
        <v>214</v>
      </c>
      <c r="D26" s="979" t="s">
        <v>1562</v>
      </c>
      <c r="E26" s="968">
        <v>0</v>
      </c>
      <c r="F26" s="968">
        <v>0</v>
      </c>
      <c r="G26" s="966">
        <v>0</v>
      </c>
      <c r="H26" s="968">
        <v>0</v>
      </c>
      <c r="I26" s="980" t="s">
        <v>2690</v>
      </c>
      <c r="J26" s="968">
        <v>0</v>
      </c>
      <c r="K26" s="968">
        <v>0</v>
      </c>
      <c r="L26" s="968">
        <v>0</v>
      </c>
    </row>
    <row r="27" spans="1:12" x14ac:dyDescent="0.25">
      <c r="A27" s="2">
        <f t="shared" si="0"/>
        <v>14</v>
      </c>
      <c r="B27" s="213"/>
      <c r="C27" s="19" t="s">
        <v>202</v>
      </c>
      <c r="D27" s="979" t="s">
        <v>1562</v>
      </c>
      <c r="E27" s="968">
        <v>0</v>
      </c>
      <c r="F27" s="968">
        <v>0</v>
      </c>
      <c r="G27" s="966">
        <v>0</v>
      </c>
      <c r="H27" s="968">
        <v>0</v>
      </c>
      <c r="I27" s="980" t="s">
        <v>2690</v>
      </c>
      <c r="J27" s="968">
        <v>0</v>
      </c>
      <c r="K27" s="968">
        <v>0</v>
      </c>
      <c r="L27" s="968">
        <v>0</v>
      </c>
    </row>
    <row r="28" spans="1:12" x14ac:dyDescent="0.25">
      <c r="A28" s="2">
        <f t="shared" si="0"/>
        <v>15</v>
      </c>
      <c r="B28" s="213"/>
      <c r="C28" s="20" t="s">
        <v>203</v>
      </c>
      <c r="D28" s="979" t="s">
        <v>1562</v>
      </c>
      <c r="E28" s="968">
        <v>0</v>
      </c>
      <c r="F28" s="968">
        <v>0</v>
      </c>
      <c r="G28" s="966">
        <v>0</v>
      </c>
      <c r="H28" s="968">
        <v>0</v>
      </c>
      <c r="I28" s="980" t="s">
        <v>2690</v>
      </c>
      <c r="J28" s="968">
        <v>0</v>
      </c>
      <c r="K28" s="968">
        <v>0</v>
      </c>
      <c r="L28" s="968">
        <v>0</v>
      </c>
    </row>
    <row r="29" spans="1:12" x14ac:dyDescent="0.25">
      <c r="A29" s="2">
        <f t="shared" si="0"/>
        <v>16</v>
      </c>
      <c r="B29" s="213"/>
      <c r="C29" s="20" t="s">
        <v>204</v>
      </c>
      <c r="D29" s="979" t="s">
        <v>1562</v>
      </c>
      <c r="E29" s="968">
        <v>0</v>
      </c>
      <c r="F29" s="968">
        <v>0</v>
      </c>
      <c r="G29" s="966">
        <v>0</v>
      </c>
      <c r="H29" s="968">
        <v>0</v>
      </c>
      <c r="I29" s="980" t="s">
        <v>2690</v>
      </c>
      <c r="J29" s="968">
        <v>0</v>
      </c>
      <c r="K29" s="968">
        <v>0</v>
      </c>
      <c r="L29" s="968">
        <v>0</v>
      </c>
    </row>
    <row r="30" spans="1:12" x14ac:dyDescent="0.25">
      <c r="A30" s="2">
        <f t="shared" si="0"/>
        <v>17</v>
      </c>
      <c r="B30" s="213"/>
      <c r="C30" s="19" t="s">
        <v>205</v>
      </c>
      <c r="D30" s="979" t="s">
        <v>1562</v>
      </c>
      <c r="E30" s="968">
        <v>0</v>
      </c>
      <c r="F30" s="968">
        <v>0</v>
      </c>
      <c r="G30" s="966">
        <v>0</v>
      </c>
      <c r="H30" s="968">
        <v>0</v>
      </c>
      <c r="I30" s="980" t="s">
        <v>2690</v>
      </c>
      <c r="J30" s="968">
        <v>0</v>
      </c>
      <c r="K30" s="968">
        <v>0</v>
      </c>
      <c r="L30" s="968">
        <v>0</v>
      </c>
    </row>
    <row r="31" spans="1:12" x14ac:dyDescent="0.25">
      <c r="A31" s="2">
        <f t="shared" si="0"/>
        <v>18</v>
      </c>
      <c r="B31" s="213"/>
      <c r="C31" s="20" t="s">
        <v>206</v>
      </c>
      <c r="D31" s="979" t="s">
        <v>1562</v>
      </c>
      <c r="E31" s="968">
        <v>0</v>
      </c>
      <c r="F31" s="968">
        <v>0</v>
      </c>
      <c r="G31" s="966">
        <v>0</v>
      </c>
      <c r="H31" s="968">
        <v>0</v>
      </c>
      <c r="I31" s="980" t="s">
        <v>2690</v>
      </c>
      <c r="J31" s="968">
        <v>0</v>
      </c>
      <c r="K31" s="968">
        <v>0</v>
      </c>
      <c r="L31" s="968">
        <v>0</v>
      </c>
    </row>
    <row r="32" spans="1:12" x14ac:dyDescent="0.25">
      <c r="A32" s="2">
        <f t="shared" si="0"/>
        <v>19</v>
      </c>
      <c r="B32" s="213"/>
      <c r="C32" s="20" t="s">
        <v>207</v>
      </c>
      <c r="D32" s="979" t="s">
        <v>1562</v>
      </c>
      <c r="E32" s="968">
        <v>0</v>
      </c>
      <c r="F32" s="968">
        <v>0</v>
      </c>
      <c r="G32" s="966">
        <v>0</v>
      </c>
      <c r="H32" s="968">
        <v>0</v>
      </c>
      <c r="I32" s="980" t="s">
        <v>2690</v>
      </c>
      <c r="J32" s="968">
        <v>0</v>
      </c>
      <c r="K32" s="968">
        <v>0</v>
      </c>
      <c r="L32" s="968">
        <v>0</v>
      </c>
    </row>
    <row r="33" spans="1:12" x14ac:dyDescent="0.25">
      <c r="A33" s="2">
        <f t="shared" si="0"/>
        <v>20</v>
      </c>
      <c r="B33" s="213"/>
      <c r="C33" s="19" t="s">
        <v>210</v>
      </c>
      <c r="D33" s="979" t="s">
        <v>1562</v>
      </c>
      <c r="E33" s="968">
        <v>0</v>
      </c>
      <c r="F33" s="968">
        <v>0</v>
      </c>
      <c r="G33" s="966">
        <v>0</v>
      </c>
      <c r="H33" s="968">
        <v>0</v>
      </c>
      <c r="I33" s="980" t="s">
        <v>2690</v>
      </c>
      <c r="J33" s="968">
        <v>0</v>
      </c>
      <c r="K33" s="968">
        <v>0</v>
      </c>
      <c r="L33" s="968">
        <v>0</v>
      </c>
    </row>
    <row r="34" spans="1:12" x14ac:dyDescent="0.25">
      <c r="A34" s="2">
        <f t="shared" si="0"/>
        <v>21</v>
      </c>
      <c r="B34" s="213"/>
      <c r="C34" s="19" t="s">
        <v>209</v>
      </c>
      <c r="D34" s="979" t="s">
        <v>1562</v>
      </c>
      <c r="E34" s="968">
        <v>0</v>
      </c>
      <c r="F34" s="968">
        <v>0</v>
      </c>
      <c r="G34" s="966">
        <v>0</v>
      </c>
      <c r="H34" s="968">
        <v>0</v>
      </c>
      <c r="I34" s="980" t="s">
        <v>2690</v>
      </c>
      <c r="J34" s="968">
        <v>0</v>
      </c>
      <c r="K34" s="968">
        <v>0</v>
      </c>
      <c r="L34" s="968">
        <v>0</v>
      </c>
    </row>
    <row r="35" spans="1:12" x14ac:dyDescent="0.25">
      <c r="A35" s="2">
        <f t="shared" si="0"/>
        <v>22</v>
      </c>
      <c r="B35" s="213"/>
      <c r="C35" s="20" t="s">
        <v>199</v>
      </c>
      <c r="D35" s="979" t="s">
        <v>1562</v>
      </c>
      <c r="E35" s="968">
        <v>0</v>
      </c>
      <c r="F35" s="968">
        <v>0</v>
      </c>
      <c r="G35" s="966">
        <v>0</v>
      </c>
      <c r="H35" s="968">
        <v>0</v>
      </c>
      <c r="I35" s="980" t="s">
        <v>2690</v>
      </c>
      <c r="J35" s="968">
        <v>0</v>
      </c>
      <c r="K35" s="968">
        <v>0</v>
      </c>
      <c r="L35" s="968">
        <v>0</v>
      </c>
    </row>
    <row r="36" spans="1:12" x14ac:dyDescent="0.25">
      <c r="A36" s="2">
        <f t="shared" si="0"/>
        <v>23</v>
      </c>
      <c r="B36" s="213"/>
      <c r="C36" s="19" t="s">
        <v>200</v>
      </c>
      <c r="D36" s="979" t="s">
        <v>1562</v>
      </c>
      <c r="E36" s="220" t="s">
        <v>86</v>
      </c>
      <c r="F36" s="220" t="s">
        <v>86</v>
      </c>
      <c r="G36" s="966">
        <v>0</v>
      </c>
      <c r="H36" s="968">
        <v>0</v>
      </c>
      <c r="I36" s="980" t="s">
        <v>2690</v>
      </c>
      <c r="J36" s="968">
        <v>0</v>
      </c>
      <c r="K36" s="968">
        <v>0</v>
      </c>
      <c r="L36" s="968">
        <v>0</v>
      </c>
    </row>
    <row r="37" spans="1:12" x14ac:dyDescent="0.25">
      <c r="A37" s="2">
        <f t="shared" si="0"/>
        <v>24</v>
      </c>
      <c r="B37" s="213"/>
      <c r="C37" s="20" t="s">
        <v>201</v>
      </c>
      <c r="D37" s="979" t="s">
        <v>1562</v>
      </c>
      <c r="E37" s="220" t="s">
        <v>86</v>
      </c>
      <c r="F37" s="220" t="s">
        <v>86</v>
      </c>
      <c r="G37" s="966">
        <v>0</v>
      </c>
      <c r="H37" s="968">
        <v>0</v>
      </c>
      <c r="I37" s="980" t="s">
        <v>2690</v>
      </c>
      <c r="J37" s="968">
        <v>0</v>
      </c>
      <c r="K37" s="968">
        <v>0</v>
      </c>
      <c r="L37" s="968">
        <v>0</v>
      </c>
    </row>
    <row r="38" spans="1:12" x14ac:dyDescent="0.25">
      <c r="A38" s="2">
        <f t="shared" si="0"/>
        <v>25</v>
      </c>
      <c r="B38" s="213"/>
      <c r="C38" s="20" t="s">
        <v>214</v>
      </c>
      <c r="D38" s="979" t="s">
        <v>1562</v>
      </c>
      <c r="E38" s="220" t="s">
        <v>86</v>
      </c>
      <c r="F38" s="220" t="s">
        <v>86</v>
      </c>
      <c r="G38" s="966">
        <v>0</v>
      </c>
      <c r="H38" s="968">
        <v>0</v>
      </c>
      <c r="I38" s="980" t="s">
        <v>2690</v>
      </c>
      <c r="J38" s="968">
        <v>0</v>
      </c>
      <c r="K38" s="968">
        <v>0</v>
      </c>
      <c r="L38" s="968">
        <v>0</v>
      </c>
    </row>
    <row r="39" spans="1:12" x14ac:dyDescent="0.25">
      <c r="A39" s="2">
        <f t="shared" si="0"/>
        <v>26</v>
      </c>
      <c r="B39" s="213"/>
      <c r="C39" s="19" t="s">
        <v>202</v>
      </c>
      <c r="D39" s="979" t="s">
        <v>1562</v>
      </c>
      <c r="E39" s="220" t="s">
        <v>86</v>
      </c>
      <c r="F39" s="220" t="s">
        <v>86</v>
      </c>
      <c r="G39" s="966">
        <v>0</v>
      </c>
      <c r="H39" s="968">
        <v>0</v>
      </c>
      <c r="I39" s="980" t="s">
        <v>2690</v>
      </c>
      <c r="J39" s="968">
        <v>0</v>
      </c>
      <c r="K39" s="968">
        <v>0</v>
      </c>
      <c r="L39" s="968">
        <v>0</v>
      </c>
    </row>
    <row r="40" spans="1:12" x14ac:dyDescent="0.25">
      <c r="A40" s="2">
        <f t="shared" si="0"/>
        <v>27</v>
      </c>
      <c r="B40" s="213"/>
      <c r="C40" s="20" t="s">
        <v>203</v>
      </c>
      <c r="D40" s="979" t="s">
        <v>1562</v>
      </c>
      <c r="E40" s="220" t="s">
        <v>86</v>
      </c>
      <c r="F40" s="220" t="s">
        <v>86</v>
      </c>
      <c r="G40" s="966">
        <v>0</v>
      </c>
      <c r="H40" s="968">
        <v>0</v>
      </c>
      <c r="I40" s="980" t="s">
        <v>2690</v>
      </c>
      <c r="J40" s="968">
        <v>0</v>
      </c>
      <c r="K40" s="968">
        <v>0</v>
      </c>
      <c r="L40" s="968">
        <v>0</v>
      </c>
    </row>
    <row r="41" spans="1:12" x14ac:dyDescent="0.25">
      <c r="A41" s="2">
        <f t="shared" si="0"/>
        <v>28</v>
      </c>
      <c r="B41" s="213"/>
      <c r="C41" s="20" t="s">
        <v>204</v>
      </c>
      <c r="D41" s="979" t="s">
        <v>1562</v>
      </c>
      <c r="E41" s="220" t="s">
        <v>86</v>
      </c>
      <c r="F41" s="220" t="s">
        <v>86</v>
      </c>
      <c r="G41" s="966">
        <v>0</v>
      </c>
      <c r="H41" s="968">
        <v>0</v>
      </c>
      <c r="I41" s="980" t="s">
        <v>2690</v>
      </c>
      <c r="J41" s="968">
        <v>0</v>
      </c>
      <c r="K41" s="968">
        <v>0</v>
      </c>
      <c r="L41" s="968">
        <v>0</v>
      </c>
    </row>
    <row r="42" spans="1:12" x14ac:dyDescent="0.25">
      <c r="A42" s="2">
        <f t="shared" si="0"/>
        <v>29</v>
      </c>
      <c r="B42" s="213"/>
      <c r="C42" s="19" t="s">
        <v>205</v>
      </c>
      <c r="D42" s="979" t="s">
        <v>1562</v>
      </c>
      <c r="E42" s="220" t="s">
        <v>86</v>
      </c>
      <c r="F42" s="220" t="s">
        <v>86</v>
      </c>
      <c r="G42" s="966">
        <v>0</v>
      </c>
      <c r="H42" s="968">
        <v>0</v>
      </c>
      <c r="I42" s="980" t="s">
        <v>2690</v>
      </c>
      <c r="J42" s="968">
        <v>0</v>
      </c>
      <c r="K42" s="968">
        <v>0</v>
      </c>
      <c r="L42" s="968">
        <v>0</v>
      </c>
    </row>
    <row r="43" spans="1:12" x14ac:dyDescent="0.25">
      <c r="A43" s="2">
        <f t="shared" si="0"/>
        <v>30</v>
      </c>
      <c r="B43" s="213"/>
      <c r="C43" s="20" t="s">
        <v>206</v>
      </c>
      <c r="D43" s="979" t="s">
        <v>1562</v>
      </c>
      <c r="E43" s="220" t="s">
        <v>86</v>
      </c>
      <c r="F43" s="220" t="s">
        <v>86</v>
      </c>
      <c r="G43" s="966">
        <v>0</v>
      </c>
      <c r="H43" s="968">
        <v>0</v>
      </c>
      <c r="I43" s="980" t="s">
        <v>2690</v>
      </c>
      <c r="J43" s="968">
        <v>0</v>
      </c>
      <c r="K43" s="968">
        <v>0</v>
      </c>
      <c r="L43" s="968">
        <v>0</v>
      </c>
    </row>
    <row r="44" spans="1:12" x14ac:dyDescent="0.25">
      <c r="A44" s="2">
        <f t="shared" si="0"/>
        <v>31</v>
      </c>
      <c r="B44" s="213"/>
      <c r="C44" s="20" t="s">
        <v>207</v>
      </c>
      <c r="D44" s="979" t="s">
        <v>1562</v>
      </c>
      <c r="E44" s="220" t="s">
        <v>86</v>
      </c>
      <c r="F44" s="220" t="s">
        <v>86</v>
      </c>
      <c r="G44" s="966">
        <v>0</v>
      </c>
      <c r="H44" s="968">
        <v>0</v>
      </c>
      <c r="I44" s="980" t="s">
        <v>2690</v>
      </c>
      <c r="J44" s="968">
        <v>0</v>
      </c>
      <c r="K44" s="968">
        <v>0</v>
      </c>
      <c r="L44" s="968">
        <v>0</v>
      </c>
    </row>
    <row r="45" spans="1:12" x14ac:dyDescent="0.25">
      <c r="A45" s="103">
        <f t="shared" si="0"/>
        <v>32</v>
      </c>
      <c r="B45" s="213"/>
      <c r="C45" s="20" t="s">
        <v>210</v>
      </c>
      <c r="D45" s="979" t="s">
        <v>1562</v>
      </c>
      <c r="E45" s="220" t="s">
        <v>86</v>
      </c>
      <c r="F45" s="220" t="s">
        <v>86</v>
      </c>
      <c r="G45" s="966">
        <v>0</v>
      </c>
      <c r="H45" s="968">
        <v>0</v>
      </c>
      <c r="I45" s="980" t="s">
        <v>2690</v>
      </c>
      <c r="J45" s="968">
        <v>0</v>
      </c>
      <c r="K45" s="968">
        <v>0</v>
      </c>
      <c r="L45" s="968">
        <v>0</v>
      </c>
    </row>
    <row r="46" spans="1:12" x14ac:dyDescent="0.25">
      <c r="A46" s="103">
        <f t="shared" si="0"/>
        <v>33</v>
      </c>
      <c r="B46" s="213"/>
      <c r="C46" s="20" t="s">
        <v>209</v>
      </c>
      <c r="D46" s="979" t="s">
        <v>1562</v>
      </c>
      <c r="E46" s="220" t="s">
        <v>86</v>
      </c>
      <c r="F46" s="220" t="s">
        <v>86</v>
      </c>
      <c r="G46" s="966">
        <v>0</v>
      </c>
      <c r="H46" s="968">
        <v>0</v>
      </c>
      <c r="I46" s="980" t="s">
        <v>2690</v>
      </c>
      <c r="J46" s="968">
        <v>0</v>
      </c>
      <c r="K46" s="968">
        <v>0</v>
      </c>
      <c r="L46" s="968">
        <v>0</v>
      </c>
    </row>
    <row r="47" spans="1:12" x14ac:dyDescent="0.25">
      <c r="A47" s="103">
        <f t="shared" si="0"/>
        <v>34</v>
      </c>
      <c r="B47" s="213"/>
      <c r="C47" s="20" t="s">
        <v>199</v>
      </c>
      <c r="D47" s="979" t="s">
        <v>1562</v>
      </c>
      <c r="E47" s="220" t="s">
        <v>86</v>
      </c>
      <c r="F47" s="220" t="s">
        <v>86</v>
      </c>
      <c r="G47" s="966">
        <v>0</v>
      </c>
      <c r="H47" s="968">
        <v>0</v>
      </c>
      <c r="I47" s="980" t="s">
        <v>2690</v>
      </c>
      <c r="J47" s="968">
        <v>0</v>
      </c>
      <c r="K47" s="968">
        <v>0</v>
      </c>
      <c r="L47" s="968">
        <v>0</v>
      </c>
    </row>
    <row r="48" spans="1:12" x14ac:dyDescent="0.25">
      <c r="A48" s="103">
        <f t="shared" si="0"/>
        <v>35</v>
      </c>
      <c r="B48" s="213"/>
      <c r="C48" s="20"/>
      <c r="D48" s="23"/>
      <c r="E48" s="221"/>
      <c r="F48" s="221"/>
      <c r="G48" s="222"/>
      <c r="H48" s="217"/>
      <c r="I48" s="223"/>
      <c r="J48" s="219"/>
      <c r="K48" s="219"/>
      <c r="L48" s="219"/>
    </row>
    <row r="49" spans="1:12" x14ac:dyDescent="0.25">
      <c r="A49" s="103">
        <f t="shared" si="0"/>
        <v>36</v>
      </c>
      <c r="B49" s="21" t="s">
        <v>2569</v>
      </c>
      <c r="D49" s="23"/>
      <c r="E49" s="221"/>
      <c r="F49" s="221"/>
      <c r="G49" s="222"/>
      <c r="H49" s="217"/>
      <c r="I49" s="223"/>
      <c r="J49" s="219"/>
      <c r="K49" s="219"/>
      <c r="L49" s="219"/>
    </row>
    <row r="50" spans="1:12" x14ac:dyDescent="0.25">
      <c r="A50" s="103">
        <f t="shared" si="0"/>
        <v>37</v>
      </c>
      <c r="B50" s="21"/>
      <c r="D50" s="84" t="s">
        <v>394</v>
      </c>
      <c r="E50" s="84" t="s">
        <v>378</v>
      </c>
      <c r="F50" s="84" t="s">
        <v>379</v>
      </c>
      <c r="G50" s="84" t="s">
        <v>380</v>
      </c>
      <c r="H50" s="84" t="s">
        <v>381</v>
      </c>
      <c r="I50" s="84" t="s">
        <v>382</v>
      </c>
      <c r="J50" s="84" t="s">
        <v>383</v>
      </c>
      <c r="K50" s="84" t="s">
        <v>595</v>
      </c>
      <c r="L50" s="219"/>
    </row>
    <row r="51" spans="1:12" x14ac:dyDescent="0.25">
      <c r="A51" s="103">
        <f t="shared" si="0"/>
        <v>38</v>
      </c>
      <c r="B51" s="21"/>
      <c r="D51" s="84"/>
      <c r="E51" s="87" t="s">
        <v>1156</v>
      </c>
      <c r="F51" s="87" t="s">
        <v>1157</v>
      </c>
      <c r="G51" s="87" t="s">
        <v>1158</v>
      </c>
      <c r="H51" s="93" t="s">
        <v>1159</v>
      </c>
      <c r="I51" s="87" t="s">
        <v>1160</v>
      </c>
      <c r="J51" s="93" t="s">
        <v>1161</v>
      </c>
      <c r="K51" s="220" t="s">
        <v>1162</v>
      </c>
      <c r="L51" s="219"/>
    </row>
    <row r="52" spans="1:12" ht="14.4" x14ac:dyDescent="0.3">
      <c r="A52" s="103">
        <f t="shared" si="0"/>
        <v>39</v>
      </c>
      <c r="B52" s="21"/>
      <c r="D52" s="84"/>
      <c r="E52" s="87"/>
      <c r="F52" s="87"/>
      <c r="G52" s="225"/>
      <c r="H52" s="225" t="s">
        <v>211</v>
      </c>
      <c r="I52" s="87"/>
      <c r="J52" s="219"/>
      <c r="K52" s="225" t="s">
        <v>307</v>
      </c>
      <c r="L52" s="219"/>
    </row>
    <row r="53" spans="1:12" ht="14.4" x14ac:dyDescent="0.3">
      <c r="A53" s="103">
        <f t="shared" si="0"/>
        <v>40</v>
      </c>
      <c r="B53" s="213"/>
      <c r="C53" s="20"/>
      <c r="D53" s="23"/>
      <c r="E53" s="2" t="s">
        <v>19</v>
      </c>
      <c r="F53" s="224" t="s">
        <v>211</v>
      </c>
      <c r="G53" s="225"/>
      <c r="H53" s="224" t="s">
        <v>1053</v>
      </c>
      <c r="I53" s="216" t="s">
        <v>23</v>
      </c>
      <c r="J53" s="225" t="s">
        <v>211</v>
      </c>
      <c r="K53" s="225" t="s">
        <v>176</v>
      </c>
      <c r="L53" s="219"/>
    </row>
    <row r="54" spans="1:12" ht="14.4" x14ac:dyDescent="0.3">
      <c r="A54" s="103">
        <f t="shared" si="0"/>
        <v>41</v>
      </c>
      <c r="B54" s="213"/>
      <c r="D54" s="23"/>
      <c r="E54" s="2" t="s">
        <v>23</v>
      </c>
      <c r="F54" s="224" t="s">
        <v>1052</v>
      </c>
      <c r="G54" s="225"/>
      <c r="H54" s="224" t="s">
        <v>1054</v>
      </c>
      <c r="I54" s="2" t="s">
        <v>1154</v>
      </c>
      <c r="J54" s="224" t="s">
        <v>1053</v>
      </c>
      <c r="K54" s="225" t="s">
        <v>1163</v>
      </c>
      <c r="L54" s="219"/>
    </row>
    <row r="55" spans="1:12" ht="14.4" x14ac:dyDescent="0.3">
      <c r="A55" s="103">
        <f t="shared" si="0"/>
        <v>42</v>
      </c>
      <c r="B55" s="213"/>
      <c r="C55" s="20"/>
      <c r="D55" s="24" t="s">
        <v>212</v>
      </c>
      <c r="E55" s="3" t="s">
        <v>13</v>
      </c>
      <c r="F55" s="226" t="s">
        <v>1054</v>
      </c>
      <c r="G55" s="227" t="s">
        <v>1164</v>
      </c>
      <c r="H55" s="227" t="s">
        <v>1049</v>
      </c>
      <c r="I55" s="3" t="s">
        <v>211</v>
      </c>
      <c r="J55" s="226" t="s">
        <v>1054</v>
      </c>
      <c r="K55" s="227" t="s">
        <v>1165</v>
      </c>
      <c r="L55" s="219"/>
    </row>
    <row r="56" spans="1:12" x14ac:dyDescent="0.25">
      <c r="A56" s="103">
        <f t="shared" si="0"/>
        <v>43</v>
      </c>
      <c r="B56" s="213"/>
      <c r="C56" s="499" t="s">
        <v>200</v>
      </c>
      <c r="D56" s="979" t="s">
        <v>1562</v>
      </c>
      <c r="E56" s="970" t="s">
        <v>2690</v>
      </c>
      <c r="F56" s="968">
        <v>0</v>
      </c>
      <c r="G56" s="968">
        <v>0</v>
      </c>
      <c r="H56" s="968">
        <v>0</v>
      </c>
      <c r="I56" s="968">
        <v>0</v>
      </c>
      <c r="J56" s="968">
        <v>0</v>
      </c>
      <c r="K56" s="968">
        <v>0</v>
      </c>
      <c r="L56" s="219"/>
    </row>
    <row r="57" spans="1:12" x14ac:dyDescent="0.25">
      <c r="A57" s="103">
        <f t="shared" si="0"/>
        <v>44</v>
      </c>
      <c r="B57" s="213"/>
      <c r="C57" s="499" t="s">
        <v>201</v>
      </c>
      <c r="D57" s="979" t="s">
        <v>1562</v>
      </c>
      <c r="E57" s="970" t="s">
        <v>2690</v>
      </c>
      <c r="F57" s="968">
        <v>0</v>
      </c>
      <c r="G57" s="968">
        <v>0</v>
      </c>
      <c r="H57" s="968">
        <v>0</v>
      </c>
      <c r="I57" s="968">
        <v>0</v>
      </c>
      <c r="J57" s="968">
        <v>0</v>
      </c>
      <c r="K57" s="968">
        <v>0</v>
      </c>
      <c r="L57" s="219"/>
    </row>
    <row r="58" spans="1:12" x14ac:dyDescent="0.25">
      <c r="A58" s="103">
        <f t="shared" si="0"/>
        <v>45</v>
      </c>
      <c r="B58" s="213"/>
      <c r="C58" s="499" t="s">
        <v>214</v>
      </c>
      <c r="D58" s="979" t="s">
        <v>1562</v>
      </c>
      <c r="E58" s="970" t="s">
        <v>2690</v>
      </c>
      <c r="F58" s="968">
        <v>0</v>
      </c>
      <c r="G58" s="968">
        <v>0</v>
      </c>
      <c r="H58" s="968">
        <v>0</v>
      </c>
      <c r="I58" s="968">
        <v>0</v>
      </c>
      <c r="J58" s="968">
        <v>0</v>
      </c>
      <c r="K58" s="968">
        <v>0</v>
      </c>
      <c r="L58" s="219"/>
    </row>
    <row r="59" spans="1:12" x14ac:dyDescent="0.25">
      <c r="A59" s="103">
        <f t="shared" si="0"/>
        <v>46</v>
      </c>
      <c r="B59" s="213"/>
      <c r="C59" s="499" t="s">
        <v>202</v>
      </c>
      <c r="D59" s="979" t="s">
        <v>1562</v>
      </c>
      <c r="E59" s="970" t="s">
        <v>2690</v>
      </c>
      <c r="F59" s="968">
        <v>0</v>
      </c>
      <c r="G59" s="968">
        <v>0</v>
      </c>
      <c r="H59" s="968">
        <v>0</v>
      </c>
      <c r="I59" s="968">
        <v>0</v>
      </c>
      <c r="J59" s="968">
        <v>0</v>
      </c>
      <c r="K59" s="968">
        <v>0</v>
      </c>
      <c r="L59" s="219"/>
    </row>
    <row r="60" spans="1:12" x14ac:dyDescent="0.25">
      <c r="A60" s="103">
        <f t="shared" si="0"/>
        <v>47</v>
      </c>
      <c r="B60" s="213"/>
      <c r="C60" s="499" t="s">
        <v>203</v>
      </c>
      <c r="D60" s="979" t="s">
        <v>1562</v>
      </c>
      <c r="E60" s="970" t="s">
        <v>2690</v>
      </c>
      <c r="F60" s="968">
        <v>0</v>
      </c>
      <c r="G60" s="968">
        <v>0</v>
      </c>
      <c r="H60" s="968">
        <v>0</v>
      </c>
      <c r="I60" s="968">
        <v>0</v>
      </c>
      <c r="J60" s="968">
        <v>0</v>
      </c>
      <c r="K60" s="968">
        <v>0</v>
      </c>
      <c r="L60" s="219"/>
    </row>
    <row r="61" spans="1:12" x14ac:dyDescent="0.25">
      <c r="A61" s="103">
        <f t="shared" si="0"/>
        <v>48</v>
      </c>
      <c r="B61" s="213"/>
      <c r="C61" s="499" t="s">
        <v>1662</v>
      </c>
      <c r="D61" s="979" t="s">
        <v>1562</v>
      </c>
      <c r="E61" s="970" t="s">
        <v>2690</v>
      </c>
      <c r="F61" s="968">
        <v>0</v>
      </c>
      <c r="G61" s="968">
        <v>0</v>
      </c>
      <c r="H61" s="968">
        <v>0</v>
      </c>
      <c r="I61" s="968">
        <v>0</v>
      </c>
      <c r="J61" s="968">
        <v>0</v>
      </c>
      <c r="K61" s="968">
        <v>0</v>
      </c>
      <c r="L61" s="219"/>
    </row>
    <row r="62" spans="1:12" x14ac:dyDescent="0.25">
      <c r="A62" s="103">
        <f t="shared" si="0"/>
        <v>49</v>
      </c>
      <c r="B62" s="213"/>
      <c r="C62" s="499" t="s">
        <v>205</v>
      </c>
      <c r="D62" s="979" t="s">
        <v>1562</v>
      </c>
      <c r="E62" s="970" t="s">
        <v>2690</v>
      </c>
      <c r="F62" s="968">
        <v>0</v>
      </c>
      <c r="G62" s="968">
        <v>0</v>
      </c>
      <c r="H62" s="968">
        <v>0</v>
      </c>
      <c r="I62" s="968">
        <v>0</v>
      </c>
      <c r="J62" s="968">
        <v>0</v>
      </c>
      <c r="K62" s="968">
        <v>0</v>
      </c>
      <c r="L62" s="219"/>
    </row>
    <row r="63" spans="1:12" x14ac:dyDescent="0.25">
      <c r="A63" s="103">
        <f t="shared" si="0"/>
        <v>50</v>
      </c>
      <c r="B63" s="213"/>
      <c r="C63" s="499" t="s">
        <v>206</v>
      </c>
      <c r="D63" s="979" t="s">
        <v>1562</v>
      </c>
      <c r="E63" s="970" t="s">
        <v>2690</v>
      </c>
      <c r="F63" s="968">
        <v>0</v>
      </c>
      <c r="G63" s="968">
        <v>0</v>
      </c>
      <c r="H63" s="968">
        <v>0</v>
      </c>
      <c r="I63" s="968">
        <v>0</v>
      </c>
      <c r="J63" s="968">
        <v>0</v>
      </c>
      <c r="K63" s="968">
        <v>0</v>
      </c>
      <c r="L63" s="219"/>
    </row>
    <row r="64" spans="1:12" x14ac:dyDescent="0.25">
      <c r="A64" s="103">
        <f t="shared" si="0"/>
        <v>51</v>
      </c>
      <c r="B64" s="213"/>
      <c r="C64" s="499" t="s">
        <v>207</v>
      </c>
      <c r="D64" s="979" t="s">
        <v>1562</v>
      </c>
      <c r="E64" s="970" t="s">
        <v>2690</v>
      </c>
      <c r="F64" s="968">
        <v>0</v>
      </c>
      <c r="G64" s="968">
        <v>0</v>
      </c>
      <c r="H64" s="968">
        <v>0</v>
      </c>
      <c r="I64" s="968">
        <v>0</v>
      </c>
      <c r="J64" s="968">
        <v>0</v>
      </c>
      <c r="K64" s="968">
        <v>0</v>
      </c>
      <c r="L64" s="219"/>
    </row>
    <row r="65" spans="1:12" x14ac:dyDescent="0.25">
      <c r="A65" s="103">
        <f t="shared" si="0"/>
        <v>52</v>
      </c>
      <c r="B65" s="213"/>
      <c r="C65" s="499" t="s">
        <v>210</v>
      </c>
      <c r="D65" s="979" t="s">
        <v>1562</v>
      </c>
      <c r="E65" s="970" t="s">
        <v>2690</v>
      </c>
      <c r="F65" s="968">
        <v>0</v>
      </c>
      <c r="G65" s="968">
        <v>0</v>
      </c>
      <c r="H65" s="968">
        <v>0</v>
      </c>
      <c r="I65" s="968">
        <v>0</v>
      </c>
      <c r="J65" s="968">
        <v>0</v>
      </c>
      <c r="K65" s="968">
        <v>0</v>
      </c>
      <c r="L65" s="219"/>
    </row>
    <row r="66" spans="1:12" x14ac:dyDescent="0.25">
      <c r="A66" s="103">
        <f t="shared" si="0"/>
        <v>53</v>
      </c>
      <c r="B66" s="213"/>
      <c r="C66" s="499" t="s">
        <v>209</v>
      </c>
      <c r="D66" s="979" t="s">
        <v>1562</v>
      </c>
      <c r="E66" s="970" t="s">
        <v>2690</v>
      </c>
      <c r="F66" s="968">
        <v>0</v>
      </c>
      <c r="G66" s="968">
        <v>0</v>
      </c>
      <c r="H66" s="968">
        <v>0</v>
      </c>
      <c r="I66" s="968">
        <v>0</v>
      </c>
      <c r="J66" s="968">
        <v>0</v>
      </c>
      <c r="K66" s="968">
        <v>0</v>
      </c>
      <c r="L66" s="219"/>
    </row>
    <row r="67" spans="1:12" ht="12.75" customHeight="1" x14ac:dyDescent="0.4">
      <c r="A67" s="103">
        <f t="shared" si="0"/>
        <v>54</v>
      </c>
      <c r="B67" s="213"/>
      <c r="C67" s="499" t="s">
        <v>199</v>
      </c>
      <c r="D67" s="979" t="s">
        <v>1562</v>
      </c>
      <c r="E67" s="970" t="s">
        <v>2690</v>
      </c>
      <c r="F67" s="968">
        <v>0</v>
      </c>
      <c r="G67" s="969">
        <v>0</v>
      </c>
      <c r="H67" s="968">
        <v>0</v>
      </c>
      <c r="I67" s="968">
        <v>0</v>
      </c>
      <c r="J67" s="968">
        <v>0</v>
      </c>
      <c r="K67" s="969">
        <v>0</v>
      </c>
      <c r="L67" s="219"/>
    </row>
    <row r="68" spans="1:12" x14ac:dyDescent="0.25">
      <c r="A68" s="103">
        <f t="shared" si="0"/>
        <v>55</v>
      </c>
      <c r="B68" s="213"/>
      <c r="C68" s="20"/>
      <c r="D68" s="23"/>
      <c r="E68" s="221"/>
      <c r="F68" s="221"/>
      <c r="G68" s="968">
        <v>0</v>
      </c>
      <c r="I68" s="223"/>
      <c r="J68" s="214" t="s">
        <v>1167</v>
      </c>
      <c r="K68" s="968">
        <v>0</v>
      </c>
      <c r="L68" s="219"/>
    </row>
    <row r="69" spans="1:12" x14ac:dyDescent="0.25">
      <c r="A69" s="103">
        <f t="shared" si="0"/>
        <v>56</v>
      </c>
      <c r="B69" s="213"/>
      <c r="C69" s="20"/>
      <c r="D69" s="23"/>
      <c r="E69" s="221"/>
      <c r="F69" s="221"/>
      <c r="G69" s="222"/>
      <c r="H69" s="217"/>
      <c r="I69" s="223"/>
      <c r="J69" s="219"/>
      <c r="K69" s="219"/>
      <c r="L69" s="219"/>
    </row>
    <row r="70" spans="1:12" x14ac:dyDescent="0.25">
      <c r="A70" s="103">
        <f t="shared" si="0"/>
        <v>57</v>
      </c>
      <c r="B70" s="213"/>
      <c r="C70" s="20"/>
      <c r="D70" s="23"/>
      <c r="E70" s="221"/>
      <c r="F70" s="221"/>
      <c r="G70" s="222"/>
      <c r="H70" s="228" t="s">
        <v>1166</v>
      </c>
      <c r="I70" s="968">
        <v>0</v>
      </c>
      <c r="J70" s="219"/>
      <c r="K70" s="219"/>
      <c r="L70" s="219"/>
    </row>
    <row r="71" spans="1:12" x14ac:dyDescent="0.25">
      <c r="A71" s="103">
        <f t="shared" si="0"/>
        <v>58</v>
      </c>
      <c r="B71" s="213"/>
      <c r="C71" s="20"/>
      <c r="D71" s="23"/>
      <c r="E71" s="213"/>
      <c r="F71" s="229"/>
      <c r="G71" s="223"/>
      <c r="H71" s="353"/>
      <c r="I71" s="213"/>
      <c r="J71" s="213"/>
      <c r="K71" s="213"/>
      <c r="L71" s="213"/>
    </row>
    <row r="72" spans="1:12" x14ac:dyDescent="0.25">
      <c r="A72" s="103">
        <f t="shared" si="0"/>
        <v>59</v>
      </c>
      <c r="B72" s="1" t="s">
        <v>542</v>
      </c>
      <c r="C72" s="20"/>
      <c r="D72" s="23"/>
      <c r="E72" s="213"/>
      <c r="F72" s="229"/>
      <c r="G72" s="223"/>
      <c r="H72" s="229"/>
      <c r="I72" s="213"/>
      <c r="J72" s="213"/>
      <c r="K72" s="213"/>
      <c r="L72" s="213"/>
    </row>
    <row r="73" spans="1:12" x14ac:dyDescent="0.25">
      <c r="A73" s="103">
        <f t="shared" si="0"/>
        <v>60</v>
      </c>
      <c r="B73" s="1"/>
      <c r="C73" s="20"/>
      <c r="D73" s="23"/>
      <c r="E73" s="213"/>
      <c r="F73" s="495" t="s">
        <v>256</v>
      </c>
      <c r="G73" s="223"/>
      <c r="H73" s="229"/>
      <c r="I73" s="213"/>
      <c r="J73" s="213"/>
      <c r="K73" s="213"/>
      <c r="L73" s="213"/>
    </row>
    <row r="74" spans="1:12" ht="15" x14ac:dyDescent="0.4">
      <c r="A74" s="103">
        <f t="shared" si="0"/>
        <v>61</v>
      </c>
      <c r="B74" s="213"/>
      <c r="C74" s="20"/>
      <c r="D74" s="214" t="s">
        <v>1167</v>
      </c>
      <c r="E74" s="969">
        <v>0</v>
      </c>
      <c r="F74" s="465" t="s">
        <v>2592</v>
      </c>
      <c r="G74" s="223"/>
      <c r="H74" s="229"/>
      <c r="I74" s="213"/>
      <c r="J74" s="213"/>
      <c r="K74" s="213"/>
      <c r="L74" s="213"/>
    </row>
    <row r="75" spans="1:12" x14ac:dyDescent="0.25">
      <c r="A75" s="103">
        <f t="shared" si="0"/>
        <v>62</v>
      </c>
      <c r="B75" s="213"/>
      <c r="C75" s="20"/>
      <c r="D75" s="85" t="s">
        <v>32</v>
      </c>
      <c r="E75" s="968">
        <v>0</v>
      </c>
      <c r="F75" s="135" t="str">
        <f>"Line "&amp;A74&amp;".  Positive amount is to be collected by SCE (included in Base TRR as a positive amount)."</f>
        <v>Line 61.  Positive amount is to be collected by SCE (included in Base TRR as a positive amount).</v>
      </c>
      <c r="G75" s="223"/>
      <c r="H75" s="229"/>
      <c r="I75" s="213"/>
      <c r="J75" s="213"/>
      <c r="K75" s="213"/>
      <c r="L75" s="213"/>
    </row>
    <row r="76" spans="1:12" x14ac:dyDescent="0.25">
      <c r="A76" s="103">
        <f t="shared" si="0"/>
        <v>63</v>
      </c>
      <c r="B76" s="213"/>
      <c r="C76" s="213"/>
      <c r="D76" s="213"/>
      <c r="E76" s="213"/>
      <c r="F76" s="494" t="s">
        <v>1731</v>
      </c>
      <c r="G76" s="213"/>
      <c r="H76" s="213"/>
      <c r="I76" s="213"/>
      <c r="J76" s="213"/>
      <c r="K76" s="213"/>
      <c r="L76" s="213"/>
    </row>
    <row r="77" spans="1:12" x14ac:dyDescent="0.25">
      <c r="A77" s="103">
        <f t="shared" si="0"/>
        <v>64</v>
      </c>
      <c r="B77" s="1" t="s">
        <v>1055</v>
      </c>
      <c r="C77" s="213"/>
      <c r="D77" s="213"/>
      <c r="E77" s="213"/>
      <c r="F77" s="230"/>
      <c r="G77" s="213"/>
      <c r="H77" s="213"/>
      <c r="I77" s="213"/>
      <c r="J77" s="213"/>
      <c r="K77" s="213"/>
      <c r="L77" s="213"/>
    </row>
    <row r="78" spans="1:12" x14ac:dyDescent="0.25">
      <c r="A78" s="103">
        <f t="shared" si="0"/>
        <v>65</v>
      </c>
      <c r="B78" s="12" t="s">
        <v>409</v>
      </c>
      <c r="C78" s="213"/>
      <c r="D78" s="213"/>
      <c r="E78" s="213"/>
      <c r="F78" s="213"/>
      <c r="G78" s="213"/>
      <c r="H78" s="213"/>
      <c r="I78" s="213"/>
      <c r="J78" s="213"/>
      <c r="K78" s="213"/>
      <c r="L78" s="213"/>
    </row>
    <row r="79" spans="1:12" x14ac:dyDescent="0.25">
      <c r="A79" s="103">
        <f t="shared" si="0"/>
        <v>66</v>
      </c>
      <c r="B79" s="12" t="s">
        <v>410</v>
      </c>
      <c r="C79" s="213"/>
      <c r="D79" s="213"/>
      <c r="E79" s="213"/>
      <c r="F79" s="213"/>
      <c r="G79" s="213"/>
      <c r="H79" s="213"/>
      <c r="I79" s="213"/>
      <c r="J79" s="213"/>
      <c r="K79" s="213"/>
      <c r="L79" s="213"/>
    </row>
    <row r="80" spans="1:12" x14ac:dyDescent="0.25">
      <c r="A80" s="103">
        <f t="shared" si="0"/>
        <v>67</v>
      </c>
      <c r="B80" s="12" t="s">
        <v>411</v>
      </c>
      <c r="C80" s="213"/>
      <c r="D80" s="213"/>
      <c r="E80" s="213"/>
      <c r="F80" s="213"/>
      <c r="G80" s="213"/>
      <c r="H80" s="213"/>
      <c r="I80" s="213"/>
      <c r="J80" s="213"/>
      <c r="K80" s="213"/>
      <c r="L80" s="213"/>
    </row>
    <row r="81" spans="1:12" x14ac:dyDescent="0.25">
      <c r="A81" s="103">
        <f t="shared" si="0"/>
        <v>68</v>
      </c>
      <c r="B81" s="213"/>
      <c r="C81" s="213"/>
      <c r="D81" s="213"/>
      <c r="E81" s="213"/>
      <c r="F81" s="213"/>
      <c r="G81" s="213"/>
      <c r="H81" s="213"/>
      <c r="I81" s="213"/>
      <c r="J81" s="213"/>
      <c r="K81" s="213"/>
      <c r="L81" s="213"/>
    </row>
    <row r="82" spans="1:12" x14ac:dyDescent="0.25">
      <c r="A82" s="103">
        <f t="shared" ref="A82:A122" si="1">A81+1</f>
        <v>69</v>
      </c>
      <c r="B82" s="1" t="s">
        <v>1337</v>
      </c>
      <c r="C82" s="213"/>
      <c r="D82" s="213"/>
      <c r="E82" s="213"/>
      <c r="F82" s="213"/>
      <c r="G82" s="213"/>
      <c r="H82" s="213"/>
      <c r="I82" s="213"/>
      <c r="J82" s="213"/>
      <c r="K82" s="213"/>
      <c r="L82" s="213"/>
    </row>
    <row r="83" spans="1:12" x14ac:dyDescent="0.25">
      <c r="A83" s="103">
        <f t="shared" si="1"/>
        <v>70</v>
      </c>
      <c r="B83" s="213"/>
      <c r="C83" s="213"/>
      <c r="D83" s="216" t="s">
        <v>1285</v>
      </c>
      <c r="E83" s="213"/>
      <c r="G83" s="213"/>
      <c r="H83" s="213"/>
      <c r="I83" s="213"/>
      <c r="J83" s="213"/>
      <c r="K83" s="213"/>
      <c r="L83" s="213"/>
    </row>
    <row r="84" spans="1:12" x14ac:dyDescent="0.25">
      <c r="A84" s="103">
        <f t="shared" si="1"/>
        <v>71</v>
      </c>
      <c r="B84" s="213"/>
      <c r="C84" s="24" t="s">
        <v>211</v>
      </c>
      <c r="D84" s="3" t="s">
        <v>1168</v>
      </c>
      <c r="E84" s="3" t="s">
        <v>262</v>
      </c>
      <c r="G84" s="222"/>
      <c r="H84" s="222"/>
      <c r="I84" s="222"/>
      <c r="J84" s="222"/>
      <c r="K84" s="222"/>
      <c r="L84" s="222"/>
    </row>
    <row r="85" spans="1:12" x14ac:dyDescent="0.25">
      <c r="A85" s="103">
        <f t="shared" si="1"/>
        <v>72</v>
      </c>
      <c r="B85" s="213"/>
      <c r="C85" s="19" t="s">
        <v>200</v>
      </c>
      <c r="D85" s="114">
        <v>6.3763211440757639E-2</v>
      </c>
      <c r="E85" s="12" t="s">
        <v>1345</v>
      </c>
      <c r="G85" s="222"/>
      <c r="H85" s="222"/>
      <c r="I85" s="222"/>
      <c r="J85" s="222"/>
      <c r="K85" s="222"/>
      <c r="L85" s="222"/>
    </row>
    <row r="86" spans="1:12" x14ac:dyDescent="0.25">
      <c r="A86" s="103">
        <f t="shared" si="1"/>
        <v>73</v>
      </c>
      <c r="B86" s="213"/>
      <c r="C86" s="20" t="s">
        <v>201</v>
      </c>
      <c r="D86" s="114">
        <v>5.6553289888256801E-2</v>
      </c>
      <c r="G86" s="222"/>
      <c r="H86" s="222"/>
      <c r="I86" s="222"/>
      <c r="J86" s="222"/>
      <c r="K86" s="222"/>
      <c r="L86" s="222"/>
    </row>
    <row r="87" spans="1:12" x14ac:dyDescent="0.25">
      <c r="A87" s="103">
        <f t="shared" si="1"/>
        <v>74</v>
      </c>
      <c r="B87" s="213"/>
      <c r="C87" s="20" t="s">
        <v>214</v>
      </c>
      <c r="D87" s="114">
        <v>7.1828142218240867E-2</v>
      </c>
      <c r="E87" s="12"/>
      <c r="G87" s="222"/>
      <c r="H87" s="222"/>
      <c r="I87" s="222"/>
      <c r="J87" s="222"/>
      <c r="K87" s="222"/>
      <c r="L87" s="222"/>
    </row>
    <row r="88" spans="1:12" x14ac:dyDescent="0.25">
      <c r="A88" s="103">
        <f t="shared" si="1"/>
        <v>75</v>
      </c>
      <c r="B88" s="213"/>
      <c r="C88" s="19" t="s">
        <v>202</v>
      </c>
      <c r="D88" s="114">
        <v>8.2236801934806855E-2</v>
      </c>
      <c r="E88" s="138"/>
      <c r="G88" s="222"/>
      <c r="H88" s="222"/>
      <c r="I88" s="222"/>
      <c r="J88" s="222"/>
      <c r="K88" s="222"/>
      <c r="L88" s="222"/>
    </row>
    <row r="89" spans="1:12" x14ac:dyDescent="0.25">
      <c r="A89" s="103">
        <f t="shared" si="1"/>
        <v>76</v>
      </c>
      <c r="B89" s="213"/>
      <c r="C89" s="20" t="s">
        <v>203</v>
      </c>
      <c r="D89" s="114">
        <v>8.01837425905748E-2</v>
      </c>
      <c r="E89" s="231"/>
      <c r="G89" s="222"/>
      <c r="H89" s="222"/>
      <c r="I89" s="222"/>
      <c r="J89" s="222"/>
      <c r="K89" s="222"/>
      <c r="L89" s="222"/>
    </row>
    <row r="90" spans="1:12" x14ac:dyDescent="0.25">
      <c r="A90" s="103">
        <f t="shared" si="1"/>
        <v>77</v>
      </c>
      <c r="B90" s="213"/>
      <c r="C90" s="20" t="s">
        <v>204</v>
      </c>
      <c r="D90" s="114">
        <v>8.9450501877561497E-2</v>
      </c>
      <c r="E90" s="231"/>
      <c r="G90" s="222"/>
      <c r="H90" s="222"/>
      <c r="I90" s="222"/>
      <c r="J90" s="222"/>
      <c r="K90" s="222"/>
      <c r="L90" s="222"/>
    </row>
    <row r="91" spans="1:12" x14ac:dyDescent="0.25">
      <c r="A91" s="103">
        <f t="shared" si="1"/>
        <v>78</v>
      </c>
      <c r="B91" s="213"/>
      <c r="C91" s="19" t="s">
        <v>205</v>
      </c>
      <c r="D91" s="114">
        <v>9.8908415854749826E-2</v>
      </c>
      <c r="E91" s="231"/>
      <c r="G91" s="222"/>
      <c r="H91" s="222"/>
      <c r="I91" s="222"/>
      <c r="J91" s="222"/>
      <c r="K91" s="222"/>
      <c r="L91" s="222"/>
    </row>
    <row r="92" spans="1:12" x14ac:dyDescent="0.25">
      <c r="A92" s="103">
        <f t="shared" si="1"/>
        <v>79</v>
      </c>
      <c r="B92" s="213"/>
      <c r="C92" s="20" t="s">
        <v>206</v>
      </c>
      <c r="D92" s="114">
        <v>0.10141004323318151</v>
      </c>
      <c r="E92" s="231"/>
      <c r="G92" s="222"/>
      <c r="H92" s="222"/>
      <c r="I92" s="222"/>
      <c r="J92" s="222"/>
      <c r="K92" s="222"/>
      <c r="L92" s="222"/>
    </row>
    <row r="93" spans="1:12" x14ac:dyDescent="0.25">
      <c r="A93" s="103">
        <f t="shared" si="1"/>
        <v>80</v>
      </c>
      <c r="B93" s="213"/>
      <c r="C93" s="20" t="s">
        <v>207</v>
      </c>
      <c r="D93" s="114">
        <v>0.10217900008822713</v>
      </c>
      <c r="E93" s="231"/>
      <c r="G93" s="222"/>
      <c r="H93" s="222"/>
      <c r="I93" s="222"/>
      <c r="J93" s="222"/>
      <c r="K93" s="222"/>
      <c r="L93" s="222"/>
    </row>
    <row r="94" spans="1:12" x14ac:dyDescent="0.25">
      <c r="A94" s="103">
        <f t="shared" si="1"/>
        <v>81</v>
      </c>
      <c r="B94" s="213"/>
      <c r="C94" s="19" t="s">
        <v>210</v>
      </c>
      <c r="D94" s="114">
        <v>9.1787269171678454E-2</v>
      </c>
      <c r="E94" s="231"/>
      <c r="G94" s="222"/>
      <c r="H94" s="222"/>
      <c r="I94" s="222"/>
      <c r="J94" s="222"/>
      <c r="K94" s="222"/>
      <c r="L94" s="222"/>
    </row>
    <row r="95" spans="1:12" x14ac:dyDescent="0.25">
      <c r="A95" s="103">
        <f t="shared" si="1"/>
        <v>82</v>
      </c>
      <c r="B95" s="213"/>
      <c r="C95" s="19" t="s">
        <v>209</v>
      </c>
      <c r="D95" s="114">
        <v>7.5296938318149625E-2</v>
      </c>
      <c r="E95" s="231"/>
      <c r="G95" s="213"/>
      <c r="H95" s="213"/>
      <c r="I95" s="213"/>
      <c r="J95" s="213"/>
      <c r="K95" s="213"/>
      <c r="L95" s="213"/>
    </row>
    <row r="96" spans="1:12" x14ac:dyDescent="0.25">
      <c r="A96" s="103">
        <f t="shared" si="1"/>
        <v>83</v>
      </c>
      <c r="B96" s="213"/>
      <c r="C96" s="20" t="s">
        <v>199</v>
      </c>
      <c r="D96" s="354">
        <v>8.640264338381512E-2</v>
      </c>
      <c r="E96" s="142"/>
      <c r="G96" s="213"/>
      <c r="H96" s="213"/>
      <c r="I96" s="213"/>
      <c r="J96" s="213"/>
      <c r="K96" s="213"/>
      <c r="L96" s="213"/>
    </row>
    <row r="97" spans="1:12" x14ac:dyDescent="0.25">
      <c r="A97" s="103">
        <f t="shared" si="1"/>
        <v>84</v>
      </c>
      <c r="B97" s="213"/>
      <c r="C97" s="33" t="s">
        <v>4</v>
      </c>
      <c r="D97" s="380">
        <f>SUM(D85:D96)</f>
        <v>1.0000000000000002</v>
      </c>
      <c r="E97" s="213"/>
      <c r="G97" s="213"/>
      <c r="H97" s="213"/>
      <c r="I97" s="213"/>
      <c r="J97" s="213"/>
      <c r="K97" s="213"/>
      <c r="L97" s="213"/>
    </row>
    <row r="98" spans="1:12" x14ac:dyDescent="0.25">
      <c r="A98" s="103">
        <f t="shared" si="1"/>
        <v>85</v>
      </c>
      <c r="B98" s="213"/>
      <c r="C98" s="213"/>
      <c r="D98" s="213"/>
      <c r="E98" s="213"/>
      <c r="F98" s="2"/>
      <c r="G98" s="213"/>
      <c r="H98" s="213"/>
      <c r="I98" s="213"/>
      <c r="J98" s="213"/>
      <c r="K98" s="213"/>
      <c r="L98" s="213"/>
    </row>
    <row r="99" spans="1:12" x14ac:dyDescent="0.25">
      <c r="A99" s="103">
        <f t="shared" si="1"/>
        <v>86</v>
      </c>
      <c r="B99" s="1" t="s">
        <v>1405</v>
      </c>
      <c r="C99" s="213"/>
      <c r="D99" s="213"/>
      <c r="E99" s="213"/>
      <c r="F99" s="2"/>
      <c r="G99" s="213"/>
      <c r="H99" s="213"/>
      <c r="I99" s="213"/>
      <c r="J99" s="213"/>
      <c r="K99" s="213"/>
      <c r="L99" s="213"/>
    </row>
    <row r="100" spans="1:12" x14ac:dyDescent="0.25">
      <c r="A100" s="103">
        <f t="shared" si="1"/>
        <v>87</v>
      </c>
      <c r="B100" s="213"/>
      <c r="C100" s="213"/>
      <c r="D100" s="213"/>
      <c r="E100" s="213"/>
      <c r="F100" s="2"/>
      <c r="G100" s="213"/>
      <c r="H100" s="213"/>
      <c r="I100" s="213"/>
      <c r="J100" s="213"/>
      <c r="K100" s="213"/>
      <c r="L100" s="213"/>
    </row>
    <row r="101" spans="1:12" x14ac:dyDescent="0.25">
      <c r="A101" s="103">
        <f t="shared" si="1"/>
        <v>88</v>
      </c>
      <c r="B101" s="213"/>
      <c r="C101" s="84" t="s">
        <v>394</v>
      </c>
      <c r="D101" s="84" t="s">
        <v>378</v>
      </c>
      <c r="E101" s="84" t="s">
        <v>379</v>
      </c>
      <c r="F101" s="84" t="s">
        <v>380</v>
      </c>
      <c r="G101" s="84" t="s">
        <v>381</v>
      </c>
      <c r="H101" s="84" t="s">
        <v>382</v>
      </c>
      <c r="I101" s="84" t="s">
        <v>383</v>
      </c>
      <c r="J101" s="213"/>
      <c r="K101" s="213"/>
      <c r="L101" s="213"/>
    </row>
    <row r="102" spans="1:12" x14ac:dyDescent="0.25">
      <c r="A102" s="103">
        <f t="shared" si="1"/>
        <v>89</v>
      </c>
      <c r="B102" s="213"/>
      <c r="C102" s="87" t="s">
        <v>1169</v>
      </c>
      <c r="D102" s="87" t="s">
        <v>1409</v>
      </c>
      <c r="E102" s="84"/>
      <c r="F102" s="84"/>
      <c r="G102" s="84"/>
      <c r="H102" s="84"/>
      <c r="I102" s="87" t="s">
        <v>586</v>
      </c>
      <c r="J102" s="213"/>
      <c r="K102" s="213"/>
      <c r="L102" s="213"/>
    </row>
    <row r="103" spans="1:12" x14ac:dyDescent="0.25">
      <c r="A103" s="103">
        <f t="shared" si="1"/>
        <v>90</v>
      </c>
      <c r="B103" s="213"/>
      <c r="C103" s="213"/>
      <c r="D103" s="213"/>
      <c r="E103" s="213"/>
      <c r="F103" s="2"/>
      <c r="G103" s="213"/>
      <c r="H103" s="213"/>
      <c r="I103" s="213"/>
      <c r="J103" s="213"/>
      <c r="K103" s="213"/>
      <c r="L103" s="213"/>
    </row>
    <row r="104" spans="1:12" x14ac:dyDescent="0.25">
      <c r="A104" s="103">
        <f t="shared" si="1"/>
        <v>91</v>
      </c>
      <c r="B104" s="213"/>
      <c r="C104" s="2" t="s">
        <v>559</v>
      </c>
      <c r="D104" s="213"/>
      <c r="E104" s="213"/>
      <c r="F104" s="2"/>
      <c r="G104" s="213"/>
      <c r="H104" s="213"/>
      <c r="I104" s="2" t="s">
        <v>19</v>
      </c>
      <c r="J104" s="213"/>
      <c r="K104" s="213"/>
      <c r="L104" s="213"/>
    </row>
    <row r="105" spans="1:12" x14ac:dyDescent="0.25">
      <c r="A105" s="103">
        <f t="shared" si="1"/>
        <v>92</v>
      </c>
      <c r="B105" s="216" t="s">
        <v>446</v>
      </c>
      <c r="C105" s="2" t="s">
        <v>580</v>
      </c>
      <c r="D105" s="213"/>
      <c r="E105" s="213"/>
      <c r="F105" s="84"/>
      <c r="G105" s="213"/>
      <c r="H105" s="213"/>
      <c r="I105" s="2" t="s">
        <v>215</v>
      </c>
      <c r="J105" s="213"/>
      <c r="K105" s="213"/>
      <c r="L105" s="213"/>
    </row>
    <row r="106" spans="1:12" x14ac:dyDescent="0.25">
      <c r="A106" s="103">
        <f t="shared" si="1"/>
        <v>93</v>
      </c>
      <c r="B106" s="216" t="s">
        <v>212</v>
      </c>
      <c r="C106" s="2" t="s">
        <v>337</v>
      </c>
      <c r="D106" s="2" t="s">
        <v>392</v>
      </c>
      <c r="E106" s="2"/>
      <c r="F106" s="2"/>
      <c r="G106" s="2" t="s">
        <v>578</v>
      </c>
      <c r="H106" s="2"/>
      <c r="I106" s="2" t="s">
        <v>20</v>
      </c>
      <c r="J106" s="213"/>
      <c r="K106" s="213"/>
      <c r="L106" s="213"/>
    </row>
    <row r="107" spans="1:12" x14ac:dyDescent="0.25">
      <c r="A107" s="103">
        <f t="shared" si="1"/>
        <v>94</v>
      </c>
      <c r="B107" s="3" t="s">
        <v>211</v>
      </c>
      <c r="C107" s="3" t="s">
        <v>21</v>
      </c>
      <c r="D107" s="3" t="s">
        <v>337</v>
      </c>
      <c r="E107" s="3" t="s">
        <v>336</v>
      </c>
      <c r="F107" s="3" t="s">
        <v>577</v>
      </c>
      <c r="G107" s="3" t="s">
        <v>579</v>
      </c>
      <c r="H107" s="3" t="s">
        <v>392</v>
      </c>
      <c r="I107" s="3" t="s">
        <v>87</v>
      </c>
      <c r="J107" s="213"/>
      <c r="K107" s="213"/>
      <c r="L107" s="213"/>
    </row>
    <row r="108" spans="1:12" x14ac:dyDescent="0.25">
      <c r="A108" s="103">
        <f t="shared" si="1"/>
        <v>95</v>
      </c>
      <c r="B108" s="232" t="s">
        <v>74</v>
      </c>
      <c r="C108" s="966">
        <v>0</v>
      </c>
      <c r="D108" s="966">
        <v>0</v>
      </c>
      <c r="E108" s="966">
        <v>0</v>
      </c>
      <c r="F108" s="966">
        <v>0</v>
      </c>
      <c r="G108" s="966">
        <v>0</v>
      </c>
      <c r="H108" s="966">
        <v>0</v>
      </c>
      <c r="I108" s="968">
        <v>0</v>
      </c>
      <c r="J108" s="213"/>
      <c r="K108" s="213"/>
      <c r="L108" s="213"/>
    </row>
    <row r="109" spans="1:12" x14ac:dyDescent="0.25">
      <c r="A109" s="103">
        <f t="shared" si="1"/>
        <v>96</v>
      </c>
      <c r="B109" s="232" t="s">
        <v>75</v>
      </c>
      <c r="C109" s="966">
        <v>0</v>
      </c>
      <c r="D109" s="966">
        <v>0</v>
      </c>
      <c r="E109" s="966">
        <v>0</v>
      </c>
      <c r="F109" s="966">
        <v>0</v>
      </c>
      <c r="G109" s="966">
        <v>0</v>
      </c>
      <c r="H109" s="966">
        <v>0</v>
      </c>
      <c r="I109" s="968">
        <v>0</v>
      </c>
      <c r="J109" s="213"/>
      <c r="K109" s="213"/>
      <c r="L109" s="213"/>
    </row>
    <row r="110" spans="1:12" x14ac:dyDescent="0.25">
      <c r="A110" s="103">
        <f t="shared" si="1"/>
        <v>97</v>
      </c>
      <c r="B110" s="232" t="s">
        <v>76</v>
      </c>
      <c r="C110" s="966">
        <v>0</v>
      </c>
      <c r="D110" s="966">
        <v>0</v>
      </c>
      <c r="E110" s="966">
        <v>0</v>
      </c>
      <c r="F110" s="966">
        <v>0</v>
      </c>
      <c r="G110" s="966">
        <v>0</v>
      </c>
      <c r="H110" s="966">
        <v>0</v>
      </c>
      <c r="I110" s="968">
        <v>0</v>
      </c>
      <c r="J110" s="213"/>
      <c r="K110" s="213"/>
      <c r="L110" s="213"/>
    </row>
    <row r="111" spans="1:12" x14ac:dyDescent="0.25">
      <c r="A111" s="103">
        <f t="shared" si="1"/>
        <v>98</v>
      </c>
      <c r="B111" s="232" t="s">
        <v>77</v>
      </c>
      <c r="C111" s="966">
        <v>0</v>
      </c>
      <c r="D111" s="966">
        <v>0</v>
      </c>
      <c r="E111" s="966">
        <v>0</v>
      </c>
      <c r="F111" s="966">
        <v>0</v>
      </c>
      <c r="G111" s="966">
        <v>0</v>
      </c>
      <c r="H111" s="966">
        <v>0</v>
      </c>
      <c r="I111" s="968">
        <v>0</v>
      </c>
      <c r="J111" s="213"/>
      <c r="K111" s="213"/>
      <c r="L111" s="213"/>
    </row>
    <row r="112" spans="1:12" x14ac:dyDescent="0.25">
      <c r="A112" s="103">
        <f t="shared" si="1"/>
        <v>99</v>
      </c>
      <c r="B112" s="87" t="s">
        <v>203</v>
      </c>
      <c r="C112" s="966">
        <v>0</v>
      </c>
      <c r="D112" s="966">
        <v>0</v>
      </c>
      <c r="E112" s="966">
        <v>0</v>
      </c>
      <c r="F112" s="966">
        <v>0</v>
      </c>
      <c r="G112" s="966">
        <v>0</v>
      </c>
      <c r="H112" s="966">
        <v>0</v>
      </c>
      <c r="I112" s="968">
        <v>0</v>
      </c>
      <c r="J112" s="213"/>
      <c r="K112" s="213"/>
      <c r="L112" s="213"/>
    </row>
    <row r="113" spans="1:12" x14ac:dyDescent="0.25">
      <c r="A113" s="103">
        <f t="shared" si="1"/>
        <v>100</v>
      </c>
      <c r="B113" s="232" t="s">
        <v>78</v>
      </c>
      <c r="C113" s="966">
        <v>0</v>
      </c>
      <c r="D113" s="966">
        <v>0</v>
      </c>
      <c r="E113" s="966">
        <v>0</v>
      </c>
      <c r="F113" s="966">
        <v>0</v>
      </c>
      <c r="G113" s="966">
        <v>0</v>
      </c>
      <c r="H113" s="966">
        <v>0</v>
      </c>
      <c r="I113" s="968">
        <v>0</v>
      </c>
      <c r="J113" s="213"/>
      <c r="K113" s="213"/>
      <c r="L113" s="213"/>
    </row>
    <row r="114" spans="1:12" x14ac:dyDescent="0.25">
      <c r="A114" s="103">
        <f t="shared" si="1"/>
        <v>101</v>
      </c>
      <c r="B114" s="232" t="s">
        <v>79</v>
      </c>
      <c r="C114" s="966">
        <v>0</v>
      </c>
      <c r="D114" s="966">
        <v>0</v>
      </c>
      <c r="E114" s="966">
        <v>0</v>
      </c>
      <c r="F114" s="966">
        <v>0</v>
      </c>
      <c r="G114" s="966">
        <v>0</v>
      </c>
      <c r="H114" s="966">
        <v>0</v>
      </c>
      <c r="I114" s="968">
        <v>0</v>
      </c>
      <c r="J114" s="213"/>
      <c r="K114" s="213"/>
      <c r="L114" s="213"/>
    </row>
    <row r="115" spans="1:12" x14ac:dyDescent="0.25">
      <c r="A115" s="103">
        <f t="shared" si="1"/>
        <v>102</v>
      </c>
      <c r="B115" s="232" t="s">
        <v>80</v>
      </c>
      <c r="C115" s="966">
        <v>0</v>
      </c>
      <c r="D115" s="966">
        <v>0</v>
      </c>
      <c r="E115" s="966">
        <v>0</v>
      </c>
      <c r="F115" s="966">
        <v>0</v>
      </c>
      <c r="G115" s="966">
        <v>0</v>
      </c>
      <c r="H115" s="966">
        <v>0</v>
      </c>
      <c r="I115" s="968">
        <v>0</v>
      </c>
      <c r="J115" s="213"/>
      <c r="K115" s="213"/>
      <c r="L115" s="213"/>
    </row>
    <row r="116" spans="1:12" x14ac:dyDescent="0.25">
      <c r="A116" s="103">
        <f t="shared" si="1"/>
        <v>103</v>
      </c>
      <c r="B116" s="232" t="s">
        <v>81</v>
      </c>
      <c r="C116" s="966">
        <v>0</v>
      </c>
      <c r="D116" s="966">
        <v>0</v>
      </c>
      <c r="E116" s="966">
        <v>0</v>
      </c>
      <c r="F116" s="966">
        <v>0</v>
      </c>
      <c r="G116" s="966">
        <v>0</v>
      </c>
      <c r="H116" s="966">
        <v>0</v>
      </c>
      <c r="I116" s="968">
        <v>0</v>
      </c>
      <c r="J116" s="213"/>
      <c r="K116" s="213"/>
      <c r="L116" s="213"/>
    </row>
    <row r="117" spans="1:12" x14ac:dyDescent="0.25">
      <c r="A117" s="103">
        <f t="shared" si="1"/>
        <v>104</v>
      </c>
      <c r="B117" s="232" t="s">
        <v>82</v>
      </c>
      <c r="C117" s="966">
        <v>0</v>
      </c>
      <c r="D117" s="966">
        <v>0</v>
      </c>
      <c r="E117" s="966">
        <v>0</v>
      </c>
      <c r="F117" s="966">
        <v>0</v>
      </c>
      <c r="G117" s="966">
        <v>0</v>
      </c>
      <c r="H117" s="966">
        <v>0</v>
      </c>
      <c r="I117" s="968">
        <v>0</v>
      </c>
      <c r="J117" s="213"/>
      <c r="K117" s="213"/>
      <c r="L117" s="213"/>
    </row>
    <row r="118" spans="1:12" x14ac:dyDescent="0.25">
      <c r="A118" s="103">
        <f t="shared" si="1"/>
        <v>105</v>
      </c>
      <c r="B118" s="232" t="s">
        <v>83</v>
      </c>
      <c r="C118" s="966">
        <v>0</v>
      </c>
      <c r="D118" s="966">
        <v>0</v>
      </c>
      <c r="E118" s="966">
        <v>0</v>
      </c>
      <c r="F118" s="966">
        <v>0</v>
      </c>
      <c r="G118" s="966">
        <v>0</v>
      </c>
      <c r="H118" s="966">
        <v>0</v>
      </c>
      <c r="I118" s="968">
        <v>0</v>
      </c>
      <c r="J118" s="213"/>
      <c r="K118" s="213"/>
      <c r="L118" s="213"/>
    </row>
    <row r="119" spans="1:12" ht="15" x14ac:dyDescent="0.4">
      <c r="A119" s="103">
        <f t="shared" si="1"/>
        <v>106</v>
      </c>
      <c r="B119" s="232" t="s">
        <v>84</v>
      </c>
      <c r="C119" s="967">
        <v>0</v>
      </c>
      <c r="D119" s="967">
        <v>0</v>
      </c>
      <c r="E119" s="967">
        <v>0</v>
      </c>
      <c r="F119" s="967">
        <v>0</v>
      </c>
      <c r="G119" s="967">
        <v>0</v>
      </c>
      <c r="H119" s="967">
        <v>0</v>
      </c>
      <c r="I119" s="969">
        <v>0</v>
      </c>
      <c r="J119" s="213"/>
      <c r="K119" s="213"/>
      <c r="L119" s="213"/>
    </row>
    <row r="120" spans="1:12" x14ac:dyDescent="0.25">
      <c r="A120" s="103">
        <f t="shared" si="1"/>
        <v>107</v>
      </c>
      <c r="B120" s="87" t="s">
        <v>216</v>
      </c>
      <c r="C120" s="968">
        <v>0</v>
      </c>
      <c r="D120" s="968">
        <v>0</v>
      </c>
      <c r="E120" s="968">
        <v>0</v>
      </c>
      <c r="F120" s="968">
        <v>0</v>
      </c>
      <c r="G120" s="968">
        <v>0</v>
      </c>
      <c r="H120" s="968">
        <v>0</v>
      </c>
      <c r="I120" s="968">
        <v>0</v>
      </c>
      <c r="J120" s="213"/>
      <c r="K120" s="213"/>
      <c r="L120" s="213"/>
    </row>
    <row r="121" spans="1:12" x14ac:dyDescent="0.25">
      <c r="A121" s="103">
        <f t="shared" si="1"/>
        <v>108</v>
      </c>
      <c r="B121" s="213"/>
      <c r="C121" s="213"/>
      <c r="D121" s="213"/>
      <c r="E121" s="213"/>
      <c r="F121" s="213"/>
      <c r="G121" s="213"/>
      <c r="H121" s="91"/>
      <c r="I121" s="213"/>
      <c r="J121" s="213"/>
      <c r="K121" s="213"/>
      <c r="L121" s="213"/>
    </row>
    <row r="122" spans="1:12" x14ac:dyDescent="0.25">
      <c r="A122" s="103">
        <f t="shared" si="1"/>
        <v>109</v>
      </c>
      <c r="B122" s="213"/>
      <c r="C122" s="213"/>
      <c r="D122" s="213"/>
      <c r="E122" s="213"/>
      <c r="F122" s="213"/>
      <c r="G122" s="213"/>
      <c r="H122" s="91" t="s">
        <v>581</v>
      </c>
      <c r="I122" s="966">
        <v>0</v>
      </c>
      <c r="J122" s="213"/>
      <c r="K122" s="213"/>
      <c r="L122" s="213"/>
    </row>
    <row r="123" spans="1:12" x14ac:dyDescent="0.25">
      <c r="A123" s="222"/>
      <c r="B123" s="213"/>
      <c r="C123" s="213"/>
      <c r="D123" s="213"/>
      <c r="E123" s="213"/>
      <c r="F123" s="213"/>
      <c r="G123" s="213"/>
      <c r="H123" s="213"/>
      <c r="I123" s="213"/>
      <c r="J123" s="213"/>
      <c r="K123" s="213"/>
      <c r="L123" s="213"/>
    </row>
    <row r="124" spans="1:12" x14ac:dyDescent="0.25">
      <c r="A124" s="103"/>
      <c r="B124" s="43" t="s">
        <v>420</v>
      </c>
      <c r="C124" s="222"/>
      <c r="D124" s="222"/>
      <c r="E124" s="222"/>
      <c r="F124" s="222"/>
      <c r="G124" s="222"/>
      <c r="H124" s="222"/>
      <c r="I124" s="217"/>
      <c r="J124" s="222"/>
      <c r="K124" s="222"/>
      <c r="L124" s="213"/>
    </row>
    <row r="125" spans="1:12" x14ac:dyDescent="0.25">
      <c r="A125" s="103"/>
      <c r="B125" s="465" t="s">
        <v>2570</v>
      </c>
      <c r="C125" s="222"/>
      <c r="D125" s="222"/>
      <c r="E125" s="222"/>
      <c r="F125" s="222"/>
      <c r="G125" s="222"/>
      <c r="H125" s="222"/>
      <c r="I125" s="222"/>
      <c r="J125" s="222"/>
      <c r="K125" s="222"/>
      <c r="L125" s="213"/>
    </row>
    <row r="126" spans="1:12" x14ac:dyDescent="0.25">
      <c r="A126" s="103"/>
      <c r="B126" s="465" t="s">
        <v>2571</v>
      </c>
      <c r="C126" s="222"/>
      <c r="D126" s="222"/>
      <c r="E126" s="222"/>
      <c r="F126" s="222"/>
      <c r="G126" s="222"/>
      <c r="H126" s="222"/>
      <c r="I126" s="222"/>
      <c r="J126" s="222"/>
      <c r="K126" s="222"/>
      <c r="L126" s="213"/>
    </row>
    <row r="127" spans="1:12" x14ac:dyDescent="0.25">
      <c r="A127" s="103"/>
      <c r="B127" s="140" t="s">
        <v>1170</v>
      </c>
      <c r="C127" s="222"/>
      <c r="D127" s="222"/>
      <c r="E127" s="222"/>
      <c r="F127" s="222"/>
      <c r="G127" s="222"/>
      <c r="H127" s="222"/>
      <c r="I127" s="222"/>
      <c r="J127" s="222"/>
      <c r="K127" s="222"/>
      <c r="L127" s="213"/>
    </row>
    <row r="128" spans="1:12" x14ac:dyDescent="0.25">
      <c r="A128" s="103"/>
      <c r="B128" s="45" t="s">
        <v>1056</v>
      </c>
      <c r="C128" s="222"/>
      <c r="D128" s="222"/>
      <c r="E128" s="222"/>
      <c r="F128" s="222"/>
      <c r="G128" s="222"/>
      <c r="H128" s="222"/>
      <c r="I128" s="222"/>
      <c r="J128" s="222"/>
      <c r="K128" s="222"/>
      <c r="L128" s="213"/>
    </row>
    <row r="129" spans="1:12" x14ac:dyDescent="0.25">
      <c r="A129" s="103"/>
      <c r="B129" s="919" t="s">
        <v>2572</v>
      </c>
      <c r="C129" s="222"/>
      <c r="D129" s="222"/>
      <c r="E129" s="222"/>
      <c r="F129" s="222"/>
      <c r="G129" s="222"/>
      <c r="H129" s="222"/>
      <c r="I129" s="222"/>
      <c r="J129" s="222"/>
      <c r="K129" s="222"/>
      <c r="L129" s="213"/>
    </row>
    <row r="130" spans="1:12" x14ac:dyDescent="0.25">
      <c r="A130" s="103"/>
      <c r="B130" s="465" t="s">
        <v>2573</v>
      </c>
      <c r="C130" s="222"/>
      <c r="D130" s="222"/>
      <c r="E130" s="222"/>
      <c r="F130" s="222"/>
      <c r="G130" s="222"/>
      <c r="H130" s="222"/>
      <c r="I130" s="222"/>
      <c r="J130" s="222"/>
      <c r="K130" s="222"/>
      <c r="L130" s="213"/>
    </row>
    <row r="131" spans="1:12" x14ac:dyDescent="0.25">
      <c r="A131" s="103"/>
      <c r="B131" s="923" t="s">
        <v>2574</v>
      </c>
      <c r="C131" s="222"/>
      <c r="D131" s="222"/>
      <c r="E131" s="222"/>
      <c r="F131" s="222"/>
      <c r="G131" s="222"/>
      <c r="H131" s="222"/>
      <c r="I131" s="222"/>
      <c r="J131" s="222"/>
      <c r="K131" s="222"/>
      <c r="L131" s="213"/>
    </row>
    <row r="132" spans="1:12" x14ac:dyDescent="0.25">
      <c r="A132" s="103"/>
      <c r="B132" s="923" t="str">
        <f>"This instruction requires that the amount on Line "&amp;A70&amp;" Column 6 be calculated so that any over or under collection at the beginning of the Rate Effective Period"</f>
        <v>This instruction requires that the amount on Line 57 Column 6 be calculated so that any over or under collection at the beginning of the Rate Effective Period</v>
      </c>
      <c r="C132" s="222"/>
      <c r="D132" s="222"/>
      <c r="E132" s="222"/>
      <c r="F132" s="222"/>
      <c r="G132" s="222"/>
      <c r="H132" s="222"/>
      <c r="I132" s="222"/>
      <c r="J132" s="222"/>
      <c r="K132" s="222"/>
    </row>
    <row r="133" spans="1:12" x14ac:dyDescent="0.25">
      <c r="A133" s="103"/>
      <c r="B133" s="923" t="str">
        <f>"is completely amortized over the following 12 months, as reflected by the Line "&amp;A67&amp;", Column 7 amount being equal to zero.  It may be necessary to iterate for"</f>
        <v>is completely amortized over the following 12 months, as reflected by the Line 54, Column 7 amount being equal to zero.  It may be necessary to iterate for</v>
      </c>
      <c r="C133" s="222"/>
      <c r="D133" s="222"/>
      <c r="E133" s="222"/>
      <c r="F133" s="222"/>
      <c r="G133" s="222"/>
      <c r="H133" s="222"/>
      <c r="I133" s="222"/>
      <c r="J133" s="222"/>
      <c r="K133" s="222"/>
      <c r="L133" s="213"/>
    </row>
    <row r="134" spans="1:12" x14ac:dyDescent="0.25">
      <c r="A134" s="103"/>
      <c r="B134" s="919" t="s">
        <v>2218</v>
      </c>
      <c r="C134" s="13"/>
      <c r="D134" s="222"/>
      <c r="E134" s="222"/>
      <c r="F134" s="222"/>
      <c r="G134" s="222"/>
      <c r="H134" s="222"/>
      <c r="I134" s="222"/>
      <c r="J134" s="222"/>
      <c r="K134" s="222"/>
      <c r="L134" s="213"/>
    </row>
    <row r="135" spans="1:12" x14ac:dyDescent="0.25">
      <c r="A135" s="103"/>
      <c r="B135" s="465" t="s">
        <v>2518</v>
      </c>
      <c r="C135" s="222"/>
      <c r="D135" s="222"/>
      <c r="E135" s="222"/>
      <c r="F135" s="222"/>
      <c r="G135" s="222"/>
      <c r="H135" s="222"/>
      <c r="I135" s="222"/>
      <c r="J135" s="222"/>
      <c r="K135" s="222"/>
      <c r="L135" s="213"/>
    </row>
    <row r="136" spans="1:12" x14ac:dyDescent="0.25">
      <c r="A136" s="103"/>
      <c r="B136" s="443" t="s">
        <v>1954</v>
      </c>
      <c r="C136" s="222"/>
      <c r="D136" s="222"/>
      <c r="E136" s="222"/>
      <c r="F136" s="222"/>
      <c r="G136" s="222"/>
      <c r="H136" s="222"/>
      <c r="I136" s="222"/>
      <c r="J136" s="222"/>
      <c r="K136" s="222"/>
      <c r="L136" s="213"/>
    </row>
    <row r="137" spans="1:12" x14ac:dyDescent="0.25">
      <c r="A137" s="103"/>
      <c r="B137" s="352" t="s">
        <v>543</v>
      </c>
      <c r="C137" s="222"/>
      <c r="D137" s="222"/>
      <c r="E137" s="222"/>
      <c r="F137" s="222"/>
      <c r="G137" s="222"/>
      <c r="H137" s="222"/>
      <c r="I137" s="222"/>
      <c r="J137" s="222"/>
      <c r="K137" s="222"/>
      <c r="L137" s="213"/>
    </row>
    <row r="138" spans="1:12" x14ac:dyDescent="0.25">
      <c r="A138" s="103"/>
      <c r="B138" s="924" t="s">
        <v>1686</v>
      </c>
      <c r="C138" s="222"/>
      <c r="D138" s="222"/>
      <c r="E138" s="222"/>
      <c r="F138" s="222"/>
      <c r="G138" s="222"/>
      <c r="H138" s="222"/>
      <c r="I138" s="222"/>
      <c r="J138" s="222"/>
      <c r="K138" s="222"/>
      <c r="L138" s="213"/>
    </row>
    <row r="139" spans="1:12" x14ac:dyDescent="0.25">
      <c r="A139" s="103"/>
      <c r="B139" s="925" t="s">
        <v>1171</v>
      </c>
      <c r="C139" s="222"/>
      <c r="D139" s="222"/>
      <c r="E139" s="222"/>
      <c r="F139" s="222"/>
      <c r="G139" s="222"/>
      <c r="H139" s="222"/>
      <c r="I139" s="222"/>
      <c r="J139" s="222"/>
      <c r="K139" s="222"/>
      <c r="L139" s="213"/>
    </row>
    <row r="140" spans="1:12" x14ac:dyDescent="0.25">
      <c r="A140" s="103"/>
      <c r="B140" s="1034" t="s">
        <v>2780</v>
      </c>
      <c r="C140" s="222"/>
      <c r="D140" s="222"/>
      <c r="E140" s="222"/>
      <c r="F140" s="222"/>
      <c r="G140" s="222"/>
      <c r="H140" s="222"/>
      <c r="I140" s="222"/>
      <c r="J140" s="222"/>
      <c r="K140" s="222"/>
      <c r="L140" s="213"/>
    </row>
    <row r="141" spans="1:12" x14ac:dyDescent="0.25">
      <c r="A141" s="103"/>
      <c r="B141" s="352" t="s">
        <v>1326</v>
      </c>
      <c r="C141" s="926"/>
      <c r="D141" s="222"/>
      <c r="E141" s="222"/>
      <c r="F141" s="222"/>
      <c r="G141" s="222"/>
      <c r="H141" s="222"/>
      <c r="I141" s="222"/>
      <c r="J141" s="222"/>
      <c r="K141" s="222"/>
      <c r="L141" s="213"/>
    </row>
    <row r="142" spans="1:12" x14ac:dyDescent="0.25">
      <c r="A142" s="103"/>
      <c r="B142" s="924" t="s">
        <v>2789</v>
      </c>
      <c r="C142" s="926"/>
      <c r="D142" s="222"/>
      <c r="E142" s="222"/>
      <c r="F142" s="222"/>
      <c r="G142" s="222"/>
      <c r="H142" s="222"/>
      <c r="I142" s="222"/>
      <c r="J142" s="222"/>
      <c r="K142" s="222"/>
      <c r="L142" s="213"/>
    </row>
    <row r="143" spans="1:12" x14ac:dyDescent="0.25">
      <c r="A143" s="103"/>
      <c r="B143" s="465" t="s">
        <v>2575</v>
      </c>
      <c r="C143" s="222"/>
      <c r="D143" s="222"/>
      <c r="E143" s="222"/>
      <c r="F143" s="222"/>
      <c r="G143" s="222"/>
      <c r="H143" s="222"/>
      <c r="I143" s="222"/>
      <c r="J143" s="13"/>
      <c r="K143" s="222"/>
      <c r="L143" s="213"/>
    </row>
    <row r="144" spans="1:12" x14ac:dyDescent="0.25">
      <c r="A144" s="103"/>
      <c r="B144" s="465" t="s">
        <v>2576</v>
      </c>
      <c r="C144" s="222"/>
      <c r="D144" s="222"/>
      <c r="E144" s="222"/>
      <c r="F144" s="222"/>
      <c r="G144" s="222"/>
      <c r="H144" s="222"/>
      <c r="I144" s="222"/>
      <c r="J144" s="222"/>
      <c r="K144" s="222"/>
      <c r="L144" s="213"/>
    </row>
    <row r="145" spans="1:12" x14ac:dyDescent="0.25">
      <c r="A145" s="103"/>
      <c r="B145" s="465" t="s">
        <v>1687</v>
      </c>
      <c r="C145" s="222"/>
      <c r="D145" s="222"/>
      <c r="E145" s="222"/>
      <c r="F145" s="222"/>
      <c r="G145" s="222"/>
      <c r="H145" s="222"/>
      <c r="I145" s="222"/>
      <c r="J145" s="222"/>
      <c r="K145" s="222"/>
      <c r="L145" s="213"/>
    </row>
    <row r="146" spans="1:12" x14ac:dyDescent="0.25">
      <c r="A146" s="103"/>
      <c r="B146" s="350" t="s">
        <v>1172</v>
      </c>
      <c r="C146" s="222"/>
      <c r="D146" s="222"/>
      <c r="E146" s="222"/>
      <c r="F146" s="222"/>
      <c r="G146" s="222"/>
      <c r="H146" s="222"/>
      <c r="I146" s="222"/>
      <c r="J146" s="222"/>
      <c r="K146" s="222"/>
      <c r="L146" s="213"/>
    </row>
    <row r="147" spans="1:12" x14ac:dyDescent="0.25">
      <c r="A147" s="103"/>
      <c r="B147" s="49" t="s">
        <v>256</v>
      </c>
      <c r="C147" s="213"/>
      <c r="D147" s="213"/>
      <c r="E147" s="213"/>
      <c r="F147" s="213"/>
      <c r="G147" s="213"/>
      <c r="H147" s="213"/>
      <c r="I147" s="213"/>
      <c r="J147" s="213"/>
      <c r="K147" s="213"/>
      <c r="L147" s="213"/>
    </row>
    <row r="148" spans="1:12" x14ac:dyDescent="0.25">
      <c r="A148" s="103"/>
      <c r="B148" s="470" t="s">
        <v>1684</v>
      </c>
      <c r="C148" s="213"/>
      <c r="D148" s="213"/>
      <c r="E148" s="213"/>
      <c r="F148" s="213"/>
      <c r="G148" s="213"/>
      <c r="H148" s="213"/>
      <c r="I148" s="213"/>
      <c r="J148" s="213"/>
      <c r="K148" s="213"/>
      <c r="L148" s="213"/>
    </row>
    <row r="149" spans="1:12" x14ac:dyDescent="0.25">
      <c r="A149" s="103"/>
      <c r="B149" s="491" t="s">
        <v>1685</v>
      </c>
      <c r="C149" s="213"/>
      <c r="D149" s="213"/>
      <c r="E149" s="213"/>
      <c r="F149" s="213"/>
      <c r="G149" s="213"/>
      <c r="H149" s="213"/>
      <c r="I149" s="213"/>
      <c r="J149" s="213"/>
      <c r="K149" s="213"/>
      <c r="L149" s="213"/>
    </row>
    <row r="150" spans="1:12" x14ac:dyDescent="0.25">
      <c r="A150" s="103"/>
      <c r="B150" s="140" t="str">
        <f>"a Partial Year True Up, use the Partial Year TRR Attribution Allocation Factors on Lines "&amp;A85&amp;" to "&amp;A96&amp;" for each month of Partial Year True Up  ."</f>
        <v>a Partial Year True Up, use the Partial Year TRR Attribution Allocation Factors on Lines 72 to 83 for each month of Partial Year True Up  .</v>
      </c>
      <c r="C150" s="213"/>
      <c r="D150" s="213"/>
      <c r="E150" s="213"/>
      <c r="F150" s="213"/>
      <c r="G150" s="213"/>
      <c r="H150" s="213"/>
      <c r="I150" s="213"/>
      <c r="J150" s="213"/>
      <c r="K150" s="213"/>
      <c r="L150" s="213"/>
    </row>
    <row r="151" spans="1:12" x14ac:dyDescent="0.25">
      <c r="A151" s="103"/>
      <c r="B151" s="140" t="str">
        <f>"Only enter in the Prior Year, Lines "&amp;A24&amp;" to "&amp;A35&amp;", or portion of year formula was in effect in case of Partial Year True Up."</f>
        <v>Only enter in the Prior Year, Lines 11 to 22, or portion of year formula was in effect in case of Partial Year True Up.</v>
      </c>
      <c r="C151" s="213"/>
      <c r="D151" s="213"/>
      <c r="E151" s="213"/>
      <c r="F151" s="213"/>
      <c r="G151" s="213"/>
      <c r="H151" s="213"/>
      <c r="I151" s="213"/>
      <c r="J151" s="213"/>
      <c r="K151" s="213"/>
      <c r="L151" s="213"/>
    </row>
    <row r="152" spans="1:12" x14ac:dyDescent="0.25">
      <c r="A152" s="103"/>
      <c r="B152" s="591" t="s">
        <v>2182</v>
      </c>
      <c r="C152" s="222"/>
      <c r="D152" s="222"/>
      <c r="E152" s="222"/>
      <c r="F152" s="222"/>
      <c r="G152" s="222"/>
      <c r="H152" s="222"/>
      <c r="I152" s="222"/>
      <c r="J152" s="222"/>
      <c r="K152" s="222"/>
      <c r="L152" s="213"/>
    </row>
    <row r="153" spans="1:12" x14ac:dyDescent="0.25">
      <c r="A153" s="103"/>
      <c r="B153" s="136" t="s">
        <v>1173</v>
      </c>
      <c r="C153" s="222"/>
      <c r="D153" s="222"/>
      <c r="E153" s="222"/>
      <c r="F153" s="222"/>
      <c r="G153" s="222"/>
      <c r="H153" s="222"/>
      <c r="I153" s="222"/>
      <c r="J153" s="222"/>
      <c r="K153" s="222"/>
      <c r="L153" s="213"/>
    </row>
    <row r="154" spans="1:12" x14ac:dyDescent="0.25">
      <c r="A154" s="103"/>
      <c r="B154" s="140" t="str">
        <f>"as shown on Lines "&amp;A108&amp;" to"&amp;A119&amp;", Column 1."</f>
        <v>as shown on Lines 95 to106, Column 1.</v>
      </c>
      <c r="C154" s="222"/>
      <c r="D154" s="222"/>
      <c r="E154" s="222"/>
      <c r="F154" s="222"/>
      <c r="G154" s="222"/>
      <c r="H154" s="222"/>
      <c r="I154" s="222"/>
      <c r="J154" s="222"/>
      <c r="K154" s="222"/>
      <c r="L154" s="213"/>
    </row>
    <row r="155" spans="1:12" x14ac:dyDescent="0.25">
      <c r="A155" s="103"/>
      <c r="B155" s="136" t="s">
        <v>1174</v>
      </c>
      <c r="C155" s="222"/>
      <c r="D155" s="222"/>
      <c r="E155" s="222"/>
      <c r="F155" s="222"/>
      <c r="G155" s="222"/>
      <c r="H155" s="222"/>
      <c r="I155" s="222"/>
      <c r="J155" s="222"/>
      <c r="K155" s="222"/>
      <c r="L155" s="213"/>
    </row>
    <row r="156" spans="1:12" x14ac:dyDescent="0.25">
      <c r="A156" s="103"/>
      <c r="B156" s="591" t="s">
        <v>2577</v>
      </c>
      <c r="C156" s="222"/>
      <c r="D156" s="222"/>
      <c r="E156" s="222"/>
      <c r="F156" s="222"/>
      <c r="G156" s="222"/>
      <c r="H156" s="222"/>
      <c r="I156" s="222"/>
      <c r="J156" s="222"/>
      <c r="K156" s="222"/>
      <c r="L156" s="213"/>
    </row>
    <row r="157" spans="1:12" x14ac:dyDescent="0.25">
      <c r="A157" s="103"/>
      <c r="B157" s="591" t="s">
        <v>2578</v>
      </c>
      <c r="C157" s="222"/>
      <c r="D157" s="222"/>
      <c r="E157" s="222"/>
      <c r="F157" s="222"/>
      <c r="G157" s="222"/>
      <c r="H157" s="222"/>
      <c r="I157" s="222"/>
      <c r="J157" s="222"/>
      <c r="K157" s="222"/>
      <c r="L157" s="213"/>
    </row>
    <row r="158" spans="1:12" x14ac:dyDescent="0.25">
      <c r="A158" s="103"/>
      <c r="B158" s="591" t="s">
        <v>2681</v>
      </c>
      <c r="C158" s="222"/>
      <c r="D158" s="222"/>
      <c r="E158" s="222"/>
      <c r="F158" s="222"/>
      <c r="G158" s="222"/>
      <c r="H158" s="222"/>
      <c r="I158" s="222"/>
      <c r="J158" s="222"/>
      <c r="K158" s="222"/>
      <c r="L158" s="213"/>
    </row>
    <row r="159" spans="1:12" x14ac:dyDescent="0.25">
      <c r="A159" s="103"/>
      <c r="B159" s="591" t="s">
        <v>2682</v>
      </c>
      <c r="C159" s="222"/>
      <c r="D159" s="222"/>
      <c r="E159" s="222"/>
      <c r="F159" s="222"/>
      <c r="G159" s="222"/>
      <c r="H159" s="222"/>
      <c r="I159" s="222"/>
      <c r="J159" s="222"/>
      <c r="K159" s="222"/>
      <c r="L159" s="213"/>
    </row>
    <row r="160" spans="1:12" x14ac:dyDescent="0.25">
      <c r="A160" s="103"/>
      <c r="B160" s="591" t="s">
        <v>2779</v>
      </c>
      <c r="C160" s="222"/>
      <c r="D160" s="222"/>
      <c r="E160" s="222"/>
      <c r="F160" s="222"/>
      <c r="G160" s="222"/>
      <c r="H160" s="222"/>
      <c r="I160" s="222"/>
      <c r="J160" s="222"/>
      <c r="K160" s="222"/>
      <c r="L160" s="213"/>
    </row>
    <row r="161" spans="1:12" x14ac:dyDescent="0.25">
      <c r="A161" s="103"/>
      <c r="B161" s="491" t="s">
        <v>1832</v>
      </c>
      <c r="C161" s="222"/>
      <c r="D161" s="222"/>
      <c r="E161" s="222"/>
      <c r="F161" s="222"/>
      <c r="G161" s="222"/>
      <c r="H161" s="222"/>
      <c r="I161" s="222"/>
      <c r="J161" s="222"/>
      <c r="K161" s="222"/>
      <c r="L161" s="213"/>
    </row>
    <row r="162" spans="1:12" x14ac:dyDescent="0.25">
      <c r="A162" s="103"/>
      <c r="B162" s="45" t="s">
        <v>1175</v>
      </c>
      <c r="C162" s="222"/>
      <c r="D162" s="222"/>
      <c r="E162" s="222"/>
      <c r="F162" s="222"/>
      <c r="G162" s="222"/>
      <c r="H162" s="222"/>
      <c r="I162" s="222"/>
      <c r="J162" s="222"/>
      <c r="K162" s="222"/>
      <c r="L162" s="213"/>
    </row>
    <row r="163" spans="1:12" x14ac:dyDescent="0.25">
      <c r="A163" s="103"/>
      <c r="B163" s="350" t="s">
        <v>1176</v>
      </c>
      <c r="C163" s="222"/>
      <c r="D163" s="222"/>
      <c r="E163" s="222"/>
      <c r="F163" s="222"/>
      <c r="G163" s="222"/>
      <c r="H163" s="222"/>
      <c r="I163" s="222"/>
      <c r="J163" s="222"/>
      <c r="K163" s="222"/>
      <c r="L163" s="213"/>
    </row>
    <row r="164" spans="1:12" x14ac:dyDescent="0.25">
      <c r="A164" s="103"/>
      <c r="B164" s="45" t="s">
        <v>1177</v>
      </c>
      <c r="C164" s="222"/>
      <c r="D164" s="222"/>
      <c r="E164" s="222"/>
      <c r="F164" s="222"/>
      <c r="G164" s="222"/>
      <c r="H164" s="222"/>
      <c r="I164" s="222"/>
      <c r="J164" s="222"/>
      <c r="K164" s="222"/>
      <c r="L164" s="213"/>
    </row>
    <row r="165" spans="1:12" x14ac:dyDescent="0.25">
      <c r="A165" s="103"/>
      <c r="B165" s="927" t="s">
        <v>1178</v>
      </c>
      <c r="C165" s="222"/>
      <c r="D165" s="222"/>
      <c r="E165" s="222"/>
      <c r="F165" s="222"/>
      <c r="G165" s="222"/>
      <c r="H165" s="222"/>
      <c r="I165" s="222"/>
      <c r="J165" s="222"/>
      <c r="K165" s="222"/>
      <c r="L165" s="213"/>
    </row>
    <row r="166" spans="1:12" x14ac:dyDescent="0.25">
      <c r="A166" s="103"/>
      <c r="B166" s="465" t="s">
        <v>2579</v>
      </c>
      <c r="C166" s="222"/>
      <c r="D166" s="222"/>
      <c r="E166" s="222"/>
      <c r="F166" s="222"/>
      <c r="G166" s="222"/>
      <c r="H166" s="222"/>
      <c r="I166" s="222"/>
      <c r="J166" s="222"/>
      <c r="K166" s="222"/>
      <c r="L166" s="213"/>
    </row>
    <row r="167" spans="1:12" x14ac:dyDescent="0.25">
      <c r="A167" s="103"/>
      <c r="B167" s="896" t="s">
        <v>2580</v>
      </c>
      <c r="C167" s="222"/>
      <c r="D167" s="222"/>
      <c r="E167" s="222"/>
      <c r="F167" s="222"/>
      <c r="G167" s="222"/>
      <c r="H167" s="222"/>
      <c r="I167" s="222"/>
      <c r="J167" s="222"/>
      <c r="K167" s="222"/>
      <c r="L167" s="213"/>
    </row>
    <row r="168" spans="1:12" x14ac:dyDescent="0.25">
      <c r="A168" s="103"/>
      <c r="B168" s="450" t="s">
        <v>2581</v>
      </c>
      <c r="C168" s="222"/>
      <c r="D168" s="222"/>
      <c r="E168" s="222"/>
      <c r="F168" s="222"/>
      <c r="G168" s="222"/>
      <c r="H168" s="222"/>
      <c r="I168" s="222"/>
      <c r="J168" s="222"/>
      <c r="K168" s="222"/>
      <c r="L168" s="213"/>
    </row>
    <row r="169" spans="1:12" x14ac:dyDescent="0.25">
      <c r="A169" s="222"/>
      <c r="B169" s="450" t="s">
        <v>1732</v>
      </c>
      <c r="C169" s="222"/>
      <c r="D169" s="222"/>
      <c r="E169" s="222"/>
      <c r="F169" s="222"/>
      <c r="G169" s="222"/>
      <c r="H169" s="222"/>
      <c r="I169" s="222"/>
      <c r="J169" s="222"/>
      <c r="K169" s="222"/>
      <c r="L169" s="213"/>
    </row>
    <row r="170" spans="1:12" x14ac:dyDescent="0.25">
      <c r="A170" s="222"/>
      <c r="B170" s="45" t="s">
        <v>1408</v>
      </c>
      <c r="C170" s="222"/>
      <c r="D170" s="222"/>
      <c r="E170" s="222"/>
      <c r="F170" s="222"/>
      <c r="G170" s="222"/>
      <c r="H170" s="222"/>
      <c r="I170" s="222"/>
      <c r="J170" s="222"/>
      <c r="K170" s="222"/>
      <c r="L170" s="213"/>
    </row>
    <row r="171" spans="1:12" x14ac:dyDescent="0.25">
      <c r="A171" s="222"/>
      <c r="B171" s="45" t="s">
        <v>1406</v>
      </c>
      <c r="C171" s="222"/>
      <c r="D171" s="222"/>
      <c r="E171" s="222"/>
      <c r="F171" s="222"/>
      <c r="G171" s="222"/>
      <c r="H171" s="222"/>
      <c r="I171" s="222"/>
      <c r="J171" s="222"/>
      <c r="K171" s="222"/>
      <c r="L171" s="213"/>
    </row>
    <row r="172" spans="1:12" x14ac:dyDescent="0.25">
      <c r="A172" s="222"/>
      <c r="B172" s="350" t="s">
        <v>585</v>
      </c>
      <c r="C172" s="222"/>
      <c r="D172" s="222"/>
      <c r="E172" s="222"/>
      <c r="F172" s="222"/>
      <c r="G172" s="222"/>
      <c r="H172" s="222"/>
      <c r="I172" s="222"/>
      <c r="J172" s="222"/>
      <c r="K172" s="222"/>
      <c r="L172" s="213"/>
    </row>
    <row r="173" spans="1:12" x14ac:dyDescent="0.25">
      <c r="A173" s="222"/>
      <c r="B173" s="919" t="s">
        <v>2259</v>
      </c>
      <c r="C173" s="222"/>
      <c r="D173" s="222"/>
      <c r="E173" s="222"/>
      <c r="F173" s="222"/>
      <c r="G173" s="222"/>
      <c r="H173" s="222"/>
      <c r="I173" s="222"/>
      <c r="J173" s="222"/>
      <c r="K173" s="222"/>
      <c r="L173" s="213"/>
    </row>
    <row r="174" spans="1:12" x14ac:dyDescent="0.25">
      <c r="A174" s="222"/>
      <c r="B174" s="919" t="s">
        <v>2260</v>
      </c>
      <c r="C174" s="222"/>
      <c r="D174" s="222"/>
      <c r="E174" s="222"/>
      <c r="F174" s="222"/>
      <c r="G174" s="222"/>
      <c r="H174" s="222"/>
      <c r="I174" s="222"/>
      <c r="J174" s="222"/>
      <c r="K174" s="222"/>
      <c r="L174" s="213"/>
    </row>
    <row r="175" spans="1:12" x14ac:dyDescent="0.25">
      <c r="A175" s="222"/>
      <c r="B175" s="45" t="s">
        <v>1407</v>
      </c>
      <c r="C175" s="222"/>
      <c r="D175" s="222"/>
      <c r="E175" s="222"/>
      <c r="F175" s="222"/>
      <c r="G175" s="222"/>
      <c r="H175" s="222"/>
      <c r="I175" s="222"/>
      <c r="J175" s="222"/>
      <c r="K175" s="222"/>
      <c r="L175" s="213"/>
    </row>
    <row r="176" spans="1:12" x14ac:dyDescent="0.25">
      <c r="A176" s="222"/>
      <c r="B176" s="919" t="s">
        <v>2521</v>
      </c>
      <c r="C176" s="222"/>
      <c r="D176" s="222"/>
      <c r="E176" s="222"/>
      <c r="F176" s="222"/>
      <c r="G176" s="222"/>
      <c r="H176" s="222"/>
      <c r="I176" s="222"/>
      <c r="J176" s="222"/>
      <c r="K176" s="222"/>
      <c r="L176" s="213"/>
    </row>
    <row r="177" spans="1:12" x14ac:dyDescent="0.25">
      <c r="A177" s="222"/>
      <c r="B177" s="919" t="s">
        <v>2520</v>
      </c>
      <c r="C177" s="222"/>
      <c r="D177" s="222"/>
      <c r="E177" s="222"/>
      <c r="F177" s="222"/>
      <c r="G177" s="222"/>
      <c r="H177" s="222"/>
      <c r="I177" s="222"/>
      <c r="J177" s="222"/>
      <c r="K177" s="222"/>
      <c r="L177" s="213"/>
    </row>
    <row r="178" spans="1:12" x14ac:dyDescent="0.25">
      <c r="A178" s="222"/>
      <c r="B178" s="919" t="s">
        <v>2519</v>
      </c>
      <c r="C178" s="222"/>
      <c r="D178" s="222"/>
      <c r="E178" s="222"/>
      <c r="F178" s="222"/>
      <c r="G178" s="222"/>
      <c r="H178" s="222"/>
      <c r="I178" s="222"/>
      <c r="J178" s="222"/>
      <c r="K178" s="222"/>
      <c r="L178" s="213"/>
    </row>
    <row r="179" spans="1:12" x14ac:dyDescent="0.25">
      <c r="A179" s="222"/>
      <c r="B179" s="350" t="s">
        <v>1057</v>
      </c>
      <c r="C179" s="222"/>
      <c r="D179" s="222"/>
      <c r="E179" s="222"/>
      <c r="F179" s="222"/>
      <c r="G179" s="222"/>
      <c r="H179" s="222"/>
      <c r="I179" s="222"/>
      <c r="J179" s="222"/>
      <c r="K179" s="222"/>
      <c r="L179" s="213"/>
    </row>
    <row r="180" spans="1:12" x14ac:dyDescent="0.25">
      <c r="A180" s="222"/>
      <c r="C180" s="213"/>
      <c r="D180" s="213"/>
      <c r="E180" s="213"/>
      <c r="F180" s="213"/>
      <c r="G180" s="213"/>
      <c r="H180" s="213"/>
      <c r="I180" s="213"/>
      <c r="J180" s="213"/>
      <c r="K180" s="213"/>
      <c r="L180" s="213"/>
    </row>
    <row r="181" spans="1:12" x14ac:dyDescent="0.25">
      <c r="A181" s="222"/>
      <c r="B181" s="213"/>
      <c r="C181" s="213"/>
      <c r="D181" s="213"/>
      <c r="E181" s="213"/>
      <c r="F181" s="213"/>
      <c r="G181" s="213"/>
      <c r="H181" s="213"/>
      <c r="I181" s="213"/>
      <c r="J181" s="213"/>
      <c r="K181" s="213"/>
      <c r="L181" s="213"/>
    </row>
    <row r="182" spans="1:12" x14ac:dyDescent="0.25">
      <c r="A182" s="213"/>
      <c r="B182" s="213"/>
      <c r="C182" s="213"/>
      <c r="D182" s="213"/>
      <c r="E182" s="213"/>
      <c r="F182" s="213"/>
      <c r="G182" s="213"/>
      <c r="H182" s="213"/>
      <c r="I182" s="213"/>
      <c r="J182" s="213"/>
      <c r="K182" s="213"/>
      <c r="L182" s="213"/>
    </row>
    <row r="183" spans="1:12" x14ac:dyDescent="0.25">
      <c r="A183" s="213"/>
      <c r="B183" s="213"/>
      <c r="C183" s="213"/>
      <c r="D183" s="213"/>
      <c r="E183" s="213"/>
      <c r="F183" s="213"/>
      <c r="G183" s="213"/>
      <c r="H183" s="213"/>
      <c r="I183" s="213"/>
      <c r="J183" s="213"/>
      <c r="K183" s="213"/>
      <c r="L183" s="213"/>
    </row>
    <row r="184" spans="1:12" x14ac:dyDescent="0.25">
      <c r="A184" s="213"/>
      <c r="B184" s="213"/>
      <c r="C184" s="213"/>
      <c r="D184" s="213"/>
      <c r="E184" s="213"/>
      <c r="F184" s="213"/>
      <c r="G184" s="213"/>
      <c r="H184" s="213"/>
      <c r="I184" s="213"/>
      <c r="J184" s="213"/>
      <c r="K184" s="213"/>
      <c r="L184" s="213"/>
    </row>
    <row r="185" spans="1:12" x14ac:dyDescent="0.25">
      <c r="A185" s="213"/>
      <c r="B185" s="213"/>
      <c r="C185" s="213"/>
      <c r="D185" s="213"/>
      <c r="E185" s="213"/>
      <c r="F185" s="213"/>
      <c r="G185" s="213"/>
      <c r="H185" s="213"/>
      <c r="I185" s="213"/>
      <c r="J185" s="213"/>
      <c r="K185" s="213"/>
      <c r="L185" s="213"/>
    </row>
    <row r="186" spans="1:12" x14ac:dyDescent="0.25">
      <c r="A186" s="213"/>
      <c r="B186" s="213"/>
      <c r="C186" s="213"/>
      <c r="D186" s="213"/>
      <c r="E186" s="213"/>
      <c r="F186" s="213"/>
      <c r="G186" s="213"/>
      <c r="H186" s="213"/>
      <c r="I186" s="213"/>
      <c r="J186" s="213"/>
      <c r="K186" s="213"/>
      <c r="L186" s="213"/>
    </row>
    <row r="187" spans="1:12" x14ac:dyDescent="0.25">
      <c r="A187" s="213"/>
      <c r="B187" s="213"/>
      <c r="C187" s="213"/>
      <c r="D187" s="213"/>
      <c r="E187" s="213"/>
      <c r="F187" s="213"/>
      <c r="G187" s="213"/>
      <c r="H187" s="213"/>
      <c r="I187" s="213"/>
      <c r="J187" s="213"/>
      <c r="K187" s="213"/>
      <c r="L187" s="213"/>
    </row>
    <row r="188" spans="1:12" x14ac:dyDescent="0.25">
      <c r="A188" s="213"/>
      <c r="B188" s="213"/>
      <c r="C188" s="213"/>
      <c r="D188" s="213"/>
      <c r="E188" s="213"/>
      <c r="F188" s="213"/>
      <c r="G188" s="213"/>
      <c r="H188" s="213"/>
      <c r="I188" s="213"/>
      <c r="J188" s="213"/>
      <c r="K188" s="213"/>
      <c r="L188" s="213"/>
    </row>
    <row r="189" spans="1:12" x14ac:dyDescent="0.25">
      <c r="A189" s="213"/>
      <c r="B189" s="213"/>
      <c r="C189" s="213"/>
      <c r="D189" s="213"/>
      <c r="E189" s="213"/>
      <c r="F189" s="213"/>
      <c r="G189" s="213"/>
      <c r="H189" s="213"/>
      <c r="I189" s="213"/>
      <c r="J189" s="213"/>
      <c r="K189" s="213"/>
      <c r="L189" s="213"/>
    </row>
    <row r="190" spans="1:12" x14ac:dyDescent="0.25">
      <c r="A190" s="213"/>
      <c r="B190" s="213"/>
      <c r="C190" s="213"/>
      <c r="D190" s="213"/>
      <c r="E190" s="213"/>
      <c r="F190" s="213"/>
      <c r="G190" s="213"/>
      <c r="H190" s="213"/>
      <c r="I190" s="213"/>
      <c r="J190" s="213"/>
      <c r="K190" s="213"/>
      <c r="L190" s="213"/>
    </row>
    <row r="191" spans="1:12" x14ac:dyDescent="0.25">
      <c r="A191" s="213"/>
      <c r="B191" s="213"/>
      <c r="C191" s="213"/>
      <c r="D191" s="213"/>
      <c r="E191" s="213"/>
      <c r="F191" s="213"/>
      <c r="G191" s="213"/>
      <c r="H191" s="213"/>
      <c r="I191" s="213"/>
      <c r="J191" s="213"/>
      <c r="K191" s="213"/>
      <c r="L191" s="213"/>
    </row>
    <row r="192" spans="1:12" x14ac:dyDescent="0.25">
      <c r="A192" s="213"/>
      <c r="B192" s="213"/>
      <c r="C192" s="213"/>
      <c r="D192" s="213"/>
      <c r="E192" s="213"/>
      <c r="F192" s="213"/>
      <c r="G192" s="213"/>
      <c r="H192" s="213"/>
      <c r="I192" s="213"/>
      <c r="J192" s="213"/>
      <c r="K192" s="213"/>
      <c r="L192" s="213"/>
    </row>
    <row r="193" spans="1:12" x14ac:dyDescent="0.25">
      <c r="A193" s="213"/>
      <c r="B193" s="213"/>
      <c r="C193" s="213"/>
      <c r="D193" s="213"/>
      <c r="E193" s="213"/>
      <c r="F193" s="213"/>
      <c r="G193" s="213"/>
      <c r="H193" s="213"/>
      <c r="I193" s="213"/>
      <c r="J193" s="213"/>
      <c r="K193" s="213"/>
      <c r="L193" s="213"/>
    </row>
    <row r="194" spans="1:12" x14ac:dyDescent="0.25">
      <c r="A194" s="213"/>
      <c r="B194" s="213"/>
      <c r="C194" s="213"/>
      <c r="D194" s="213"/>
      <c r="E194" s="213"/>
      <c r="F194" s="213"/>
      <c r="G194" s="213"/>
      <c r="H194" s="213"/>
      <c r="I194" s="213"/>
      <c r="J194" s="213"/>
      <c r="K194" s="213"/>
      <c r="L194" s="213"/>
    </row>
    <row r="195" spans="1:12" x14ac:dyDescent="0.25">
      <c r="A195" s="213"/>
      <c r="B195" s="213"/>
      <c r="C195" s="213"/>
      <c r="D195" s="213"/>
      <c r="E195" s="213"/>
      <c r="F195" s="213"/>
      <c r="G195" s="213"/>
      <c r="H195" s="213"/>
      <c r="I195" s="213"/>
      <c r="J195" s="213"/>
      <c r="K195" s="213"/>
      <c r="L195" s="213"/>
    </row>
    <row r="196" spans="1:12" x14ac:dyDescent="0.25">
      <c r="A196" s="213"/>
      <c r="B196" s="213"/>
      <c r="C196" s="213"/>
      <c r="D196" s="213"/>
      <c r="E196" s="213"/>
      <c r="F196" s="213"/>
      <c r="G196" s="213"/>
      <c r="H196" s="213"/>
      <c r="I196" s="213"/>
      <c r="J196" s="213"/>
      <c r="K196" s="213"/>
      <c r="L196" s="213"/>
    </row>
    <row r="197" spans="1:12" x14ac:dyDescent="0.25">
      <c r="A197" s="213"/>
      <c r="B197" s="213"/>
      <c r="C197" s="213"/>
      <c r="D197" s="213"/>
      <c r="E197" s="213"/>
      <c r="F197" s="213"/>
      <c r="G197" s="213"/>
      <c r="H197" s="213"/>
      <c r="I197" s="213"/>
      <c r="J197" s="213"/>
      <c r="K197" s="213"/>
      <c r="L197" s="213"/>
    </row>
    <row r="198" spans="1:12" x14ac:dyDescent="0.25">
      <c r="A198" s="213"/>
      <c r="B198" s="213"/>
      <c r="C198" s="213"/>
      <c r="D198" s="213"/>
      <c r="E198" s="213"/>
      <c r="F198" s="213"/>
      <c r="G198" s="213"/>
      <c r="H198" s="213"/>
      <c r="I198" s="213"/>
      <c r="J198" s="213"/>
      <c r="K198" s="213"/>
      <c r="L198" s="213"/>
    </row>
    <row r="199" spans="1:12" x14ac:dyDescent="0.25">
      <c r="A199" s="213"/>
      <c r="B199" s="213"/>
      <c r="C199" s="213"/>
      <c r="D199" s="213"/>
      <c r="E199" s="213"/>
      <c r="F199" s="213"/>
      <c r="G199" s="213"/>
      <c r="H199" s="213"/>
      <c r="I199" s="213"/>
      <c r="J199" s="213"/>
      <c r="K199" s="213"/>
      <c r="L199" s="213"/>
    </row>
    <row r="200" spans="1:12" x14ac:dyDescent="0.25">
      <c r="A200" s="213"/>
      <c r="B200" s="213"/>
      <c r="C200" s="213"/>
      <c r="D200" s="213"/>
      <c r="E200" s="213"/>
      <c r="F200" s="213"/>
      <c r="G200" s="213"/>
      <c r="H200" s="213"/>
      <c r="I200" s="213"/>
      <c r="J200" s="213"/>
      <c r="K200" s="213"/>
      <c r="L200" s="213"/>
    </row>
    <row r="201" spans="1:12" x14ac:dyDescent="0.25">
      <c r="A201" s="213"/>
      <c r="B201" s="213"/>
      <c r="C201" s="213"/>
      <c r="D201" s="213"/>
      <c r="E201" s="213"/>
      <c r="F201" s="213"/>
      <c r="G201" s="213"/>
      <c r="H201" s="213"/>
      <c r="I201" s="213"/>
      <c r="J201" s="213"/>
      <c r="K201" s="213"/>
      <c r="L201" s="213"/>
    </row>
    <row r="202" spans="1:12" x14ac:dyDescent="0.25">
      <c r="A202" s="213"/>
      <c r="B202" s="213"/>
      <c r="C202" s="213"/>
      <c r="D202" s="213"/>
      <c r="E202" s="213"/>
      <c r="F202" s="213"/>
      <c r="G202" s="213"/>
      <c r="H202" s="213"/>
      <c r="I202" s="213"/>
      <c r="J202" s="213"/>
      <c r="K202" s="213"/>
      <c r="L202" s="213"/>
    </row>
    <row r="203" spans="1:12" x14ac:dyDescent="0.25">
      <c r="A203" s="213"/>
      <c r="B203" s="213"/>
      <c r="C203" s="213"/>
      <c r="D203" s="213"/>
      <c r="E203" s="213"/>
      <c r="F203" s="213"/>
      <c r="G203" s="213"/>
      <c r="H203" s="213"/>
      <c r="I203" s="213"/>
      <c r="J203" s="213"/>
      <c r="K203" s="213"/>
      <c r="L203" s="213"/>
    </row>
    <row r="204" spans="1:12" x14ac:dyDescent="0.25">
      <c r="A204" s="213"/>
      <c r="B204" s="213"/>
      <c r="C204" s="213"/>
      <c r="D204" s="213"/>
      <c r="E204" s="213"/>
      <c r="F204" s="213"/>
      <c r="G204" s="213"/>
      <c r="H204" s="213"/>
      <c r="I204" s="213"/>
      <c r="J204" s="213"/>
      <c r="K204" s="213"/>
      <c r="L204" s="213"/>
    </row>
  </sheetData>
  <pageMargins left="0.7" right="0.7" top="0.75" bottom="0.75" header="0.3" footer="0.3"/>
  <pageSetup scale="72" orientation="landscape" cellComments="asDisplayed" r:id="rId1"/>
  <headerFooter>
    <oddHeader xml:space="preserve">&amp;C&amp;"Arial,Bold"Schedule 3
True Up Adjustment&amp;"Arial,Regular"
</oddHeader>
    <oddFooter>&amp;R3-TrueUpAdjust</oddFooter>
  </headerFooter>
  <rowBreaks count="3" manualBreakCount="3">
    <brk id="48" max="16383" man="1"/>
    <brk id="81" max="16383" man="1"/>
    <brk id="12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2"/>
  <sheetViews>
    <sheetView zoomScale="90" zoomScaleNormal="90" workbookViewId="0">
      <selection activeCell="H23" sqref="H23"/>
    </sheetView>
  </sheetViews>
  <sheetFormatPr defaultRowHeight="13.2" x14ac:dyDescent="0.25"/>
  <cols>
    <col min="1" max="2" width="4.6640625" customWidth="1"/>
    <col min="3" max="3" width="18.6640625" customWidth="1"/>
    <col min="4" max="4" width="10.33203125" bestFit="1" customWidth="1"/>
    <col min="5" max="7" width="15.6640625" customWidth="1"/>
    <col min="8" max="8" width="24.6640625" customWidth="1"/>
    <col min="9" max="9" width="4.5546875" customWidth="1"/>
    <col min="10" max="10" width="15.6640625" customWidth="1"/>
  </cols>
  <sheetData>
    <row r="1" spans="1:10" x14ac:dyDescent="0.25">
      <c r="A1" s="1" t="s">
        <v>1913</v>
      </c>
    </row>
    <row r="2" spans="1:10" x14ac:dyDescent="0.25">
      <c r="H2" s="13"/>
    </row>
    <row r="3" spans="1:10" x14ac:dyDescent="0.25">
      <c r="B3" s="83" t="s">
        <v>1677</v>
      </c>
    </row>
    <row r="4" spans="1:10" x14ac:dyDescent="0.25">
      <c r="B4" s="71"/>
      <c r="F4" s="2" t="s">
        <v>171</v>
      </c>
      <c r="G4" s="2"/>
      <c r="H4" s="2" t="s">
        <v>188</v>
      </c>
    </row>
    <row r="5" spans="1:10" x14ac:dyDescent="0.25">
      <c r="A5" s="51" t="s">
        <v>350</v>
      </c>
      <c r="B5" s="15"/>
      <c r="C5" s="49" t="s">
        <v>169</v>
      </c>
      <c r="F5" s="3" t="s">
        <v>170</v>
      </c>
      <c r="G5" s="3" t="s">
        <v>187</v>
      </c>
      <c r="H5" s="3" t="s">
        <v>189</v>
      </c>
      <c r="J5" s="3" t="s">
        <v>194</v>
      </c>
    </row>
    <row r="6" spans="1:10" x14ac:dyDescent="0.25">
      <c r="A6" s="103">
        <v>1</v>
      </c>
      <c r="B6" s="13"/>
      <c r="C6" s="102" t="s">
        <v>1144</v>
      </c>
      <c r="D6" s="13"/>
      <c r="E6" s="13"/>
      <c r="F6" s="13" t="s">
        <v>10</v>
      </c>
      <c r="G6" s="13"/>
      <c r="H6" s="102" t="str">
        <f>"6-PlantInService, Line "&amp;'6-PlantInService'!A42&amp;""</f>
        <v>6-PlantInService, Line 18</v>
      </c>
      <c r="I6" s="13"/>
      <c r="J6" s="968">
        <v>0</v>
      </c>
    </row>
    <row r="7" spans="1:10" x14ac:dyDescent="0.25">
      <c r="A7" s="103">
        <f>A6+1</f>
        <v>2</v>
      </c>
      <c r="B7" s="13"/>
      <c r="C7" s="102" t="s">
        <v>1332</v>
      </c>
      <c r="D7" s="13"/>
      <c r="E7" s="13"/>
      <c r="F7" s="13" t="s">
        <v>172</v>
      </c>
      <c r="G7" s="13"/>
      <c r="H7" s="102" t="str">
        <f>"6-PlantInService, Line "&amp;'6-PlantInService'!A58&amp;""</f>
        <v>6-PlantInService, Line 24</v>
      </c>
      <c r="I7" s="13"/>
      <c r="J7" s="968">
        <v>0</v>
      </c>
    </row>
    <row r="8" spans="1:10" x14ac:dyDescent="0.25">
      <c r="A8" s="103">
        <f>A7+1</f>
        <v>3</v>
      </c>
      <c r="B8" s="13"/>
      <c r="C8" s="102" t="s">
        <v>174</v>
      </c>
      <c r="D8" s="13"/>
      <c r="E8" s="13"/>
      <c r="F8" s="13" t="s">
        <v>172</v>
      </c>
      <c r="G8" s="13"/>
      <c r="H8" s="13" t="str">
        <f>"11-PHFU, Line "&amp;'11-PHFU'!A41&amp;""</f>
        <v>11-PHFU, Line 9</v>
      </c>
      <c r="I8" s="13"/>
      <c r="J8" s="968">
        <v>0</v>
      </c>
    </row>
    <row r="9" spans="1:10" x14ac:dyDescent="0.25">
      <c r="A9" s="103">
        <f>A8+1</f>
        <v>4</v>
      </c>
      <c r="B9" s="13"/>
      <c r="C9" s="102" t="s">
        <v>343</v>
      </c>
      <c r="D9" s="13"/>
      <c r="E9" s="13"/>
      <c r="F9" s="13" t="s">
        <v>172</v>
      </c>
      <c r="G9" s="13"/>
      <c r="H9" s="14" t="str">
        <f>"12-AbandonedPlant Line "&amp;'12-AbandonedPlant'!A21&amp;""</f>
        <v>12-AbandonedPlant Line 4</v>
      </c>
      <c r="I9" s="13"/>
      <c r="J9" s="968">
        <v>0</v>
      </c>
    </row>
    <row r="10" spans="1:10" x14ac:dyDescent="0.25">
      <c r="A10" s="103"/>
      <c r="B10" s="13"/>
      <c r="C10" s="102"/>
      <c r="D10" s="13"/>
      <c r="E10" s="13"/>
      <c r="F10" s="13"/>
      <c r="G10" s="13"/>
      <c r="H10" s="13"/>
      <c r="I10" s="13"/>
      <c r="J10" s="61"/>
    </row>
    <row r="11" spans="1:10" x14ac:dyDescent="0.25">
      <c r="A11" s="103"/>
      <c r="B11" s="13"/>
      <c r="C11" s="44" t="s">
        <v>305</v>
      </c>
      <c r="D11" s="13"/>
      <c r="E11" s="13"/>
      <c r="F11" s="13"/>
      <c r="G11" s="13"/>
      <c r="H11" s="13"/>
      <c r="I11" s="13"/>
      <c r="J11" s="61"/>
    </row>
    <row r="12" spans="1:10" x14ac:dyDescent="0.25">
      <c r="A12" s="103">
        <f>A9+1</f>
        <v>5</v>
      </c>
      <c r="B12" s="13"/>
      <c r="C12" s="45" t="s">
        <v>102</v>
      </c>
      <c r="D12" s="13"/>
      <c r="E12" s="13"/>
      <c r="F12" s="13" t="s">
        <v>10</v>
      </c>
      <c r="G12" s="13"/>
      <c r="H12" s="102" t="str">
        <f>"13-WorkCap, Line "&amp;'13-WorkCap'!A27&amp;""</f>
        <v>13-WorkCap, Line 17</v>
      </c>
      <c r="I12" s="13"/>
      <c r="J12" s="968">
        <v>0</v>
      </c>
    </row>
    <row r="13" spans="1:10" x14ac:dyDescent="0.25">
      <c r="A13" s="103">
        <f>A12+1</f>
        <v>6</v>
      </c>
      <c r="B13" s="13"/>
      <c r="C13" s="105" t="s">
        <v>103</v>
      </c>
      <c r="D13" s="13"/>
      <c r="E13" s="13"/>
      <c r="F13" s="13" t="s">
        <v>10</v>
      </c>
      <c r="G13" s="13"/>
      <c r="H13" s="102" t="str">
        <f>"13-WorkCap, Line "&amp;'13-WorkCap'!A51&amp;""</f>
        <v>13-WorkCap, Line 33</v>
      </c>
      <c r="I13" s="13"/>
      <c r="J13" s="968">
        <v>0</v>
      </c>
    </row>
    <row r="14" spans="1:10" ht="15" x14ac:dyDescent="0.4">
      <c r="A14" s="103">
        <f>A13+1</f>
        <v>7</v>
      </c>
      <c r="B14" s="13"/>
      <c r="C14" s="45" t="s">
        <v>191</v>
      </c>
      <c r="D14" s="13"/>
      <c r="E14" s="13"/>
      <c r="F14" s="468" t="s">
        <v>2687</v>
      </c>
      <c r="G14" s="13"/>
      <c r="H14" s="13" t="str">
        <f>"1-Base TRR Line "&amp;'1-BaseTRR'!A17&amp;""</f>
        <v>1-Base TRR Line 7</v>
      </c>
      <c r="I14" s="13"/>
      <c r="J14" s="969">
        <v>0</v>
      </c>
    </row>
    <row r="15" spans="1:10" x14ac:dyDescent="0.25">
      <c r="A15" s="103">
        <f>A14+1</f>
        <v>8</v>
      </c>
      <c r="B15" s="13"/>
      <c r="C15" s="45" t="s">
        <v>101</v>
      </c>
      <c r="D15" s="13"/>
      <c r="E15" s="13"/>
      <c r="F15" s="13"/>
      <c r="G15" s="13"/>
      <c r="H15" s="13" t="str">
        <f>"Line "&amp;A12&amp;" + Line "&amp;A13&amp;" + Line "&amp;A14&amp;""</f>
        <v>Line 5 + Line 6 + Line 7</v>
      </c>
      <c r="I15" s="13"/>
      <c r="J15" s="968">
        <v>0</v>
      </c>
    </row>
    <row r="16" spans="1:10" x14ac:dyDescent="0.25">
      <c r="A16" s="103"/>
      <c r="B16" s="13"/>
      <c r="C16" s="45"/>
      <c r="D16" s="13"/>
      <c r="E16" s="13"/>
      <c r="F16" s="13"/>
      <c r="G16" s="13"/>
      <c r="H16" s="13"/>
      <c r="I16" s="13"/>
      <c r="J16" s="61"/>
    </row>
    <row r="17" spans="1:10" x14ac:dyDescent="0.25">
      <c r="A17" s="103"/>
      <c r="B17" s="13"/>
      <c r="C17" s="928" t="s">
        <v>306</v>
      </c>
      <c r="D17" s="13"/>
      <c r="E17" s="13"/>
      <c r="F17" s="13"/>
      <c r="G17" s="13"/>
      <c r="H17" s="13"/>
      <c r="I17" s="13"/>
      <c r="J17" s="61"/>
    </row>
    <row r="18" spans="1:10" x14ac:dyDescent="0.25">
      <c r="A18" s="103">
        <f>A15+1</f>
        <v>9</v>
      </c>
      <c r="B18" s="13"/>
      <c r="C18" s="465" t="s">
        <v>1878</v>
      </c>
      <c r="D18" s="13"/>
      <c r="E18" s="13"/>
      <c r="F18" s="13" t="s">
        <v>10</v>
      </c>
      <c r="G18" s="13" t="s">
        <v>168</v>
      </c>
      <c r="H18" s="102" t="str">
        <f>"8-AccDep, Line "&amp;'8-AccDep'!A25&amp;", Col. 12"</f>
        <v>8-AccDep, Line 14, Col. 12</v>
      </c>
      <c r="I18" s="13"/>
      <c r="J18" s="968">
        <v>0</v>
      </c>
    </row>
    <row r="19" spans="1:10" x14ac:dyDescent="0.25">
      <c r="A19" s="103">
        <f>A18+1</f>
        <v>10</v>
      </c>
      <c r="B19" s="13"/>
      <c r="C19" s="465" t="s">
        <v>1879</v>
      </c>
      <c r="D19" s="13"/>
      <c r="E19" s="13"/>
      <c r="F19" s="13" t="s">
        <v>172</v>
      </c>
      <c r="G19" s="13" t="s">
        <v>168</v>
      </c>
      <c r="H19" s="102" t="str">
        <f>"8-AccDep, Line "&amp;'8-AccDep'!A36&amp;", Col. 5"</f>
        <v>8-AccDep, Line 17, Col. 5</v>
      </c>
      <c r="I19" s="13"/>
      <c r="J19" s="968">
        <v>0</v>
      </c>
    </row>
    <row r="20" spans="1:10" ht="15" x14ac:dyDescent="0.4">
      <c r="A20" s="103">
        <f>A19+1</f>
        <v>11</v>
      </c>
      <c r="B20" s="13"/>
      <c r="C20" s="45" t="s">
        <v>338</v>
      </c>
      <c r="D20" s="21"/>
      <c r="E20" s="13"/>
      <c r="F20" s="13" t="s">
        <v>172</v>
      </c>
      <c r="G20" s="13" t="s">
        <v>168</v>
      </c>
      <c r="H20" s="102" t="str">
        <f>"8-AccDep, Line "&amp;'8-AccDep'!A54&amp;""</f>
        <v>8-AccDep, Line 23</v>
      </c>
      <c r="I20" s="13"/>
      <c r="J20" s="969">
        <v>0</v>
      </c>
    </row>
    <row r="21" spans="1:10" x14ac:dyDescent="0.25">
      <c r="A21" s="103">
        <f>A20+1</f>
        <v>12</v>
      </c>
      <c r="B21" s="13"/>
      <c r="C21" s="929" t="s">
        <v>181</v>
      </c>
      <c r="D21" s="21"/>
      <c r="E21" s="13"/>
      <c r="F21" s="13"/>
      <c r="G21" s="13"/>
      <c r="H21" s="13" t="str">
        <f>"Line "&amp;A18&amp;" + Line "&amp;A19&amp;" + Line "&amp;A20&amp;""</f>
        <v>Line 9 + Line 10 + Line 11</v>
      </c>
      <c r="I21" s="13"/>
      <c r="J21" s="968">
        <v>0</v>
      </c>
    </row>
    <row r="22" spans="1:10" x14ac:dyDescent="0.25">
      <c r="A22" s="103"/>
      <c r="B22" s="13"/>
      <c r="C22" s="14"/>
      <c r="D22" s="13"/>
      <c r="E22" s="13"/>
      <c r="F22" s="13"/>
      <c r="G22" s="13"/>
      <c r="H22" s="13"/>
      <c r="I22" s="13"/>
      <c r="J22" s="61"/>
    </row>
    <row r="23" spans="1:10" x14ac:dyDescent="0.25">
      <c r="A23" s="103">
        <f>A21+1</f>
        <v>13</v>
      </c>
      <c r="B23" s="13"/>
      <c r="C23" s="905" t="s">
        <v>182</v>
      </c>
      <c r="D23" s="13"/>
      <c r="E23" s="13"/>
      <c r="F23" s="13" t="s">
        <v>172</v>
      </c>
      <c r="G23" s="13"/>
      <c r="H23" s="102" t="str">
        <f>"9-ADIT, Line "&amp;'9-ADIT'!A23&amp;""</f>
        <v>9-ADIT, Line 14</v>
      </c>
      <c r="I23" s="13"/>
      <c r="J23" s="968">
        <v>0</v>
      </c>
    </row>
    <row r="24" spans="1:10" x14ac:dyDescent="0.25">
      <c r="A24" s="103">
        <f>A23+1</f>
        <v>14</v>
      </c>
      <c r="B24" s="13"/>
      <c r="C24" s="102" t="s">
        <v>266</v>
      </c>
      <c r="D24" s="13"/>
      <c r="E24" s="13"/>
      <c r="F24" s="13" t="s">
        <v>10</v>
      </c>
      <c r="G24" s="13"/>
      <c r="H24" s="102" t="str">
        <f>"14-IncentivePlant, L "&amp;'14-IncentivePlant'!A37&amp;", C2"</f>
        <v>14-IncentivePlant, L 12, C2</v>
      </c>
      <c r="I24" s="13"/>
      <c r="J24" s="968">
        <v>0</v>
      </c>
    </row>
    <row r="25" spans="1:10" x14ac:dyDescent="0.25">
      <c r="A25" s="103">
        <f>A24+1</f>
        <v>15</v>
      </c>
      <c r="B25" s="13"/>
      <c r="C25" s="905" t="s">
        <v>64</v>
      </c>
      <c r="D25" s="13"/>
      <c r="E25" s="13"/>
      <c r="F25" s="13" t="s">
        <v>172</v>
      </c>
      <c r="G25" s="13" t="s">
        <v>168</v>
      </c>
      <c r="H25" s="102" t="str">
        <f>"22-NUCs, Line "&amp;'22-NUCs'!A17&amp;""</f>
        <v>22-NUCs, Line 9</v>
      </c>
      <c r="I25" s="13"/>
      <c r="J25" s="968">
        <v>0</v>
      </c>
    </row>
    <row r="26" spans="1:10" x14ac:dyDescent="0.25">
      <c r="A26" s="103" t="s">
        <v>900</v>
      </c>
      <c r="B26" s="13"/>
      <c r="C26" s="894" t="s">
        <v>2407</v>
      </c>
      <c r="D26" s="13"/>
      <c r="E26" s="13"/>
      <c r="F26" s="13"/>
      <c r="G26" s="13"/>
      <c r="H26" s="14" t="str">
        <f>"34-UnfundedReserves, Line "&amp;'34-UnfundedReserves'!A10&amp;""</f>
        <v>34-UnfundedReserves, Line 7</v>
      </c>
      <c r="I26" s="13"/>
      <c r="J26" s="968">
        <v>0</v>
      </c>
    </row>
    <row r="27" spans="1:10" x14ac:dyDescent="0.25">
      <c r="A27" s="103">
        <v>16</v>
      </c>
      <c r="B27" s="13"/>
      <c r="C27" s="905" t="s">
        <v>398</v>
      </c>
      <c r="D27" s="13"/>
      <c r="E27" s="13"/>
      <c r="F27" s="13" t="s">
        <v>172</v>
      </c>
      <c r="G27" s="13"/>
      <c r="H27" s="102" t="str">
        <f>"23-RegAssets, Line "&amp;'23-RegAssets'!A18&amp;""</f>
        <v>23-RegAssets, Line 15</v>
      </c>
      <c r="I27" s="13"/>
      <c r="J27" s="968">
        <v>0</v>
      </c>
    </row>
    <row r="28" spans="1:10" x14ac:dyDescent="0.25">
      <c r="A28" s="103"/>
      <c r="B28" s="13"/>
      <c r="C28" s="905"/>
      <c r="D28" s="13"/>
      <c r="E28" s="13"/>
      <c r="F28" s="13"/>
      <c r="G28" s="13"/>
      <c r="H28" s="13"/>
      <c r="I28" s="13"/>
      <c r="J28" s="13"/>
    </row>
    <row r="29" spans="1:10" x14ac:dyDescent="0.25">
      <c r="A29" s="103">
        <v>17</v>
      </c>
      <c r="B29" s="13"/>
      <c r="C29" s="13" t="s">
        <v>192</v>
      </c>
      <c r="D29" s="13"/>
      <c r="E29" s="13"/>
      <c r="F29" s="13"/>
      <c r="G29" s="13"/>
      <c r="H29" s="13" t="str">
        <f>"L"&amp;A6&amp;"+L"&amp;A7&amp;"+L"&amp;A8&amp;"+L"&amp;A9&amp;"+L"&amp;A15&amp;"+L"&amp;A21&amp;"+"</f>
        <v>L1+L2+L3+L4+L8+L12+</v>
      </c>
      <c r="I29" s="13"/>
      <c r="J29" s="968">
        <v>0</v>
      </c>
    </row>
    <row r="30" spans="1:10" x14ac:dyDescent="0.25">
      <c r="A30" s="103"/>
      <c r="B30" s="13"/>
      <c r="C30" s="13"/>
      <c r="D30" s="13"/>
      <c r="E30" s="13"/>
      <c r="F30" s="13"/>
      <c r="G30" s="13"/>
      <c r="H30" s="13" t="str">
        <f>"L"&amp;A23&amp;"+L"&amp;A24&amp;"+L"&amp;A25&amp;"+L"&amp;A26&amp;"+L"&amp;A27&amp;""</f>
        <v>L13+L14+L15+L15a+L16</v>
      </c>
      <c r="I30" s="13"/>
      <c r="J30" s="61"/>
    </row>
    <row r="31" spans="1:10" x14ac:dyDescent="0.25">
      <c r="A31" s="103"/>
      <c r="B31" s="43" t="s">
        <v>2716</v>
      </c>
      <c r="D31" s="13"/>
      <c r="E31" s="13"/>
      <c r="F31" s="13"/>
      <c r="G31" s="13"/>
      <c r="H31" s="13"/>
      <c r="I31" s="13"/>
      <c r="J31" s="61"/>
    </row>
    <row r="32" spans="1:10" x14ac:dyDescent="0.25">
      <c r="A32" s="558" t="s">
        <v>350</v>
      </c>
      <c r="B32" s="13"/>
      <c r="C32" s="43"/>
      <c r="D32" s="13"/>
      <c r="E32" s="13"/>
      <c r="F32" s="13"/>
      <c r="G32" s="13"/>
      <c r="H32" s="13"/>
      <c r="I32" s="13"/>
      <c r="J32" s="61"/>
    </row>
    <row r="33" spans="1:10" x14ac:dyDescent="0.25">
      <c r="A33" s="103">
        <f>A29+1</f>
        <v>18</v>
      </c>
      <c r="B33" s="13"/>
      <c r="C33" s="13" t="s">
        <v>62</v>
      </c>
      <c r="D33" s="13"/>
      <c r="E33" s="13"/>
      <c r="F33" s="13"/>
      <c r="G33" s="468" t="s">
        <v>2208</v>
      </c>
      <c r="H33" s="468" t="str">
        <f>"Instruction 1, Line "&amp;B98&amp;""</f>
        <v>Instruction 1, Line j</v>
      </c>
      <c r="I33" s="13"/>
      <c r="J33" s="970" t="s">
        <v>2690</v>
      </c>
    </row>
    <row r="34" spans="1:10" x14ac:dyDescent="0.25">
      <c r="A34" s="103">
        <f>A33+1</f>
        <v>19</v>
      </c>
      <c r="B34" s="13"/>
      <c r="C34" s="14" t="s">
        <v>63</v>
      </c>
      <c r="D34" s="14"/>
      <c r="E34" s="14"/>
      <c r="F34" s="14"/>
      <c r="G34" s="14"/>
      <c r="H34" s="13" t="str">
        <f>"Line "&amp;A29&amp;" * Line "&amp;A33&amp;""</f>
        <v>Line 17 * Line 18</v>
      </c>
      <c r="I34" s="13"/>
      <c r="J34" s="968">
        <v>0</v>
      </c>
    </row>
    <row r="35" spans="1:10" x14ac:dyDescent="0.25">
      <c r="A35" s="103"/>
      <c r="B35" s="105"/>
      <c r="C35" s="13"/>
      <c r="D35" s="13"/>
      <c r="E35" s="13"/>
      <c r="F35" s="13"/>
      <c r="G35" s="13"/>
      <c r="H35" s="13"/>
      <c r="I35" s="13"/>
      <c r="J35" s="13"/>
    </row>
    <row r="36" spans="1:10" x14ac:dyDescent="0.25">
      <c r="A36" s="103"/>
      <c r="B36" s="43" t="s">
        <v>2717</v>
      </c>
      <c r="D36" s="13"/>
      <c r="E36" s="13"/>
      <c r="F36" s="13"/>
      <c r="G36" s="13"/>
      <c r="H36" s="13"/>
      <c r="I36" s="13"/>
      <c r="J36" s="13"/>
    </row>
    <row r="37" spans="1:10" x14ac:dyDescent="0.25">
      <c r="A37" s="2"/>
      <c r="B37" s="15"/>
    </row>
    <row r="38" spans="1:10" x14ac:dyDescent="0.25">
      <c r="A38" s="103">
        <f>A34+1</f>
        <v>20</v>
      </c>
      <c r="B38" s="13"/>
      <c r="C38" s="468" t="s">
        <v>2685</v>
      </c>
      <c r="D38" s="13"/>
      <c r="E38" s="13"/>
      <c r="F38" s="13"/>
      <c r="G38" s="13"/>
      <c r="H38" s="13"/>
      <c r="I38" s="13"/>
      <c r="J38" s="968">
        <v>0</v>
      </c>
    </row>
    <row r="39" spans="1:10" x14ac:dyDescent="0.25">
      <c r="A39" s="103"/>
      <c r="B39" s="13"/>
      <c r="C39" s="13"/>
      <c r="D39" s="13"/>
      <c r="E39" s="13"/>
      <c r="F39" s="13"/>
      <c r="G39" s="13"/>
      <c r="H39" s="13"/>
      <c r="I39" s="13"/>
      <c r="J39" s="14"/>
    </row>
    <row r="40" spans="1:10" x14ac:dyDescent="0.25">
      <c r="A40" s="103"/>
      <c r="B40" s="13"/>
      <c r="C40" s="13"/>
      <c r="D40" s="13" t="s">
        <v>240</v>
      </c>
      <c r="E40" s="13"/>
      <c r="F40" s="13"/>
      <c r="G40" s="13"/>
      <c r="H40" s="13"/>
      <c r="I40" s="13"/>
      <c r="J40" s="13"/>
    </row>
    <row r="41" spans="1:10" x14ac:dyDescent="0.25">
      <c r="A41" s="103">
        <f>A38+1</f>
        <v>21</v>
      </c>
      <c r="B41" s="13"/>
      <c r="C41" s="13"/>
      <c r="D41" s="105" t="s">
        <v>241</v>
      </c>
      <c r="E41" s="13"/>
      <c r="F41" s="13"/>
      <c r="G41" s="13"/>
      <c r="H41" s="13" t="str">
        <f>"Line "&amp;A29&amp;""</f>
        <v>Line 17</v>
      </c>
      <c r="I41" s="13"/>
      <c r="J41" s="968">
        <v>0</v>
      </c>
    </row>
    <row r="42" spans="1:10" x14ac:dyDescent="0.25">
      <c r="A42" s="103">
        <f>A41+1</f>
        <v>22</v>
      </c>
      <c r="B42" s="13"/>
      <c r="C42" s="13"/>
      <c r="D42" s="465" t="s">
        <v>1971</v>
      </c>
      <c r="E42" s="13"/>
      <c r="F42" s="13"/>
      <c r="G42" s="468" t="s">
        <v>1934</v>
      </c>
      <c r="H42" s="468" t="str">
        <f>"Instruction 1, Line "&amp;B103&amp;""</f>
        <v>Instruction 1, Line k</v>
      </c>
      <c r="I42" s="13"/>
      <c r="J42" s="970" t="s">
        <v>2690</v>
      </c>
    </row>
    <row r="43" spans="1:10" x14ac:dyDescent="0.25">
      <c r="A43" s="103">
        <f>A42+1</f>
        <v>23</v>
      </c>
      <c r="B43" s="13"/>
      <c r="C43" s="13"/>
      <c r="D43" s="105" t="s">
        <v>242</v>
      </c>
      <c r="E43" s="13"/>
      <c r="F43" s="13"/>
      <c r="G43" s="13"/>
      <c r="H43" s="13" t="str">
        <f>"1-Base TRR L "&amp;'1-BaseTRR'!A102&amp;""</f>
        <v>1-Base TRR L 58</v>
      </c>
      <c r="I43" s="13"/>
      <c r="J43" s="970" t="s">
        <v>2690</v>
      </c>
    </row>
    <row r="44" spans="1:10" x14ac:dyDescent="0.25">
      <c r="A44" s="103">
        <f>A43+1</f>
        <v>24</v>
      </c>
      <c r="B44" s="13"/>
      <c r="C44" s="13"/>
      <c r="D44" s="105" t="s">
        <v>243</v>
      </c>
      <c r="E44" s="13"/>
      <c r="F44" s="13"/>
      <c r="G44" s="13"/>
      <c r="H44" s="13" t="str">
        <f>"1-Base TRR L "&amp;'1-BaseTRR'!A108&amp;""</f>
        <v>1-Base TRR L 62</v>
      </c>
      <c r="I44" s="13"/>
      <c r="J44" s="968">
        <v>0</v>
      </c>
    </row>
    <row r="45" spans="1:10" x14ac:dyDescent="0.25">
      <c r="A45" s="103">
        <f>A44+1</f>
        <v>25</v>
      </c>
      <c r="B45" s="13"/>
      <c r="C45" s="13"/>
      <c r="D45" s="105" t="s">
        <v>1967</v>
      </c>
      <c r="E45" s="13"/>
      <c r="F45" s="13"/>
      <c r="G45" s="13"/>
      <c r="H45" s="13" t="str">
        <f>"1-Base TRR L "&amp;'1-BaseTRR'!A112&amp;""</f>
        <v>1-Base TRR L 64</v>
      </c>
      <c r="I45" s="13"/>
      <c r="J45" s="968">
        <v>0</v>
      </c>
    </row>
    <row r="46" spans="1:10" x14ac:dyDescent="0.25">
      <c r="A46" s="2"/>
      <c r="B46" s="15"/>
    </row>
    <row r="47" spans="1:10" x14ac:dyDescent="0.25">
      <c r="A47" s="2"/>
      <c r="B47" s="1" t="s">
        <v>2718</v>
      </c>
    </row>
    <row r="48" spans="1:10" x14ac:dyDescent="0.25">
      <c r="A48" s="103">
        <f>A45+1</f>
        <v>26</v>
      </c>
      <c r="B48" s="105"/>
      <c r="C48" s="13" t="s">
        <v>112</v>
      </c>
      <c r="D48" s="13"/>
      <c r="E48" s="13"/>
      <c r="F48" s="13"/>
      <c r="G48" s="13"/>
      <c r="H48" s="13" t="str">
        <f>"1-Base TRR L "&amp;'1-BaseTRR'!A124&amp;""</f>
        <v>1-Base TRR L 65</v>
      </c>
      <c r="I48" s="13"/>
      <c r="J48" s="968">
        <v>0</v>
      </c>
    </row>
    <row r="49" spans="1:13" x14ac:dyDescent="0.25">
      <c r="A49" s="103">
        <f t="shared" ref="A49:A60" si="0">A48+1</f>
        <v>27</v>
      </c>
      <c r="B49" s="105"/>
      <c r="C49" s="14" t="s">
        <v>290</v>
      </c>
      <c r="D49" s="13"/>
      <c r="E49" s="13"/>
      <c r="F49" s="13"/>
      <c r="G49" s="13"/>
      <c r="H49" s="13" t="str">
        <f>"1-Base TRR L "&amp;'1-BaseTRR'!A125&amp;""</f>
        <v>1-Base TRR L 66</v>
      </c>
      <c r="I49" s="13"/>
      <c r="J49" s="968">
        <v>0</v>
      </c>
    </row>
    <row r="50" spans="1:13" ht="14.4" x14ac:dyDescent="0.3">
      <c r="A50" s="103" t="s">
        <v>2728</v>
      </c>
      <c r="B50" s="105"/>
      <c r="C50" s="468" t="s">
        <v>2729</v>
      </c>
      <c r="D50" s="941"/>
      <c r="E50" s="468"/>
      <c r="F50" s="468"/>
      <c r="G50" s="468"/>
      <c r="H50" s="941" t="s">
        <v>2730</v>
      </c>
      <c r="I50" s="941"/>
      <c r="J50" s="968">
        <v>0</v>
      </c>
    </row>
    <row r="51" spans="1:13" x14ac:dyDescent="0.25">
      <c r="A51" s="103">
        <f>A49+1</f>
        <v>28</v>
      </c>
      <c r="B51" s="105"/>
      <c r="C51" s="13" t="s">
        <v>65</v>
      </c>
      <c r="D51" s="13"/>
      <c r="E51" s="13"/>
      <c r="F51" s="13"/>
      <c r="G51" s="13"/>
      <c r="H51" s="13" t="str">
        <f>"1-Base TRR L "&amp;'1-BaseTRR'!A126&amp;""</f>
        <v>1-Base TRR L 67</v>
      </c>
      <c r="I51" s="13"/>
      <c r="J51" s="968">
        <v>0</v>
      </c>
    </row>
    <row r="52" spans="1:13" x14ac:dyDescent="0.25">
      <c r="A52" s="103">
        <f t="shared" si="0"/>
        <v>29</v>
      </c>
      <c r="B52" s="105"/>
      <c r="C52" s="14" t="s">
        <v>276</v>
      </c>
      <c r="D52" s="13"/>
      <c r="E52" s="13"/>
      <c r="F52" s="13"/>
      <c r="G52" s="13"/>
      <c r="H52" s="13" t="str">
        <f>"1-Base TRR L "&amp;'1-BaseTRR'!A127&amp;""</f>
        <v>1-Base TRR L 68</v>
      </c>
      <c r="I52" s="13"/>
      <c r="J52" s="968">
        <v>0</v>
      </c>
    </row>
    <row r="53" spans="1:13" x14ac:dyDescent="0.25">
      <c r="A53" s="103">
        <f t="shared" si="0"/>
        <v>30</v>
      </c>
      <c r="B53" s="105"/>
      <c r="C53" s="14" t="s">
        <v>322</v>
      </c>
      <c r="D53" s="13"/>
      <c r="E53" s="13"/>
      <c r="F53" s="13"/>
      <c r="G53" s="13"/>
      <c r="H53" s="13" t="str">
        <f>"1-Base TRR L "&amp;'1-BaseTRR'!A128&amp;""</f>
        <v>1-Base TRR L 69</v>
      </c>
      <c r="I53" s="13"/>
      <c r="J53" s="968">
        <v>0</v>
      </c>
    </row>
    <row r="54" spans="1:13" x14ac:dyDescent="0.25">
      <c r="A54" s="103">
        <f t="shared" si="0"/>
        <v>31</v>
      </c>
      <c r="B54" s="105"/>
      <c r="C54" s="14" t="s">
        <v>89</v>
      </c>
      <c r="D54" s="13"/>
      <c r="E54" s="13"/>
      <c r="F54" s="13"/>
      <c r="G54" s="13"/>
      <c r="H54" s="13" t="str">
        <f>"1-Base TRR L "&amp;'1-BaseTRR'!A129&amp;""</f>
        <v>1-Base TRR L 70</v>
      </c>
      <c r="I54" s="13"/>
      <c r="J54" s="968">
        <v>0</v>
      </c>
    </row>
    <row r="55" spans="1:13" x14ac:dyDescent="0.25">
      <c r="A55" s="103">
        <f t="shared" si="0"/>
        <v>32</v>
      </c>
      <c r="B55" s="105"/>
      <c r="C55" s="13" t="s">
        <v>11</v>
      </c>
      <c r="D55" s="13"/>
      <c r="E55" s="13"/>
      <c r="F55" s="13"/>
      <c r="G55" s="14"/>
      <c r="H55" s="13" t="str">
        <f>"1-Base TRR L "&amp;'1-BaseTRR'!A130&amp;""</f>
        <v>1-Base TRR L 71</v>
      </c>
      <c r="I55" s="13"/>
      <c r="J55" s="968">
        <v>0</v>
      </c>
    </row>
    <row r="56" spans="1:13" x14ac:dyDescent="0.25">
      <c r="A56" s="103">
        <f t="shared" si="0"/>
        <v>33</v>
      </c>
      <c r="B56" s="105"/>
      <c r="C56" s="13" t="s">
        <v>97</v>
      </c>
      <c r="D56" s="13"/>
      <c r="E56" s="13"/>
      <c r="F56" s="13"/>
      <c r="G56" s="13"/>
      <c r="H56" s="13" t="str">
        <f>"Line "&amp;A34&amp;""</f>
        <v>Line 19</v>
      </c>
      <c r="I56" s="13"/>
      <c r="J56" s="968">
        <v>0</v>
      </c>
    </row>
    <row r="57" spans="1:13" x14ac:dyDescent="0.25">
      <c r="A57" s="103">
        <f t="shared" si="0"/>
        <v>34</v>
      </c>
      <c r="B57" s="105"/>
      <c r="C57" s="13" t="s">
        <v>5</v>
      </c>
      <c r="D57" s="13"/>
      <c r="E57" s="13"/>
      <c r="F57" s="13"/>
      <c r="G57" s="13"/>
      <c r="H57" s="13" t="str">
        <f>"Line "&amp;A38&amp;""</f>
        <v>Line 20</v>
      </c>
      <c r="I57" s="13"/>
      <c r="J57" s="968">
        <v>0</v>
      </c>
      <c r="M57" s="466" t="s">
        <v>359</v>
      </c>
    </row>
    <row r="58" spans="1:13" x14ac:dyDescent="0.25">
      <c r="A58" s="103">
        <f t="shared" si="0"/>
        <v>35</v>
      </c>
      <c r="B58" s="105"/>
      <c r="C58" s="14" t="s">
        <v>393</v>
      </c>
      <c r="D58" s="13"/>
      <c r="E58" s="13"/>
      <c r="F58" s="13"/>
      <c r="G58" s="13"/>
      <c r="H58" s="13" t="str">
        <f>"1-Base TRR L "&amp;'1-BaseTRR'!A133&amp;""</f>
        <v>1-Base TRR L 74</v>
      </c>
      <c r="I58" s="13"/>
      <c r="J58" s="968">
        <v>0</v>
      </c>
    </row>
    <row r="59" spans="1:13" ht="15" x14ac:dyDescent="0.4">
      <c r="A59" s="103">
        <f t="shared" si="0"/>
        <v>36</v>
      </c>
      <c r="B59" s="105"/>
      <c r="C59" s="590" t="s">
        <v>1952</v>
      </c>
      <c r="D59" s="707"/>
      <c r="E59" s="13"/>
      <c r="F59" s="13"/>
      <c r="G59" s="13"/>
      <c r="H59" s="13" t="str">
        <f>"1-Base TRR L "&amp;'1-BaseTRR'!A134&amp;""</f>
        <v>1-Base TRR L 75</v>
      </c>
      <c r="I59" s="13"/>
      <c r="J59" s="969">
        <v>0</v>
      </c>
    </row>
    <row r="60" spans="1:13" x14ac:dyDescent="0.25">
      <c r="A60" s="103">
        <f t="shared" si="0"/>
        <v>37</v>
      </c>
      <c r="B60" s="105"/>
      <c r="C60" s="468" t="s">
        <v>1678</v>
      </c>
      <c r="D60" s="13"/>
      <c r="E60" s="13"/>
      <c r="F60" s="13"/>
      <c r="G60" s="13"/>
      <c r="H60" s="13" t="str">
        <f>"Sum Line "&amp;A48&amp;" to Line "&amp;A59&amp;""</f>
        <v>Sum Line 26 to Line 36</v>
      </c>
      <c r="I60" s="13"/>
      <c r="J60" s="968">
        <v>0</v>
      </c>
    </row>
    <row r="61" spans="1:13" x14ac:dyDescent="0.25">
      <c r="A61" s="103"/>
      <c r="B61" s="105"/>
      <c r="C61" s="13"/>
      <c r="D61" s="13"/>
      <c r="E61" s="13"/>
      <c r="F61" s="13"/>
      <c r="G61" s="13"/>
      <c r="H61" s="13"/>
      <c r="I61" s="13"/>
      <c r="J61" s="61"/>
    </row>
    <row r="62" spans="1:13" ht="12.75" customHeight="1" x14ac:dyDescent="0.25">
      <c r="A62" s="103">
        <f>A60+1</f>
        <v>38</v>
      </c>
      <c r="B62" s="105"/>
      <c r="C62" s="468" t="s">
        <v>1653</v>
      </c>
      <c r="D62" s="13"/>
      <c r="E62" s="13"/>
      <c r="F62" s="13"/>
      <c r="G62" s="13"/>
      <c r="H62" s="13" t="str">
        <f>"15-IncentiveAdder L "&amp;'15-IncentiveAdder'!A59&amp;""</f>
        <v>15-IncentiveAdder L 20</v>
      </c>
      <c r="I62" s="13"/>
      <c r="J62" s="968">
        <v>0</v>
      </c>
    </row>
    <row r="63" spans="1:13" x14ac:dyDescent="0.25">
      <c r="A63" s="103"/>
      <c r="B63" s="105"/>
      <c r="C63" s="14"/>
      <c r="D63" s="13"/>
      <c r="E63" s="13"/>
      <c r="F63" s="13"/>
      <c r="G63" s="13"/>
      <c r="H63" s="13"/>
      <c r="I63" s="13"/>
      <c r="J63" s="61"/>
    </row>
    <row r="64" spans="1:13" x14ac:dyDescent="0.25">
      <c r="A64" s="103">
        <f>A62+1</f>
        <v>39</v>
      </c>
      <c r="B64" s="105"/>
      <c r="C64" s="468" t="s">
        <v>2703</v>
      </c>
      <c r="D64" s="13"/>
      <c r="E64" s="13"/>
      <c r="F64" s="13"/>
      <c r="G64" s="13"/>
      <c r="H64" s="13" t="str">
        <f>"Line "&amp;A60&amp;" + Line "&amp;A62&amp;""</f>
        <v>Line 37 + Line 38</v>
      </c>
      <c r="I64" s="13"/>
      <c r="J64" s="968">
        <v>0</v>
      </c>
    </row>
    <row r="65" spans="1:10" x14ac:dyDescent="0.25">
      <c r="A65" s="103"/>
      <c r="B65" s="105"/>
      <c r="C65" s="14"/>
      <c r="D65" s="13"/>
      <c r="E65" s="13"/>
      <c r="F65" s="13"/>
      <c r="G65" s="13"/>
      <c r="H65" s="13"/>
      <c r="I65" s="13"/>
      <c r="J65" s="61"/>
    </row>
    <row r="66" spans="1:10" x14ac:dyDescent="0.25">
      <c r="A66" s="103"/>
      <c r="B66" s="374" t="s">
        <v>2719</v>
      </c>
      <c r="C66" s="14"/>
      <c r="D66" s="13"/>
      <c r="E66" s="13"/>
      <c r="F66" s="13"/>
      <c r="G66" s="13"/>
      <c r="H66" s="13"/>
      <c r="I66" s="13"/>
      <c r="J66" s="61"/>
    </row>
    <row r="67" spans="1:10" x14ac:dyDescent="0.25">
      <c r="A67" s="558" t="s">
        <v>350</v>
      </c>
      <c r="B67" s="905"/>
      <c r="C67" s="13"/>
      <c r="D67" s="13"/>
      <c r="E67" s="13"/>
      <c r="F67" s="13"/>
      <c r="G67" s="879" t="s">
        <v>1260</v>
      </c>
      <c r="H67" s="13"/>
      <c r="I67" s="13"/>
      <c r="J67" s="13"/>
    </row>
    <row r="68" spans="1:10" x14ac:dyDescent="0.25">
      <c r="A68" s="103">
        <f>A64+1</f>
        <v>40</v>
      </c>
      <c r="B68" s="905"/>
      <c r="C68" s="13"/>
      <c r="D68" s="893" t="s">
        <v>1679</v>
      </c>
      <c r="E68" s="968">
        <v>0</v>
      </c>
      <c r="F68" s="13"/>
      <c r="G68" s="13" t="str">
        <f>"Line "&amp;A64&amp;""</f>
        <v>Line 39</v>
      </c>
      <c r="H68" s="13"/>
      <c r="I68" s="13"/>
      <c r="J68" s="13"/>
    </row>
    <row r="69" spans="1:10" x14ac:dyDescent="0.25">
      <c r="A69" s="103">
        <f>A68+1</f>
        <v>41</v>
      </c>
      <c r="B69" s="905"/>
      <c r="C69" s="13"/>
      <c r="D69" s="340" t="s">
        <v>1259</v>
      </c>
      <c r="E69" s="970" t="s">
        <v>2690</v>
      </c>
      <c r="F69" s="13"/>
      <c r="G69" s="13" t="str">
        <f>"28-FFU, L "&amp;'28-FFU'!A22&amp;""</f>
        <v>28-FFU, L 5</v>
      </c>
      <c r="H69" s="13"/>
      <c r="I69" s="13"/>
      <c r="J69" s="13"/>
    </row>
    <row r="70" spans="1:10" x14ac:dyDescent="0.25">
      <c r="A70" s="103">
        <f>A69+1</f>
        <v>42</v>
      </c>
      <c r="B70" s="905"/>
      <c r="C70" s="13"/>
      <c r="D70" s="80" t="s">
        <v>257</v>
      </c>
      <c r="E70" s="968">
        <v>0</v>
      </c>
      <c r="F70" s="13"/>
      <c r="G70" s="13" t="str">
        <f>"Line "&amp;A68&amp;" * Line "&amp;A69&amp;""</f>
        <v>Line 40 * Line 41</v>
      </c>
      <c r="H70" s="13"/>
      <c r="I70" s="13"/>
      <c r="J70" s="13"/>
    </row>
    <row r="71" spans="1:10" x14ac:dyDescent="0.25">
      <c r="A71" s="103">
        <f>A70+1</f>
        <v>43</v>
      </c>
      <c r="B71" s="905"/>
      <c r="C71" s="13"/>
      <c r="D71" s="893" t="s">
        <v>1964</v>
      </c>
      <c r="E71" s="970" t="s">
        <v>2690</v>
      </c>
      <c r="F71" s="13"/>
      <c r="G71" s="13" t="str">
        <f>"28-FFU, L "&amp;'28-FFU'!A22&amp;""</f>
        <v>28-FFU, L 5</v>
      </c>
      <c r="H71" s="13"/>
      <c r="I71" s="13"/>
      <c r="J71" s="13"/>
    </row>
    <row r="72" spans="1:10" x14ac:dyDescent="0.25">
      <c r="A72" s="103">
        <f>A71+1</f>
        <v>44</v>
      </c>
      <c r="B72" s="905"/>
      <c r="C72" s="13"/>
      <c r="D72" s="893" t="s">
        <v>1631</v>
      </c>
      <c r="E72" s="968">
        <v>0</v>
      </c>
      <c r="F72" s="13"/>
      <c r="G72" s="13" t="str">
        <f>"Line "&amp;A70&amp;" * Line "&amp;A71&amp;""</f>
        <v>Line 42 * Line 43</v>
      </c>
      <c r="H72" s="13"/>
      <c r="I72" s="13"/>
      <c r="J72" s="13"/>
    </row>
    <row r="73" spans="1:10" x14ac:dyDescent="0.25">
      <c r="A73" s="103">
        <f>A72+1</f>
        <v>45</v>
      </c>
      <c r="B73" s="905"/>
      <c r="C73" s="13"/>
      <c r="D73" s="893" t="s">
        <v>1680</v>
      </c>
      <c r="E73" s="968">
        <v>0</v>
      </c>
      <c r="F73" s="13"/>
      <c r="G73" s="13" t="str">
        <f>"L "&amp;A68&amp;" + L "&amp;A70&amp;" + L "&amp;A72&amp;""</f>
        <v>L 40 + L 42 + L 44</v>
      </c>
      <c r="H73" s="13"/>
      <c r="I73" s="13"/>
      <c r="J73" s="13"/>
    </row>
    <row r="74" spans="1:10" x14ac:dyDescent="0.25">
      <c r="A74" s="13"/>
      <c r="B74" s="930" t="s">
        <v>420</v>
      </c>
      <c r="C74" s="13"/>
      <c r="D74" s="80"/>
      <c r="E74" s="61"/>
      <c r="F74" s="13"/>
      <c r="G74" s="13"/>
      <c r="H74" s="601"/>
      <c r="I74" s="13"/>
      <c r="J74" s="13"/>
    </row>
    <row r="75" spans="1:10" x14ac:dyDescent="0.25">
      <c r="A75" s="103"/>
      <c r="B75" s="468" t="s">
        <v>1935</v>
      </c>
      <c r="C75" s="374"/>
      <c r="D75" s="80"/>
      <c r="E75" s="61"/>
      <c r="F75" s="13"/>
      <c r="G75" s="13"/>
      <c r="H75" s="13"/>
      <c r="I75" s="13"/>
      <c r="J75" s="13"/>
    </row>
    <row r="76" spans="1:10" x14ac:dyDescent="0.25">
      <c r="A76" s="103"/>
      <c r="B76" s="468" t="s">
        <v>1936</v>
      </c>
      <c r="C76" s="374"/>
      <c r="D76" s="80"/>
      <c r="E76" s="61"/>
      <c r="F76" s="13"/>
      <c r="G76" s="13"/>
      <c r="H76" s="13"/>
      <c r="I76" s="13"/>
      <c r="J76" s="13"/>
    </row>
    <row r="77" spans="1:10" x14ac:dyDescent="0.25">
      <c r="A77" s="103"/>
      <c r="B77" s="894" t="s">
        <v>1937</v>
      </c>
      <c r="C77" s="14"/>
      <c r="D77" s="80"/>
      <c r="E77" s="61"/>
      <c r="F77" s="13"/>
      <c r="G77" s="13"/>
      <c r="H77" s="13"/>
      <c r="I77" s="13"/>
      <c r="J77" s="13"/>
    </row>
    <row r="78" spans="1:10" x14ac:dyDescent="0.25">
      <c r="A78" s="103"/>
      <c r="B78" s="894" t="s">
        <v>2003</v>
      </c>
      <c r="C78" s="13"/>
      <c r="D78" s="80"/>
      <c r="E78" s="61"/>
      <c r="F78" s="13"/>
      <c r="G78" s="13"/>
      <c r="H78" s="13"/>
      <c r="I78" s="13"/>
      <c r="J78" s="13"/>
    </row>
    <row r="79" spans="1:10" x14ac:dyDescent="0.25">
      <c r="A79" s="103"/>
      <c r="B79" s="13"/>
      <c r="C79" s="13"/>
      <c r="D79" s="13"/>
      <c r="E79" s="13"/>
      <c r="F79" s="13"/>
      <c r="G79" s="13"/>
      <c r="H79" s="13"/>
      <c r="I79" s="13"/>
      <c r="J79" s="13"/>
    </row>
    <row r="80" spans="1:10" x14ac:dyDescent="0.25">
      <c r="A80" s="103"/>
      <c r="B80" s="468" t="s">
        <v>2203</v>
      </c>
      <c r="C80" s="13"/>
      <c r="D80" s="13"/>
      <c r="E80" s="13"/>
      <c r="F80" s="13"/>
      <c r="G80" s="13"/>
      <c r="H80" s="13"/>
      <c r="I80" s="13"/>
      <c r="J80" s="13"/>
    </row>
    <row r="81" spans="1:12" x14ac:dyDescent="0.25">
      <c r="A81" s="103"/>
      <c r="B81" s="468"/>
      <c r="C81" s="468" t="s">
        <v>2209</v>
      </c>
      <c r="D81" s="13"/>
      <c r="E81" s="13"/>
      <c r="F81" s="13"/>
      <c r="G81" s="13"/>
      <c r="H81" s="13"/>
      <c r="I81" s="13"/>
      <c r="J81" s="13"/>
    </row>
    <row r="82" spans="1:12" x14ac:dyDescent="0.25">
      <c r="A82" s="103"/>
      <c r="B82" s="468"/>
      <c r="C82" s="13"/>
      <c r="D82" s="13"/>
      <c r="E82" s="13"/>
      <c r="F82" s="13"/>
      <c r="G82" s="13"/>
      <c r="H82" s="13"/>
      <c r="I82" s="13"/>
      <c r="J82" s="103" t="s">
        <v>2200</v>
      </c>
    </row>
    <row r="83" spans="1:12" x14ac:dyDescent="0.25">
      <c r="A83" s="103"/>
      <c r="B83" s="13"/>
      <c r="C83" s="13"/>
      <c r="D83" s="13"/>
      <c r="E83" s="113" t="s">
        <v>1622</v>
      </c>
      <c r="F83" s="879" t="s">
        <v>1260</v>
      </c>
      <c r="G83" s="113" t="s">
        <v>258</v>
      </c>
      <c r="H83" s="113" t="s">
        <v>259</v>
      </c>
      <c r="I83" s="13"/>
      <c r="J83" s="113" t="s">
        <v>2199</v>
      </c>
    </row>
    <row r="84" spans="1:12" x14ac:dyDescent="0.25">
      <c r="B84" s="899" t="s">
        <v>1916</v>
      </c>
      <c r="C84" s="468" t="s">
        <v>2198</v>
      </c>
      <c r="D84" s="13"/>
      <c r="E84" s="970" t="s">
        <v>2690</v>
      </c>
      <c r="F84" s="13" t="str">
        <f>"1-Base TRR L "&amp;'1-BaseTRR'!A85&amp;""</f>
        <v>1-Base TRR L 49</v>
      </c>
      <c r="G84" s="598" t="s">
        <v>86</v>
      </c>
      <c r="H84" s="598" t="s">
        <v>86</v>
      </c>
      <c r="I84" s="14"/>
      <c r="J84" s="598" t="s">
        <v>86</v>
      </c>
      <c r="K84" s="14"/>
      <c r="L84" s="14"/>
    </row>
    <row r="85" spans="1:12" x14ac:dyDescent="0.25">
      <c r="B85" s="899" t="s">
        <v>1917</v>
      </c>
      <c r="C85" s="468" t="s">
        <v>2226</v>
      </c>
      <c r="D85" s="13"/>
      <c r="E85" s="980" t="s">
        <v>2690</v>
      </c>
      <c r="F85" s="890" t="s">
        <v>2202</v>
      </c>
      <c r="G85" s="598" t="s">
        <v>86</v>
      </c>
      <c r="H85" s="598" t="s">
        <v>86</v>
      </c>
      <c r="I85" s="14"/>
      <c r="J85" s="598" t="s">
        <v>86</v>
      </c>
      <c r="K85" s="14"/>
      <c r="L85" s="14"/>
    </row>
    <row r="86" spans="1:12" x14ac:dyDescent="0.25">
      <c r="B86" s="899" t="s">
        <v>1918</v>
      </c>
      <c r="C86" s="468"/>
      <c r="D86" s="13"/>
      <c r="E86" s="931"/>
      <c r="F86" s="890"/>
      <c r="G86" s="538"/>
      <c r="H86" s="538"/>
      <c r="I86" s="893" t="s">
        <v>2456</v>
      </c>
      <c r="J86" s="973" t="s">
        <v>2691</v>
      </c>
      <c r="K86" s="14"/>
      <c r="L86" s="14"/>
    </row>
    <row r="87" spans="1:12" x14ac:dyDescent="0.25">
      <c r="A87" s="13"/>
      <c r="B87" s="899" t="s">
        <v>1919</v>
      </c>
      <c r="C87" s="468" t="s">
        <v>2211</v>
      </c>
      <c r="D87" s="13"/>
      <c r="E87" s="970" t="s">
        <v>2690</v>
      </c>
      <c r="F87" s="468" t="s">
        <v>2457</v>
      </c>
      <c r="G87" s="13"/>
      <c r="H87" s="14"/>
      <c r="I87" s="14"/>
      <c r="J87" s="14"/>
      <c r="K87" s="14"/>
      <c r="L87" s="14"/>
    </row>
    <row r="88" spans="1:12" x14ac:dyDescent="0.25">
      <c r="A88" s="103"/>
      <c r="B88" s="468"/>
      <c r="C88" s="13"/>
      <c r="D88" s="13"/>
      <c r="E88" s="13"/>
      <c r="F88" s="13"/>
      <c r="G88" s="13"/>
      <c r="H88" s="14"/>
      <c r="I88" s="14"/>
      <c r="J88" s="14"/>
      <c r="K88" s="14"/>
      <c r="L88" s="14"/>
    </row>
    <row r="89" spans="1:12" x14ac:dyDescent="0.25">
      <c r="A89" s="103"/>
      <c r="B89" s="468" t="s">
        <v>2201</v>
      </c>
      <c r="C89" s="13"/>
      <c r="D89" s="13"/>
      <c r="E89" s="13"/>
      <c r="F89" s="13"/>
      <c r="G89" s="13"/>
      <c r="H89" s="14"/>
      <c r="I89" s="14"/>
      <c r="J89" s="14"/>
      <c r="K89" s="14"/>
      <c r="L89" s="14"/>
    </row>
    <row r="90" spans="1:12" x14ac:dyDescent="0.25">
      <c r="A90" s="103"/>
      <c r="B90" s="468"/>
      <c r="C90" s="13"/>
      <c r="D90" s="13"/>
      <c r="E90" s="879" t="s">
        <v>1260</v>
      </c>
      <c r="F90" s="13"/>
      <c r="G90" s="13"/>
      <c r="H90" s="14"/>
      <c r="I90" s="14"/>
      <c r="J90" s="14"/>
      <c r="K90" s="14"/>
      <c r="L90" s="14"/>
    </row>
    <row r="91" spans="1:12" x14ac:dyDescent="0.25">
      <c r="A91" s="13"/>
      <c r="B91" s="899" t="s">
        <v>1920</v>
      </c>
      <c r="C91" s="468" t="s">
        <v>2228</v>
      </c>
      <c r="D91" s="13"/>
      <c r="E91" s="598" t="s">
        <v>86</v>
      </c>
      <c r="F91" s="94"/>
      <c r="G91" s="94"/>
      <c r="H91" s="107"/>
      <c r="I91" s="107"/>
      <c r="J91" s="107"/>
      <c r="K91" s="14"/>
      <c r="L91" s="14"/>
    </row>
    <row r="92" spans="1:12" x14ac:dyDescent="0.25">
      <c r="B92" s="899" t="s">
        <v>1921</v>
      </c>
      <c r="C92" s="468" t="s">
        <v>2227</v>
      </c>
      <c r="D92" s="13"/>
      <c r="E92" s="598" t="s">
        <v>86</v>
      </c>
      <c r="F92" s="94"/>
      <c r="G92" s="94"/>
      <c r="H92" s="107"/>
      <c r="I92" s="107"/>
      <c r="J92" s="107"/>
      <c r="K92" s="14"/>
      <c r="L92" s="14"/>
    </row>
    <row r="93" spans="1:12" x14ac:dyDescent="0.25">
      <c r="B93" s="13"/>
      <c r="C93" s="468"/>
      <c r="D93" s="13"/>
      <c r="E93" s="538"/>
      <c r="F93" s="13"/>
      <c r="G93" s="13"/>
      <c r="H93" s="13"/>
      <c r="I93" s="14"/>
      <c r="J93" s="14"/>
      <c r="K93" s="14"/>
      <c r="L93" s="14"/>
    </row>
    <row r="94" spans="1:12" x14ac:dyDescent="0.25">
      <c r="B94" s="13"/>
      <c r="C94" s="13"/>
      <c r="D94" s="13"/>
      <c r="E94" s="113" t="s">
        <v>1622</v>
      </c>
      <c r="F94" s="879" t="s">
        <v>1260</v>
      </c>
      <c r="G94" s="13"/>
      <c r="H94" s="14"/>
      <c r="I94" s="14"/>
      <c r="J94" s="13"/>
    </row>
    <row r="95" spans="1:12" x14ac:dyDescent="0.25">
      <c r="B95" s="899" t="s">
        <v>1923</v>
      </c>
      <c r="C95" s="468" t="s">
        <v>2212</v>
      </c>
      <c r="D95" s="14"/>
      <c r="E95" s="970" t="s">
        <v>2690</v>
      </c>
      <c r="F95" s="13" t="str">
        <f>"1-Base TRR L "&amp;'1-BaseTRR'!A88&amp;""</f>
        <v>1-Base TRR L 50</v>
      </c>
      <c r="G95" s="13"/>
      <c r="H95" s="14"/>
      <c r="I95" s="14"/>
      <c r="J95" s="13"/>
    </row>
    <row r="96" spans="1:12" x14ac:dyDescent="0.25">
      <c r="B96" s="899" t="s">
        <v>2204</v>
      </c>
      <c r="C96" s="468" t="s">
        <v>2213</v>
      </c>
      <c r="D96" s="13"/>
      <c r="E96" s="970" t="s">
        <v>2690</v>
      </c>
      <c r="F96" s="13" t="str">
        <f>"1-Base TRR L "&amp;'1-BaseTRR'!A89&amp;""</f>
        <v>1-Base TRR L 51</v>
      </c>
      <c r="G96" s="13"/>
      <c r="H96" s="14"/>
      <c r="I96" s="14"/>
      <c r="J96" s="13"/>
    </row>
    <row r="97" spans="1:10" x14ac:dyDescent="0.25">
      <c r="B97" s="899" t="s">
        <v>2205</v>
      </c>
      <c r="C97" s="468" t="s">
        <v>2214</v>
      </c>
      <c r="D97" s="13"/>
      <c r="E97" s="971" t="s">
        <v>2690</v>
      </c>
      <c r="F97" s="13" t="str">
        <f>"1-Base TRR L "&amp;'1-BaseTRR'!A80&amp;" * Line d"</f>
        <v>1-Base TRR L 46 * Line d</v>
      </c>
      <c r="G97" s="14"/>
      <c r="H97" s="14"/>
      <c r="I97" s="13"/>
      <c r="J97" s="13"/>
    </row>
    <row r="98" spans="1:10" x14ac:dyDescent="0.25">
      <c r="A98" s="13"/>
      <c r="B98" s="899" t="s">
        <v>2206</v>
      </c>
      <c r="C98" s="45" t="s">
        <v>62</v>
      </c>
      <c r="D98" s="13"/>
      <c r="E98" s="970" t="s">
        <v>2690</v>
      </c>
      <c r="F98" s="61" t="str">
        <f>"Sum of Lines "&amp;B95&amp;" to "&amp;B97&amp;""</f>
        <v>Sum of Lines g to i</v>
      </c>
      <c r="G98" s="100"/>
      <c r="H98" s="13"/>
      <c r="I98" s="13"/>
      <c r="J98" s="932"/>
    </row>
    <row r="99" spans="1:10" x14ac:dyDescent="0.25">
      <c r="A99" s="103"/>
      <c r="B99" s="13"/>
      <c r="C99" s="20"/>
      <c r="D99" s="23"/>
      <c r="E99" s="61"/>
      <c r="F99" s="61"/>
      <c r="G99" s="100"/>
      <c r="H99" s="61"/>
      <c r="I99" s="13"/>
      <c r="J99" s="932"/>
    </row>
    <row r="100" spans="1:10" x14ac:dyDescent="0.25">
      <c r="A100" s="103"/>
      <c r="B100" s="468" t="s">
        <v>2207</v>
      </c>
      <c r="C100" s="13"/>
      <c r="D100" s="13"/>
      <c r="E100" s="13"/>
      <c r="F100" s="13"/>
      <c r="G100" s="13"/>
      <c r="H100" s="13"/>
      <c r="I100" s="13"/>
      <c r="J100" s="13"/>
    </row>
    <row r="101" spans="1:10" x14ac:dyDescent="0.25">
      <c r="A101" s="103"/>
      <c r="B101" s="13"/>
      <c r="C101" s="13"/>
      <c r="D101" s="13"/>
      <c r="E101" s="13"/>
      <c r="F101" s="13"/>
      <c r="G101" s="13"/>
      <c r="H101" s="13"/>
      <c r="I101" s="13"/>
      <c r="J101" s="13"/>
    </row>
    <row r="102" spans="1:10" x14ac:dyDescent="0.25">
      <c r="A102" s="103"/>
      <c r="B102" s="13"/>
      <c r="C102" s="13"/>
      <c r="D102" s="13"/>
      <c r="E102" s="113" t="s">
        <v>1622</v>
      </c>
      <c r="F102" s="879" t="s">
        <v>1260</v>
      </c>
      <c r="G102" s="13"/>
      <c r="H102" s="13"/>
      <c r="I102" s="13"/>
      <c r="J102" s="13"/>
    </row>
    <row r="103" spans="1:10" x14ac:dyDescent="0.25">
      <c r="A103" s="13"/>
      <c r="B103" s="103" t="s">
        <v>2704</v>
      </c>
      <c r="C103" s="13"/>
      <c r="D103" s="13"/>
      <c r="E103" s="970" t="s">
        <v>2690</v>
      </c>
      <c r="F103" s="61" t="str">
        <f>"Sum of Lines "&amp;B96&amp;" to "&amp;B97&amp;""</f>
        <v>Sum of Lines h to i</v>
      </c>
      <c r="G103" s="13"/>
      <c r="H103" s="13"/>
      <c r="I103" s="13"/>
      <c r="J103" s="13"/>
    </row>
    <row r="104" spans="1:10" x14ac:dyDescent="0.25">
      <c r="A104" s="103"/>
      <c r="B104" s="13"/>
      <c r="C104" s="13"/>
      <c r="D104" s="13"/>
      <c r="E104" s="67"/>
      <c r="F104" s="61"/>
      <c r="G104" s="13"/>
      <c r="H104" s="13"/>
      <c r="I104" s="13"/>
      <c r="J104" s="13"/>
    </row>
    <row r="105" spans="1:10" x14ac:dyDescent="0.25">
      <c r="A105" s="103"/>
      <c r="B105" s="894" t="s">
        <v>2183</v>
      </c>
      <c r="C105" s="13"/>
      <c r="D105" s="13"/>
      <c r="E105" s="100"/>
      <c r="F105" s="100"/>
      <c r="G105" s="100"/>
      <c r="H105" s="61"/>
      <c r="I105" s="13"/>
      <c r="J105" s="13"/>
    </row>
    <row r="106" spans="1:10" x14ac:dyDescent="0.25">
      <c r="A106" s="103"/>
      <c r="B106" s="890" t="s">
        <v>2192</v>
      </c>
      <c r="C106" s="13"/>
      <c r="D106" s="13"/>
      <c r="E106" s="13"/>
      <c r="F106" s="13"/>
      <c r="G106" s="13"/>
      <c r="H106" s="13"/>
      <c r="I106" s="13"/>
      <c r="J106" s="13"/>
    </row>
    <row r="107" spans="1:10" x14ac:dyDescent="0.25">
      <c r="A107" s="2"/>
      <c r="B107" s="890" t="s">
        <v>2193</v>
      </c>
      <c r="C107" s="13"/>
      <c r="D107" s="103"/>
      <c r="E107" s="103"/>
      <c r="F107" s="103"/>
      <c r="G107" s="103"/>
      <c r="H107" s="103"/>
      <c r="I107" s="13"/>
      <c r="J107" s="13"/>
    </row>
    <row r="108" spans="1:10" x14ac:dyDescent="0.25">
      <c r="A108" s="2"/>
      <c r="B108" s="894" t="s">
        <v>2195</v>
      </c>
      <c r="C108" s="13"/>
      <c r="D108" s="103"/>
      <c r="E108" s="103"/>
      <c r="F108" s="103"/>
      <c r="G108" s="103"/>
      <c r="H108" s="103"/>
      <c r="I108" s="13"/>
      <c r="J108" s="13"/>
    </row>
    <row r="109" spans="1:10" x14ac:dyDescent="0.25">
      <c r="A109" s="2"/>
      <c r="B109" s="13" t="s">
        <v>2194</v>
      </c>
      <c r="C109" s="28"/>
      <c r="D109" s="28"/>
      <c r="E109" s="113"/>
      <c r="F109" s="113"/>
      <c r="G109" s="113"/>
      <c r="H109" s="113"/>
      <c r="I109" s="13"/>
      <c r="J109" s="13"/>
    </row>
    <row r="110" spans="1:10" x14ac:dyDescent="0.25">
      <c r="A110" s="2"/>
    </row>
    <row r="111" spans="1:10" x14ac:dyDescent="0.25">
      <c r="A111" s="2"/>
    </row>
    <row r="112" spans="1:10" x14ac:dyDescent="0.25">
      <c r="A112" s="2"/>
    </row>
    <row r="113" spans="1:10" x14ac:dyDescent="0.25">
      <c r="A113" s="2"/>
      <c r="C113" s="20"/>
      <c r="E113" s="61"/>
      <c r="F113" s="61"/>
      <c r="H113" s="6"/>
      <c r="J113" s="82"/>
    </row>
    <row r="114" spans="1:10" x14ac:dyDescent="0.25">
      <c r="A114" s="2"/>
      <c r="C114" s="20"/>
      <c r="E114" s="61"/>
      <c r="F114" s="61"/>
      <c r="H114" s="6"/>
      <c r="J114" s="82"/>
    </row>
    <row r="115" spans="1:10" x14ac:dyDescent="0.25">
      <c r="A115" s="51"/>
      <c r="C115" s="20"/>
      <c r="E115" s="61"/>
      <c r="F115" s="61"/>
      <c r="H115" s="6"/>
      <c r="J115" s="82"/>
    </row>
    <row r="116" spans="1:10" x14ac:dyDescent="0.25">
      <c r="A116" s="2"/>
      <c r="D116" s="33"/>
      <c r="E116" s="61"/>
      <c r="F116" s="61"/>
      <c r="G116" s="11"/>
      <c r="H116" s="6"/>
      <c r="J116" s="82"/>
    </row>
    <row r="117" spans="1:10" x14ac:dyDescent="0.25">
      <c r="A117" s="2"/>
      <c r="C117" s="20"/>
      <c r="D117" s="91"/>
      <c r="E117" s="90"/>
      <c r="F117" s="6"/>
      <c r="G117" s="11"/>
      <c r="H117" s="6"/>
      <c r="J117" s="82"/>
    </row>
    <row r="118" spans="1:10" x14ac:dyDescent="0.25">
      <c r="A118" s="2"/>
      <c r="C118" s="20"/>
      <c r="D118" s="91"/>
      <c r="E118" s="6"/>
      <c r="F118" s="6"/>
      <c r="G118" s="11"/>
      <c r="H118" s="6"/>
      <c r="J118" s="82"/>
    </row>
    <row r="119" spans="1:10" x14ac:dyDescent="0.25">
      <c r="A119" s="2"/>
    </row>
    <row r="120" spans="1:10" x14ac:dyDescent="0.25">
      <c r="A120" s="2"/>
      <c r="B120" s="1"/>
    </row>
    <row r="121" spans="1:10" x14ac:dyDescent="0.25">
      <c r="A121" s="2"/>
    </row>
    <row r="122" spans="1:10" x14ac:dyDescent="0.25">
      <c r="A122" s="2"/>
    </row>
    <row r="123" spans="1:10" x14ac:dyDescent="0.25">
      <c r="A123" s="2"/>
      <c r="F123" s="2"/>
    </row>
    <row r="124" spans="1:10" x14ac:dyDescent="0.25">
      <c r="A124" s="2"/>
      <c r="F124" s="2"/>
    </row>
    <row r="125" spans="1:10" x14ac:dyDescent="0.25">
      <c r="A125" s="2"/>
      <c r="D125" s="2"/>
      <c r="E125" s="2"/>
      <c r="F125" s="2"/>
      <c r="H125" s="2"/>
    </row>
    <row r="126" spans="1:10" x14ac:dyDescent="0.25">
      <c r="A126" s="2"/>
      <c r="D126" s="2"/>
      <c r="E126" s="2"/>
      <c r="F126" s="2"/>
      <c r="G126" s="2"/>
      <c r="H126" s="4"/>
    </row>
    <row r="127" spans="1:10" x14ac:dyDescent="0.25">
      <c r="A127" s="51"/>
      <c r="C127" s="24"/>
      <c r="D127" s="24"/>
      <c r="E127" s="3"/>
      <c r="F127" s="84"/>
      <c r="G127" s="3"/>
      <c r="H127" s="4"/>
    </row>
    <row r="128" spans="1:10" x14ac:dyDescent="0.25">
      <c r="A128" s="2"/>
      <c r="C128" s="19"/>
      <c r="D128" s="23"/>
      <c r="E128" s="61"/>
      <c r="F128" s="61"/>
      <c r="G128" s="79"/>
      <c r="H128" s="6"/>
    </row>
    <row r="129" spans="1:8" x14ac:dyDescent="0.25">
      <c r="A129" s="2"/>
      <c r="C129" s="20"/>
      <c r="D129" s="23"/>
      <c r="E129" s="61"/>
      <c r="F129" s="61"/>
      <c r="G129" s="79"/>
      <c r="H129" s="6"/>
    </row>
    <row r="130" spans="1:8" x14ac:dyDescent="0.25">
      <c r="A130" s="2"/>
      <c r="C130" s="20"/>
      <c r="D130" s="23"/>
      <c r="E130" s="61"/>
      <c r="F130" s="61"/>
      <c r="G130" s="79"/>
      <c r="H130" s="6"/>
    </row>
    <row r="131" spans="1:8" x14ac:dyDescent="0.25">
      <c r="A131" s="2"/>
      <c r="C131" s="19"/>
      <c r="D131" s="23"/>
      <c r="E131" s="61"/>
      <c r="F131" s="61"/>
      <c r="G131" s="79"/>
      <c r="H131" s="6"/>
    </row>
    <row r="132" spans="1:8" x14ac:dyDescent="0.25">
      <c r="A132" s="2"/>
      <c r="C132" s="20"/>
      <c r="D132" s="23"/>
      <c r="E132" s="61"/>
      <c r="F132" s="61"/>
      <c r="G132" s="79"/>
      <c r="H132" s="6"/>
    </row>
    <row r="133" spans="1:8" x14ac:dyDescent="0.25">
      <c r="A133" s="2"/>
      <c r="C133" s="20"/>
      <c r="D133" s="23"/>
      <c r="E133" s="61"/>
      <c r="F133" s="61"/>
      <c r="G133" s="79"/>
      <c r="H133" s="6"/>
    </row>
    <row r="134" spans="1:8" x14ac:dyDescent="0.25">
      <c r="A134" s="2"/>
      <c r="C134" s="19"/>
      <c r="D134" s="23"/>
      <c r="E134" s="61"/>
      <c r="F134" s="61"/>
      <c r="G134" s="79"/>
      <c r="H134" s="6"/>
    </row>
    <row r="135" spans="1:8" x14ac:dyDescent="0.25">
      <c r="A135" s="2"/>
      <c r="C135" s="20"/>
      <c r="D135" s="23"/>
      <c r="E135" s="61"/>
      <c r="F135" s="61"/>
      <c r="G135" s="79"/>
      <c r="H135" s="6"/>
    </row>
    <row r="136" spans="1:8" x14ac:dyDescent="0.25">
      <c r="A136" s="2"/>
      <c r="C136" s="20"/>
      <c r="D136" s="23"/>
      <c r="E136" s="61"/>
      <c r="F136" s="61"/>
      <c r="G136" s="79"/>
      <c r="H136" s="6"/>
    </row>
    <row r="137" spans="1:8" x14ac:dyDescent="0.25">
      <c r="A137" s="2"/>
      <c r="C137" s="19"/>
      <c r="D137" s="23"/>
      <c r="E137" s="61"/>
      <c r="F137" s="61"/>
      <c r="G137" s="79"/>
      <c r="H137" s="6"/>
    </row>
    <row r="138" spans="1:8" x14ac:dyDescent="0.25">
      <c r="A138" s="2"/>
      <c r="C138" s="19"/>
      <c r="D138" s="23"/>
      <c r="E138" s="61"/>
      <c r="F138" s="61"/>
      <c r="G138" s="79"/>
      <c r="H138" s="6"/>
    </row>
    <row r="139" spans="1:8" x14ac:dyDescent="0.25">
      <c r="A139" s="2"/>
      <c r="C139" s="20"/>
      <c r="D139" s="23"/>
      <c r="E139" s="61"/>
      <c r="F139" s="61"/>
      <c r="G139" s="79"/>
      <c r="H139" s="55"/>
    </row>
    <row r="140" spans="1:8" x14ac:dyDescent="0.25">
      <c r="A140" s="2"/>
      <c r="E140" s="13"/>
      <c r="F140" s="13"/>
      <c r="G140" s="13"/>
      <c r="H140" s="6"/>
    </row>
    <row r="141" spans="1:8" x14ac:dyDescent="0.25">
      <c r="A141" s="2"/>
      <c r="C141" s="20"/>
      <c r="D141" s="23"/>
      <c r="E141" s="13"/>
      <c r="F141" s="134"/>
      <c r="G141" s="79"/>
      <c r="H141" s="72"/>
    </row>
    <row r="142" spans="1:8" x14ac:dyDescent="0.25">
      <c r="A142" s="2"/>
      <c r="B142" s="1"/>
      <c r="C142" s="20"/>
      <c r="D142" s="23"/>
      <c r="E142" s="13"/>
      <c r="F142" s="134"/>
      <c r="G142" s="79"/>
      <c r="H142" s="72"/>
    </row>
    <row r="143" spans="1:8" x14ac:dyDescent="0.25">
      <c r="A143" s="51"/>
      <c r="B143" s="1"/>
      <c r="C143" s="20"/>
      <c r="D143" s="23"/>
      <c r="E143" s="13"/>
      <c r="F143" s="134"/>
      <c r="G143" s="79"/>
      <c r="H143" s="72"/>
    </row>
    <row r="144" spans="1:8" x14ac:dyDescent="0.25">
      <c r="A144" s="2"/>
      <c r="C144" s="20"/>
      <c r="D144" s="85"/>
      <c r="E144" s="61"/>
      <c r="F144" s="135"/>
      <c r="G144" s="79"/>
      <c r="H144" s="72"/>
    </row>
    <row r="145" spans="1:10" x14ac:dyDescent="0.25">
      <c r="A145" s="2"/>
      <c r="C145" s="20"/>
      <c r="D145" s="35"/>
      <c r="E145" s="61"/>
      <c r="F145" s="135"/>
      <c r="G145" s="79"/>
      <c r="H145" s="72"/>
    </row>
    <row r="146" spans="1:10" x14ac:dyDescent="0.25">
      <c r="A146" s="2"/>
      <c r="C146" s="20"/>
      <c r="D146" s="35"/>
      <c r="E146" s="55"/>
      <c r="F146" s="108"/>
      <c r="G146" s="79"/>
      <c r="H146" s="72"/>
    </row>
    <row r="147" spans="1:10" x14ac:dyDescent="0.25">
      <c r="A147" s="2"/>
      <c r="C147" s="20"/>
      <c r="D147" s="85"/>
      <c r="E147" s="6"/>
      <c r="F147" s="72"/>
      <c r="G147" s="79"/>
      <c r="H147" s="72"/>
    </row>
    <row r="148" spans="1:10" x14ac:dyDescent="0.25">
      <c r="A148" s="2"/>
      <c r="C148" s="20"/>
      <c r="D148" s="23"/>
      <c r="F148" s="72"/>
      <c r="G148" s="79"/>
      <c r="H148" s="72"/>
    </row>
    <row r="149" spans="1:10" x14ac:dyDescent="0.25">
      <c r="A149" s="2"/>
    </row>
    <row r="150" spans="1:10" x14ac:dyDescent="0.25">
      <c r="A150" s="2"/>
    </row>
    <row r="151" spans="1:10" x14ac:dyDescent="0.25">
      <c r="A151" s="2"/>
    </row>
    <row r="152" spans="1:10" x14ac:dyDescent="0.25">
      <c r="A152" s="2"/>
      <c r="B152" s="1"/>
    </row>
    <row r="153" spans="1:10" x14ac:dyDescent="0.25">
      <c r="A153" s="2"/>
      <c r="B153" s="11"/>
    </row>
    <row r="154" spans="1:10" x14ac:dyDescent="0.25">
      <c r="A154" s="2"/>
      <c r="B154" s="11"/>
    </row>
    <row r="155" spans="1:10" x14ac:dyDescent="0.25">
      <c r="A155" s="2"/>
      <c r="B155" s="11"/>
    </row>
    <row r="156" spans="1:10" x14ac:dyDescent="0.25">
      <c r="A156" s="2"/>
    </row>
    <row r="157" spans="1:10" x14ac:dyDescent="0.25">
      <c r="A157" s="2"/>
      <c r="B157" s="1"/>
    </row>
    <row r="158" spans="1:10" x14ac:dyDescent="0.25">
      <c r="A158" s="2"/>
    </row>
    <row r="159" spans="1:10" x14ac:dyDescent="0.25">
      <c r="A159" s="51"/>
      <c r="C159" s="24"/>
      <c r="D159" s="3"/>
      <c r="G159" s="13"/>
      <c r="H159" s="13"/>
      <c r="I159" s="13"/>
      <c r="J159" s="13"/>
    </row>
    <row r="160" spans="1:10" x14ac:dyDescent="0.25">
      <c r="A160" s="2"/>
      <c r="C160" s="19"/>
      <c r="D160" s="132"/>
      <c r="F160" s="7"/>
      <c r="G160" s="13"/>
      <c r="H160" s="13"/>
      <c r="I160" s="13"/>
      <c r="J160" s="13"/>
    </row>
    <row r="161" spans="1:10" x14ac:dyDescent="0.25">
      <c r="A161" s="2"/>
      <c r="C161" s="20"/>
      <c r="D161" s="132"/>
      <c r="F161" s="7"/>
      <c r="G161" s="13"/>
      <c r="H161" s="13"/>
      <c r="I161" s="13"/>
      <c r="J161" s="13"/>
    </row>
    <row r="162" spans="1:10" x14ac:dyDescent="0.25">
      <c r="A162" s="2"/>
      <c r="C162" s="20"/>
      <c r="D162" s="132"/>
      <c r="F162" s="7"/>
      <c r="G162" s="13"/>
      <c r="H162" s="13"/>
      <c r="I162" s="13"/>
      <c r="J162" s="13"/>
    </row>
    <row r="163" spans="1:10" x14ac:dyDescent="0.25">
      <c r="A163" s="2"/>
      <c r="C163" s="19"/>
      <c r="D163" s="132"/>
      <c r="F163" s="7"/>
      <c r="G163" s="13"/>
      <c r="H163" s="13"/>
      <c r="I163" s="13"/>
      <c r="J163" s="13"/>
    </row>
    <row r="164" spans="1:10" x14ac:dyDescent="0.25">
      <c r="A164" s="2"/>
      <c r="C164" s="20"/>
      <c r="D164" s="132"/>
      <c r="F164" s="7"/>
      <c r="G164" s="13"/>
      <c r="H164" s="13"/>
      <c r="I164" s="13"/>
      <c r="J164" s="13"/>
    </row>
    <row r="165" spans="1:10" x14ac:dyDescent="0.25">
      <c r="A165" s="2"/>
      <c r="C165" s="20"/>
      <c r="D165" s="132"/>
      <c r="F165" s="7"/>
      <c r="G165" s="13"/>
      <c r="H165" s="13"/>
      <c r="I165" s="13"/>
      <c r="J165" s="13"/>
    </row>
    <row r="166" spans="1:10" x14ac:dyDescent="0.25">
      <c r="A166" s="2"/>
      <c r="C166" s="19"/>
      <c r="D166" s="132"/>
      <c r="F166" s="7"/>
      <c r="G166" s="13"/>
      <c r="H166" s="13"/>
      <c r="I166" s="13"/>
      <c r="J166" s="13"/>
    </row>
    <row r="167" spans="1:10" x14ac:dyDescent="0.25">
      <c r="A167" s="2"/>
      <c r="C167" s="20"/>
      <c r="D167" s="132"/>
      <c r="F167" s="7"/>
      <c r="G167" s="13"/>
      <c r="H167" s="13"/>
      <c r="I167" s="13"/>
      <c r="J167" s="13"/>
    </row>
    <row r="168" spans="1:10" x14ac:dyDescent="0.25">
      <c r="A168" s="2"/>
      <c r="C168" s="20"/>
      <c r="D168" s="132"/>
      <c r="F168" s="7"/>
      <c r="G168" s="13"/>
      <c r="H168" s="13"/>
      <c r="I168" s="13"/>
      <c r="J168" s="13"/>
    </row>
    <row r="169" spans="1:10" x14ac:dyDescent="0.25">
      <c r="A169" s="2"/>
      <c r="C169" s="19"/>
      <c r="D169" s="132"/>
      <c r="F169" s="7"/>
      <c r="G169" s="13"/>
      <c r="H169" s="13"/>
      <c r="I169" s="13"/>
      <c r="J169" s="13"/>
    </row>
    <row r="170" spans="1:10" x14ac:dyDescent="0.25">
      <c r="A170" s="2"/>
      <c r="C170" s="19"/>
      <c r="D170" s="132"/>
      <c r="F170" s="7"/>
    </row>
    <row r="171" spans="1:10" x14ac:dyDescent="0.25">
      <c r="A171" s="2"/>
      <c r="C171" s="20"/>
      <c r="D171" s="133"/>
      <c r="F171" s="81"/>
    </row>
    <row r="172" spans="1:10" x14ac:dyDescent="0.25">
      <c r="A172" s="2"/>
      <c r="C172" s="33"/>
      <c r="D172" s="132"/>
    </row>
  </sheetData>
  <phoneticPr fontId="9" type="noConversion"/>
  <pageMargins left="0.75" right="0.75" top="1" bottom="1" header="0.5" footer="0.5"/>
  <pageSetup scale="80" orientation="landscape" cellComments="asDisplayed" r:id="rId1"/>
  <headerFooter alignWithMargins="0">
    <oddHeader xml:space="preserve">&amp;C&amp;"Arial,Bold"Schedule 4
True Up TRR&amp;"Arial,Regular"
</oddHeader>
    <oddFooter>&amp;R&amp;A</oddFooter>
  </headerFooter>
  <rowBreaks count="4" manualBreakCount="4">
    <brk id="46" max="9" man="1"/>
    <brk id="73" max="16383" man="1"/>
    <brk id="119" max="9" man="1"/>
    <brk id="15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1"/>
  <sheetViews>
    <sheetView zoomScale="90" zoomScaleNormal="90" workbookViewId="0"/>
  </sheetViews>
  <sheetFormatPr defaultRowHeight="13.2" x14ac:dyDescent="0.25"/>
  <cols>
    <col min="1" max="1" width="4.6640625" customWidth="1"/>
    <col min="2" max="2" width="3.6640625" customWidth="1"/>
    <col min="4" max="4" width="13.6640625" customWidth="1"/>
    <col min="6" max="7" width="10.6640625" customWidth="1"/>
    <col min="9" max="9" width="27.6640625" customWidth="1"/>
    <col min="10" max="10" width="30.6640625" customWidth="1"/>
    <col min="11" max="11" width="2.6640625" customWidth="1"/>
    <col min="12" max="12" width="16.6640625" customWidth="1"/>
    <col min="13" max="13" width="1.6640625" customWidth="1"/>
    <col min="14" max="14" width="4.6640625" style="13" customWidth="1"/>
    <col min="15" max="28" width="14.6640625" style="13" customWidth="1"/>
  </cols>
  <sheetData>
    <row r="1" spans="1:28" x14ac:dyDescent="0.25">
      <c r="A1" s="1" t="s">
        <v>24</v>
      </c>
      <c r="J1" s="94" t="s">
        <v>332</v>
      </c>
      <c r="K1" s="13"/>
      <c r="L1" s="13"/>
    </row>
    <row r="2" spans="1:28" x14ac:dyDescent="0.25">
      <c r="B2" s="1"/>
      <c r="I2" s="551"/>
      <c r="J2" s="551" t="s">
        <v>188</v>
      </c>
      <c r="L2" s="233" t="s">
        <v>1562</v>
      </c>
    </row>
    <row r="3" spans="1:28" x14ac:dyDescent="0.25">
      <c r="I3" s="3" t="s">
        <v>187</v>
      </c>
      <c r="J3" s="3" t="s">
        <v>189</v>
      </c>
      <c r="L3" s="3" t="s">
        <v>190</v>
      </c>
    </row>
    <row r="5" spans="1:28" x14ac:dyDescent="0.25">
      <c r="A5" s="9" t="s">
        <v>196</v>
      </c>
      <c r="B5" s="109"/>
      <c r="C5" s="10"/>
      <c r="D5" s="10"/>
      <c r="E5" s="10"/>
      <c r="F5" s="10"/>
      <c r="G5" s="10"/>
      <c r="H5" s="10"/>
      <c r="I5" s="8"/>
      <c r="J5" s="8"/>
      <c r="K5" s="8"/>
      <c r="L5" s="8"/>
      <c r="N5" s="556"/>
      <c r="O5" s="557"/>
      <c r="P5" s="557"/>
      <c r="Q5" s="557"/>
      <c r="R5" s="557"/>
      <c r="S5" s="557"/>
      <c r="T5" s="557"/>
    </row>
    <row r="6" spans="1:28" x14ac:dyDescent="0.25">
      <c r="B6" s="43"/>
      <c r="C6" s="468"/>
      <c r="D6" s="468"/>
      <c r="E6" s="468"/>
      <c r="F6" s="468"/>
      <c r="G6" s="468"/>
      <c r="H6" s="468"/>
      <c r="I6" s="468"/>
      <c r="J6" s="468"/>
      <c r="K6" s="468"/>
      <c r="L6" s="468"/>
      <c r="O6" s="335"/>
      <c r="P6" s="335"/>
      <c r="Q6" s="335"/>
      <c r="R6" s="335"/>
      <c r="S6" s="335"/>
      <c r="T6" s="335"/>
      <c r="U6" s="335"/>
      <c r="V6" s="335"/>
      <c r="W6" s="335"/>
      <c r="X6" s="335"/>
      <c r="Y6" s="335"/>
      <c r="Z6" s="335"/>
      <c r="AA6" s="335"/>
      <c r="AB6" s="335"/>
    </row>
    <row r="7" spans="1:28" x14ac:dyDescent="0.25">
      <c r="A7" s="51" t="s">
        <v>350</v>
      </c>
      <c r="B7" s="43"/>
      <c r="C7" s="44" t="s">
        <v>294</v>
      </c>
      <c r="D7" s="468"/>
      <c r="E7" s="468"/>
      <c r="F7" s="468"/>
      <c r="G7" s="468"/>
      <c r="H7" s="468"/>
      <c r="I7" s="468"/>
      <c r="J7" s="466"/>
      <c r="K7" s="468"/>
      <c r="L7" s="468"/>
      <c r="N7" s="558"/>
      <c r="O7" s="80"/>
      <c r="P7" s="559"/>
      <c r="Q7" s="538"/>
      <c r="R7" s="538"/>
      <c r="S7" s="538"/>
      <c r="T7" s="538"/>
      <c r="U7" s="538"/>
      <c r="V7" s="538"/>
      <c r="W7" s="538"/>
      <c r="X7" s="538"/>
      <c r="Y7" s="538"/>
      <c r="Z7" s="538"/>
      <c r="AA7" s="538"/>
      <c r="AB7" s="538"/>
    </row>
    <row r="8" spans="1:28" x14ac:dyDescent="0.25">
      <c r="A8" s="103">
        <v>1</v>
      </c>
      <c r="B8" s="43"/>
      <c r="C8" s="468" t="s">
        <v>225</v>
      </c>
      <c r="D8" s="468"/>
      <c r="E8" s="468"/>
      <c r="F8" s="468"/>
      <c r="G8" s="468"/>
      <c r="H8" s="468"/>
      <c r="I8" s="468" t="s">
        <v>1839</v>
      </c>
      <c r="J8" s="465" t="str">
        <f>"5-ROR-2, Line "&amp;'5-ROR-2'!A8&amp;""</f>
        <v>5-ROR-2, Line 1</v>
      </c>
      <c r="K8" s="468"/>
      <c r="L8" s="968">
        <v>0</v>
      </c>
      <c r="N8" s="103"/>
      <c r="O8" s="480"/>
      <c r="P8" s="480"/>
      <c r="Q8" s="480"/>
      <c r="R8" s="480"/>
      <c r="S8" s="480"/>
      <c r="T8" s="480"/>
      <c r="U8" s="480"/>
      <c r="V8" s="480"/>
      <c r="W8" s="480"/>
      <c r="X8" s="480"/>
      <c r="Y8" s="480"/>
      <c r="Z8" s="480"/>
      <c r="AA8" s="480"/>
      <c r="AB8" s="480"/>
    </row>
    <row r="9" spans="1:28" x14ac:dyDescent="0.25">
      <c r="A9" s="103">
        <f>A8+1</f>
        <v>2</v>
      </c>
      <c r="B9" s="43"/>
      <c r="C9" s="468" t="s">
        <v>226</v>
      </c>
      <c r="D9" s="468"/>
      <c r="E9" s="468"/>
      <c r="F9" s="468"/>
      <c r="G9" s="468"/>
      <c r="H9" s="468"/>
      <c r="I9" s="468" t="s">
        <v>1839</v>
      </c>
      <c r="J9" s="465" t="str">
        <f>"5-ROR-2, Line "&amp;'5-ROR-2'!A10&amp;""</f>
        <v>5-ROR-2, Line 2</v>
      </c>
      <c r="K9" s="468"/>
      <c r="L9" s="968">
        <v>0</v>
      </c>
      <c r="N9" s="103"/>
      <c r="O9" s="480"/>
      <c r="P9" s="480"/>
      <c r="Q9" s="480"/>
      <c r="R9" s="480"/>
      <c r="S9" s="480"/>
      <c r="T9" s="480"/>
      <c r="U9" s="480"/>
      <c r="V9" s="480"/>
      <c r="W9" s="480"/>
      <c r="X9" s="480"/>
      <c r="Y9" s="480"/>
      <c r="Z9" s="480"/>
      <c r="AA9" s="480"/>
      <c r="AB9" s="480"/>
    </row>
    <row r="10" spans="1:28" x14ac:dyDescent="0.25">
      <c r="A10" s="103" t="s">
        <v>567</v>
      </c>
      <c r="B10" s="43"/>
      <c r="C10" s="468" t="s">
        <v>2188</v>
      </c>
      <c r="D10" s="933"/>
      <c r="E10" s="933"/>
      <c r="F10" s="933"/>
      <c r="G10" s="933"/>
      <c r="H10" s="933"/>
      <c r="I10" s="468" t="s">
        <v>1839</v>
      </c>
      <c r="J10" s="465" t="str">
        <f>"5-ROR-2, Line "&amp;'5-ROR-2'!A12&amp;""</f>
        <v>5-ROR-2, Line 2a</v>
      </c>
      <c r="K10" s="468"/>
      <c r="L10" s="968">
        <v>0</v>
      </c>
      <c r="N10" s="103"/>
      <c r="O10" s="480"/>
      <c r="P10" s="480"/>
      <c r="Q10" s="480"/>
      <c r="R10" s="480"/>
      <c r="S10" s="480"/>
      <c r="T10" s="480"/>
      <c r="U10" s="480"/>
      <c r="V10" s="480"/>
      <c r="W10" s="480"/>
      <c r="X10" s="480"/>
      <c r="Y10" s="480"/>
      <c r="Z10" s="480"/>
      <c r="AA10" s="480"/>
      <c r="AB10" s="480"/>
    </row>
    <row r="11" spans="1:28" x14ac:dyDescent="0.25">
      <c r="A11" s="103">
        <f>A9+1</f>
        <v>3</v>
      </c>
      <c r="B11" s="43"/>
      <c r="C11" s="468" t="s">
        <v>227</v>
      </c>
      <c r="D11" s="468"/>
      <c r="E11" s="468"/>
      <c r="F11" s="468"/>
      <c r="G11" s="468"/>
      <c r="H11" s="468"/>
      <c r="I11" s="468" t="s">
        <v>1839</v>
      </c>
      <c r="J11" s="465" t="str">
        <f>"5-ROR-2, Line "&amp;'5-ROR-2'!A14&amp;""</f>
        <v>5-ROR-2, Line 3</v>
      </c>
      <c r="K11" s="468"/>
      <c r="L11" s="968">
        <v>0</v>
      </c>
      <c r="N11" s="103"/>
      <c r="O11" s="480"/>
      <c r="P11" s="480"/>
      <c r="Q11" s="480"/>
      <c r="R11" s="480"/>
      <c r="S11" s="480"/>
      <c r="T11" s="480"/>
      <c r="U11" s="480"/>
      <c r="V11" s="480"/>
      <c r="W11" s="480"/>
      <c r="X11" s="480"/>
      <c r="Y11" s="480"/>
      <c r="Z11" s="480"/>
      <c r="AA11" s="480"/>
      <c r="AB11" s="480"/>
    </row>
    <row r="12" spans="1:28" x14ac:dyDescent="0.25">
      <c r="A12" s="103">
        <f>A11+1</f>
        <v>4</v>
      </c>
      <c r="B12" s="43"/>
      <c r="C12" s="468" t="s">
        <v>2460</v>
      </c>
      <c r="D12" s="468"/>
      <c r="E12" s="468"/>
      <c r="F12" s="468"/>
      <c r="G12" s="468"/>
      <c r="H12" s="468"/>
      <c r="I12" s="468"/>
      <c r="J12" s="465"/>
      <c r="K12" s="468"/>
      <c r="L12" s="480"/>
      <c r="N12" s="103"/>
      <c r="O12" s="480"/>
      <c r="P12" s="480"/>
      <c r="Q12" s="480"/>
      <c r="R12" s="480"/>
      <c r="S12" s="480"/>
      <c r="T12" s="480"/>
      <c r="U12" s="480"/>
      <c r="V12" s="480"/>
      <c r="W12" s="480"/>
      <c r="X12" s="480"/>
      <c r="Y12" s="480"/>
      <c r="Z12" s="480"/>
      <c r="AA12" s="480"/>
      <c r="AB12" s="480"/>
    </row>
    <row r="13" spans="1:28" x14ac:dyDescent="0.25">
      <c r="A13" s="103">
        <f>A12+1</f>
        <v>5</v>
      </c>
      <c r="B13" s="43"/>
      <c r="C13" s="468" t="s">
        <v>2460</v>
      </c>
      <c r="D13" s="468"/>
      <c r="E13" s="468"/>
      <c r="F13" s="468"/>
      <c r="G13" s="468"/>
      <c r="H13" s="468"/>
      <c r="I13" s="468"/>
      <c r="J13" s="465"/>
      <c r="K13" s="468"/>
      <c r="L13" s="480"/>
      <c r="N13" s="103"/>
      <c r="O13" s="480"/>
      <c r="P13" s="480"/>
      <c r="Q13" s="480"/>
      <c r="R13" s="480"/>
      <c r="S13" s="480"/>
      <c r="T13" s="480"/>
      <c r="U13" s="480"/>
      <c r="V13" s="480"/>
      <c r="W13" s="480"/>
      <c r="X13" s="480"/>
      <c r="Y13" s="480"/>
      <c r="Z13" s="480"/>
      <c r="AA13" s="480"/>
      <c r="AB13" s="480"/>
    </row>
    <row r="14" spans="1:28" x14ac:dyDescent="0.25">
      <c r="A14" s="103">
        <f>A13+1</f>
        <v>6</v>
      </c>
      <c r="B14" s="43"/>
      <c r="C14" s="468" t="s">
        <v>2460</v>
      </c>
      <c r="D14" s="468"/>
      <c r="E14" s="468"/>
      <c r="F14" s="468"/>
      <c r="G14" s="468"/>
      <c r="H14" s="468"/>
      <c r="I14" s="468"/>
      <c r="J14" s="465"/>
      <c r="K14" s="468"/>
      <c r="L14" s="480"/>
      <c r="N14" s="103"/>
      <c r="O14" s="480"/>
      <c r="P14" s="480"/>
      <c r="Q14" s="480"/>
      <c r="R14" s="480"/>
      <c r="S14" s="480"/>
      <c r="T14" s="480"/>
      <c r="U14" s="480"/>
      <c r="V14" s="480"/>
      <c r="W14" s="480"/>
      <c r="X14" s="480"/>
      <c r="Y14" s="480"/>
      <c r="Z14" s="480"/>
      <c r="AA14" s="480"/>
      <c r="AB14" s="480"/>
    </row>
    <row r="15" spans="1:28" x14ac:dyDescent="0.25">
      <c r="A15" s="103">
        <f t="shared" ref="A15:A16" si="0">A14+1</f>
        <v>7</v>
      </c>
      <c r="B15" s="43"/>
      <c r="C15" s="468" t="s">
        <v>2460</v>
      </c>
      <c r="D15" s="468"/>
      <c r="E15" s="468"/>
      <c r="F15" s="468"/>
      <c r="G15" s="468"/>
      <c r="H15" s="468"/>
      <c r="I15" s="468"/>
      <c r="J15" s="465"/>
      <c r="K15" s="468"/>
      <c r="L15" s="984"/>
      <c r="N15" s="103"/>
      <c r="O15" s="480"/>
      <c r="P15" s="480"/>
      <c r="Q15" s="480"/>
      <c r="R15" s="480"/>
      <c r="S15" s="480"/>
      <c r="T15" s="480"/>
      <c r="U15" s="480"/>
      <c r="V15" s="480"/>
      <c r="W15" s="480"/>
      <c r="X15" s="480"/>
      <c r="Y15" s="480"/>
      <c r="Z15" s="480"/>
      <c r="AA15" s="480"/>
      <c r="AB15" s="480"/>
    </row>
    <row r="16" spans="1:28" x14ac:dyDescent="0.25">
      <c r="A16" s="103">
        <f t="shared" si="0"/>
        <v>8</v>
      </c>
      <c r="B16" s="43"/>
      <c r="C16" s="465" t="s">
        <v>228</v>
      </c>
      <c r="D16" s="468"/>
      <c r="E16" s="468"/>
      <c r="F16" s="468"/>
      <c r="G16" s="468"/>
      <c r="H16" s="468"/>
      <c r="I16" s="13"/>
      <c r="J16" s="465" t="str">
        <f>"L"&amp;A8&amp;" + L"&amp;A9&amp;" + L"&amp;A10&amp;" + L"&amp;A11&amp;""</f>
        <v>L1 + L2 + L2a + L3</v>
      </c>
      <c r="K16" s="468"/>
      <c r="L16" s="968">
        <v>0</v>
      </c>
    </row>
    <row r="17" spans="1:28" x14ac:dyDescent="0.25">
      <c r="A17" s="13"/>
      <c r="B17" s="43"/>
      <c r="C17" s="468"/>
      <c r="D17" s="468"/>
      <c r="E17" s="468"/>
      <c r="F17" s="468"/>
      <c r="G17" s="468" t="s">
        <v>359</v>
      </c>
      <c r="H17" s="468"/>
      <c r="I17" s="468"/>
      <c r="J17" s="465"/>
      <c r="K17" s="468"/>
      <c r="L17" s="468"/>
    </row>
    <row r="18" spans="1:28" x14ac:dyDescent="0.25">
      <c r="A18" s="103"/>
      <c r="B18" s="43"/>
      <c r="C18" s="44" t="s">
        <v>295</v>
      </c>
      <c r="D18" s="468"/>
      <c r="E18" s="468"/>
      <c r="F18" s="468"/>
      <c r="G18" s="468"/>
      <c r="H18" s="468"/>
      <c r="I18" s="468"/>
      <c r="J18" s="465"/>
      <c r="K18" s="468"/>
      <c r="L18" s="468"/>
    </row>
    <row r="19" spans="1:28" x14ac:dyDescent="0.25">
      <c r="A19" s="103">
        <f>A16+1</f>
        <v>9</v>
      </c>
      <c r="B19" s="43"/>
      <c r="C19" s="468" t="s">
        <v>230</v>
      </c>
      <c r="D19" s="468"/>
      <c r="E19" s="468"/>
      <c r="F19" s="468"/>
      <c r="G19" s="468"/>
      <c r="H19" s="468"/>
      <c r="I19" s="468"/>
      <c r="J19" s="465" t="s">
        <v>402</v>
      </c>
      <c r="K19" s="468"/>
      <c r="L19" s="977">
        <v>0</v>
      </c>
    </row>
    <row r="20" spans="1:28" x14ac:dyDescent="0.25">
      <c r="A20" s="103">
        <f>A19+1</f>
        <v>10</v>
      </c>
      <c r="B20" s="43"/>
      <c r="C20" s="468" t="s">
        <v>229</v>
      </c>
      <c r="D20" s="468"/>
      <c r="E20" s="468"/>
      <c r="F20" s="468"/>
      <c r="G20" s="468"/>
      <c r="H20" s="468"/>
      <c r="I20" s="468"/>
      <c r="J20" s="465" t="s">
        <v>403</v>
      </c>
      <c r="K20" s="468"/>
      <c r="L20" s="977">
        <v>0</v>
      </c>
    </row>
    <row r="21" spans="1:28" x14ac:dyDescent="0.25">
      <c r="A21" s="103">
        <f t="shared" ref="A21:A27" si="1">A20+1</f>
        <v>11</v>
      </c>
      <c r="B21" s="43"/>
      <c r="C21" s="468" t="s">
        <v>231</v>
      </c>
      <c r="D21" s="468"/>
      <c r="E21" s="468"/>
      <c r="F21" s="468"/>
      <c r="G21" s="468"/>
      <c r="H21" s="468"/>
      <c r="I21" s="468"/>
      <c r="J21" s="465" t="s">
        <v>404</v>
      </c>
      <c r="K21" s="468"/>
      <c r="L21" s="977">
        <v>0</v>
      </c>
    </row>
    <row r="22" spans="1:28" x14ac:dyDescent="0.25">
      <c r="A22" s="103">
        <f t="shared" si="1"/>
        <v>12</v>
      </c>
      <c r="B22" s="43"/>
      <c r="C22" s="468" t="s">
        <v>297</v>
      </c>
      <c r="D22" s="468"/>
      <c r="E22" s="468"/>
      <c r="F22" s="468"/>
      <c r="G22" s="468"/>
      <c r="H22" s="468"/>
      <c r="I22" s="468" t="s">
        <v>232</v>
      </c>
      <c r="J22" s="465" t="s">
        <v>405</v>
      </c>
      <c r="K22" s="468"/>
      <c r="L22" s="977">
        <v>0</v>
      </c>
    </row>
    <row r="23" spans="1:28" x14ac:dyDescent="0.25">
      <c r="A23" s="103">
        <f t="shared" si="1"/>
        <v>13</v>
      </c>
      <c r="B23" s="43"/>
      <c r="C23" s="468" t="s">
        <v>233</v>
      </c>
      <c r="D23" s="468"/>
      <c r="E23" s="468"/>
      <c r="F23" s="468"/>
      <c r="G23" s="468"/>
      <c r="H23" s="468"/>
      <c r="I23" s="468" t="s">
        <v>232</v>
      </c>
      <c r="J23" s="465" t="s">
        <v>406</v>
      </c>
      <c r="K23" s="468"/>
      <c r="L23" s="977">
        <v>0</v>
      </c>
    </row>
    <row r="24" spans="1:28" x14ac:dyDescent="0.25">
      <c r="A24" s="103" t="s">
        <v>1311</v>
      </c>
      <c r="B24" s="43"/>
      <c r="C24" s="468" t="s">
        <v>2189</v>
      </c>
      <c r="D24" s="468"/>
      <c r="E24" s="468"/>
      <c r="F24" s="468"/>
      <c r="G24" s="468"/>
      <c r="H24" s="468"/>
      <c r="I24" s="468"/>
      <c r="J24" s="465" t="s">
        <v>2190</v>
      </c>
      <c r="K24" s="468"/>
      <c r="L24" s="977">
        <v>0</v>
      </c>
    </row>
    <row r="25" spans="1:28" x14ac:dyDescent="0.25">
      <c r="A25" s="103">
        <f>A23+1</f>
        <v>14</v>
      </c>
      <c r="B25" s="43"/>
      <c r="C25" s="468" t="s">
        <v>2460</v>
      </c>
      <c r="D25" s="468"/>
      <c r="E25" s="468"/>
      <c r="F25" s="468"/>
      <c r="G25" s="468"/>
      <c r="H25" s="468"/>
      <c r="I25" s="468"/>
      <c r="J25" s="465"/>
      <c r="K25" s="468"/>
      <c r="L25" s="480"/>
    </row>
    <row r="26" spans="1:28" x14ac:dyDescent="0.25">
      <c r="A26" s="103">
        <f t="shared" si="1"/>
        <v>15</v>
      </c>
      <c r="B26" s="43"/>
      <c r="C26" s="468" t="s">
        <v>2460</v>
      </c>
      <c r="D26" s="468"/>
      <c r="E26" s="468"/>
      <c r="F26" s="468"/>
      <c r="G26" s="468"/>
      <c r="H26" s="468"/>
      <c r="I26" s="468"/>
      <c r="J26" s="465"/>
      <c r="K26" s="468"/>
      <c r="L26" s="974"/>
    </row>
    <row r="27" spans="1:28" x14ac:dyDescent="0.25">
      <c r="A27" s="103">
        <f t="shared" si="1"/>
        <v>16</v>
      </c>
      <c r="B27" s="43"/>
      <c r="C27" s="465" t="s">
        <v>279</v>
      </c>
      <c r="D27" s="468"/>
      <c r="E27" s="468"/>
      <c r="F27" s="468"/>
      <c r="G27" s="468"/>
      <c r="H27" s="468"/>
      <c r="I27" s="13"/>
      <c r="J27" s="465" t="str">
        <f>"Sum of Lines "&amp;A19&amp;" to "&amp;A24&amp;""</f>
        <v>Sum of Lines 9 to 13a</v>
      </c>
      <c r="K27" s="468"/>
      <c r="L27" s="968">
        <v>0</v>
      </c>
    </row>
    <row r="28" spans="1:28" x14ac:dyDescent="0.25">
      <c r="A28" s="13"/>
      <c r="B28" s="43"/>
      <c r="C28" s="468"/>
      <c r="D28" s="468"/>
      <c r="E28" s="468"/>
      <c r="F28" s="468"/>
      <c r="G28" s="468"/>
      <c r="H28" s="468"/>
      <c r="I28" s="468"/>
      <c r="J28" s="465"/>
      <c r="K28" s="468"/>
      <c r="L28" s="468"/>
    </row>
    <row r="29" spans="1:28" x14ac:dyDescent="0.25">
      <c r="A29" s="103">
        <f>A27+1</f>
        <v>17</v>
      </c>
      <c r="B29" s="43"/>
      <c r="C29" s="468" t="s">
        <v>49</v>
      </c>
      <c r="D29" s="468"/>
      <c r="E29" s="468"/>
      <c r="F29" s="468"/>
      <c r="G29" s="468"/>
      <c r="H29" s="468"/>
      <c r="I29" s="13"/>
      <c r="J29" s="465" t="str">
        <f>"Line "&amp;A27&amp;" / Line "&amp;A16&amp;""</f>
        <v>Line 16 / Line 8</v>
      </c>
      <c r="K29" s="468"/>
      <c r="L29" s="970" t="s">
        <v>2690</v>
      </c>
    </row>
    <row r="30" spans="1:28" x14ac:dyDescent="0.25">
      <c r="A30" s="103"/>
      <c r="B30" s="43"/>
      <c r="C30" s="468"/>
      <c r="D30" s="468"/>
      <c r="E30" s="468"/>
      <c r="F30" s="468"/>
      <c r="G30" s="468"/>
      <c r="H30" s="468"/>
      <c r="I30" s="13"/>
      <c r="J30" s="465"/>
      <c r="K30" s="468"/>
      <c r="L30" s="392"/>
    </row>
    <row r="31" spans="1:28" x14ac:dyDescent="0.25">
      <c r="A31" s="13"/>
      <c r="B31" s="43"/>
      <c r="C31" s="44" t="s">
        <v>1660</v>
      </c>
      <c r="D31" s="468"/>
      <c r="E31" s="468"/>
      <c r="F31" s="468"/>
      <c r="G31" s="468"/>
      <c r="H31" s="468"/>
      <c r="I31" s="468"/>
      <c r="J31" s="465"/>
      <c r="K31" s="468"/>
      <c r="L31" s="468"/>
    </row>
    <row r="32" spans="1:28" x14ac:dyDescent="0.25">
      <c r="A32" s="103">
        <f>A29+1</f>
        <v>18</v>
      </c>
      <c r="B32" s="43"/>
      <c r="C32" s="468" t="s">
        <v>50</v>
      </c>
      <c r="D32" s="468"/>
      <c r="E32" s="468"/>
      <c r="F32" s="468"/>
      <c r="G32" s="468"/>
      <c r="H32" s="468"/>
      <c r="I32" s="468" t="s">
        <v>1839</v>
      </c>
      <c r="J32" s="465" t="str">
        <f>"5-ROR-2, Line "&amp;'5-ROR-2'!A24&amp;""</f>
        <v>5-ROR-2, Line 18</v>
      </c>
      <c r="K32" s="468"/>
      <c r="L32" s="968">
        <v>0</v>
      </c>
      <c r="N32" s="103"/>
      <c r="O32" s="480"/>
      <c r="P32" s="480"/>
      <c r="Q32" s="480"/>
      <c r="R32" s="480"/>
      <c r="S32" s="480"/>
      <c r="T32" s="480"/>
      <c r="U32" s="480"/>
      <c r="V32" s="480"/>
      <c r="W32" s="480"/>
      <c r="X32" s="480"/>
      <c r="Y32" s="480"/>
      <c r="Z32" s="480"/>
      <c r="AA32" s="480"/>
      <c r="AB32" s="480"/>
    </row>
    <row r="33" spans="1:28" x14ac:dyDescent="0.25">
      <c r="A33" s="103">
        <f t="shared" ref="A33:A34" si="2">A32+1</f>
        <v>19</v>
      </c>
      <c r="B33" s="43"/>
      <c r="C33" s="468" t="s">
        <v>1656</v>
      </c>
      <c r="D33" s="468"/>
      <c r="E33" s="468"/>
      <c r="F33" s="468"/>
      <c r="G33" s="468"/>
      <c r="H33" s="468"/>
      <c r="I33" s="468" t="s">
        <v>1839</v>
      </c>
      <c r="J33" s="465" t="str">
        <f>"5-ROR-2, Line "&amp;'5-ROR-2'!A26&amp;""</f>
        <v>5-ROR-2, Line 19</v>
      </c>
      <c r="K33" s="468"/>
      <c r="L33" s="968">
        <v>0</v>
      </c>
      <c r="N33" s="103"/>
      <c r="O33" s="480"/>
      <c r="P33" s="480"/>
      <c r="Q33" s="480"/>
      <c r="R33" s="480"/>
      <c r="S33" s="480"/>
      <c r="T33" s="480"/>
      <c r="U33" s="480"/>
      <c r="V33" s="480"/>
      <c r="W33" s="480"/>
      <c r="X33" s="480"/>
      <c r="Y33" s="480"/>
      <c r="Z33" s="480"/>
      <c r="AA33" s="480"/>
      <c r="AB33" s="480"/>
    </row>
    <row r="34" spans="1:28" ht="15" x14ac:dyDescent="0.4">
      <c r="A34" s="103">
        <f t="shared" si="2"/>
        <v>20</v>
      </c>
      <c r="B34" s="43"/>
      <c r="C34" s="468" t="s">
        <v>1286</v>
      </c>
      <c r="D34" s="468"/>
      <c r="E34" s="468"/>
      <c r="F34" s="468"/>
      <c r="G34" s="468"/>
      <c r="H34" s="468"/>
      <c r="I34" s="468" t="s">
        <v>1839</v>
      </c>
      <c r="J34" s="465" t="str">
        <f>"5-ROR-2, Line "&amp;'5-ROR-2'!A28&amp;""</f>
        <v>5-ROR-2, Line 20</v>
      </c>
      <c r="K34" s="468"/>
      <c r="L34" s="969">
        <v>0</v>
      </c>
      <c r="N34" s="103"/>
      <c r="O34" s="480"/>
      <c r="P34" s="480"/>
      <c r="Q34" s="480"/>
      <c r="R34" s="480"/>
      <c r="S34" s="480"/>
      <c r="T34" s="480"/>
      <c r="U34" s="480"/>
      <c r="V34" s="480"/>
      <c r="W34" s="480"/>
      <c r="X34" s="480"/>
      <c r="Y34" s="480"/>
      <c r="Z34" s="480"/>
      <c r="AA34" s="480"/>
      <c r="AB34" s="480"/>
    </row>
    <row r="35" spans="1:28" x14ac:dyDescent="0.25">
      <c r="A35" s="103">
        <f>A34+1</f>
        <v>21</v>
      </c>
      <c r="B35" s="43"/>
      <c r="C35" s="465" t="s">
        <v>56</v>
      </c>
      <c r="D35" s="468"/>
      <c r="E35" s="468"/>
      <c r="F35" s="468"/>
      <c r="G35" s="468"/>
      <c r="H35" s="468"/>
      <c r="I35" s="468"/>
      <c r="J35" s="465" t="str">
        <f>"Sum of Lines "&amp;A32&amp;" to "&amp;A34&amp;""</f>
        <v>Sum of Lines 18 to 20</v>
      </c>
      <c r="K35" s="468"/>
      <c r="L35" s="968">
        <v>0</v>
      </c>
    </row>
    <row r="36" spans="1:28" x14ac:dyDescent="0.25">
      <c r="A36" s="103"/>
      <c r="B36" s="43"/>
      <c r="C36" s="468"/>
      <c r="D36" s="468"/>
      <c r="E36" s="468"/>
      <c r="F36" s="468"/>
      <c r="G36" s="468"/>
      <c r="H36" s="468"/>
      <c r="I36" s="468"/>
      <c r="J36" s="465"/>
      <c r="K36" s="468"/>
      <c r="L36" s="480"/>
    </row>
    <row r="37" spans="1:28" x14ac:dyDescent="0.25">
      <c r="A37" s="103"/>
      <c r="B37" s="43"/>
      <c r="C37" s="44" t="s">
        <v>1661</v>
      </c>
      <c r="D37" s="468"/>
      <c r="E37" s="468"/>
      <c r="F37" s="468"/>
      <c r="G37" s="468"/>
      <c r="H37" s="468"/>
      <c r="I37" s="468"/>
      <c r="J37" s="465"/>
      <c r="K37" s="468"/>
      <c r="L37" s="480"/>
    </row>
    <row r="38" spans="1:28" x14ac:dyDescent="0.25">
      <c r="A38" s="103">
        <f>A35+1</f>
        <v>22</v>
      </c>
      <c r="B38" s="43"/>
      <c r="C38" s="468" t="s">
        <v>51</v>
      </c>
      <c r="D38" s="468"/>
      <c r="E38" s="468"/>
      <c r="F38" s="468"/>
      <c r="G38" s="468"/>
      <c r="H38" s="468"/>
      <c r="I38" s="468" t="s">
        <v>98</v>
      </c>
      <c r="J38" s="465" t="s">
        <v>407</v>
      </c>
      <c r="K38" s="468"/>
      <c r="L38" s="977">
        <v>0</v>
      </c>
    </row>
    <row r="39" spans="1:28" x14ac:dyDescent="0.25">
      <c r="A39" s="103">
        <f>A38+1</f>
        <v>23</v>
      </c>
      <c r="B39" s="43"/>
      <c r="C39" s="468" t="s">
        <v>1287</v>
      </c>
      <c r="D39" s="468"/>
      <c r="E39" s="468"/>
      <c r="F39" s="468"/>
      <c r="G39" s="468"/>
      <c r="H39" s="468"/>
      <c r="I39" s="468"/>
      <c r="J39" s="465" t="s">
        <v>311</v>
      </c>
      <c r="K39" s="468"/>
      <c r="L39" s="968">
        <v>0</v>
      </c>
    </row>
    <row r="40" spans="1:28" ht="15" x14ac:dyDescent="0.4">
      <c r="A40" s="103">
        <f>A39+1</f>
        <v>24</v>
      </c>
      <c r="B40" s="43"/>
      <c r="C40" s="468" t="s">
        <v>1288</v>
      </c>
      <c r="D40" s="468"/>
      <c r="E40" s="468"/>
      <c r="F40" s="468"/>
      <c r="G40" s="468"/>
      <c r="H40" s="468"/>
      <c r="I40" s="468"/>
      <c r="J40" s="465" t="s">
        <v>1045</v>
      </c>
      <c r="K40" s="468"/>
      <c r="L40" s="969">
        <v>0</v>
      </c>
    </row>
    <row r="41" spans="1:28" x14ac:dyDescent="0.25">
      <c r="A41" s="103">
        <f t="shared" ref="A41" si="3">A40+1</f>
        <v>25</v>
      </c>
      <c r="B41" s="43"/>
      <c r="C41" s="465" t="s">
        <v>51</v>
      </c>
      <c r="D41" s="468"/>
      <c r="E41" s="468"/>
      <c r="F41" s="468"/>
      <c r="G41" s="468"/>
      <c r="H41" s="468"/>
      <c r="I41" s="13"/>
      <c r="J41" s="465" t="str">
        <f>"Sum of Lines "&amp;A38&amp;" to "&amp;A40&amp;""</f>
        <v>Sum of Lines 22 to 24</v>
      </c>
      <c r="K41" s="468"/>
      <c r="L41" s="968">
        <v>0</v>
      </c>
    </row>
    <row r="42" spans="1:28" x14ac:dyDescent="0.25">
      <c r="A42" s="13"/>
      <c r="B42" s="43"/>
      <c r="C42" s="468"/>
      <c r="D42" s="468"/>
      <c r="E42" s="468"/>
      <c r="F42" s="468"/>
      <c r="G42" s="468"/>
      <c r="H42" s="468"/>
      <c r="I42" s="468"/>
      <c r="J42" s="465"/>
      <c r="K42" s="468"/>
      <c r="L42" s="480"/>
    </row>
    <row r="43" spans="1:28" x14ac:dyDescent="0.25">
      <c r="A43" s="103">
        <f>A41+1</f>
        <v>26</v>
      </c>
      <c r="B43" s="43"/>
      <c r="C43" s="468" t="s">
        <v>52</v>
      </c>
      <c r="D43" s="468"/>
      <c r="E43" s="468"/>
      <c r="F43" s="468"/>
      <c r="G43" s="468"/>
      <c r="H43" s="468"/>
      <c r="I43" s="13"/>
      <c r="J43" s="465" t="str">
        <f>"Line "&amp;A41&amp;" / Line "&amp;A35&amp;""</f>
        <v>Line 25 / Line 21</v>
      </c>
      <c r="K43" s="468"/>
      <c r="L43" s="970" t="s">
        <v>2690</v>
      </c>
    </row>
    <row r="44" spans="1:28" x14ac:dyDescent="0.25">
      <c r="A44" s="13"/>
      <c r="B44" s="43"/>
      <c r="C44" s="468"/>
      <c r="D44" s="468"/>
      <c r="E44" s="468"/>
      <c r="F44" s="468"/>
      <c r="G44" s="468"/>
      <c r="H44" s="468"/>
      <c r="I44" s="468"/>
      <c r="J44" s="465"/>
      <c r="K44" s="468"/>
      <c r="L44" s="468"/>
    </row>
    <row r="45" spans="1:28" x14ac:dyDescent="0.25">
      <c r="A45" s="13"/>
      <c r="B45" s="43"/>
      <c r="C45" s="44" t="s">
        <v>296</v>
      </c>
      <c r="D45" s="468"/>
      <c r="E45" s="468"/>
      <c r="F45" s="468"/>
      <c r="G45" s="468"/>
      <c r="H45" s="468"/>
      <c r="I45" s="481"/>
      <c r="J45" s="465"/>
      <c r="K45" s="468"/>
      <c r="L45" s="468"/>
    </row>
    <row r="46" spans="1:28" x14ac:dyDescent="0.25">
      <c r="A46" s="103">
        <f>A43+1</f>
        <v>27</v>
      </c>
      <c r="B46" s="43"/>
      <c r="C46" s="468" t="s">
        <v>234</v>
      </c>
      <c r="D46" s="468"/>
      <c r="E46" s="468"/>
      <c r="F46" s="468"/>
      <c r="G46" s="468"/>
      <c r="H46" s="468"/>
      <c r="I46" s="468" t="s">
        <v>1839</v>
      </c>
      <c r="J46" s="465" t="str">
        <f>"5-ROR-2, Line "&amp;'5-ROR-2'!A30&amp;""</f>
        <v>5-ROR-2, Line 27</v>
      </c>
      <c r="K46" s="468"/>
      <c r="L46" s="968">
        <v>0</v>
      </c>
      <c r="N46" s="103"/>
      <c r="O46" s="480"/>
      <c r="P46" s="480"/>
      <c r="Q46" s="480"/>
      <c r="R46" s="480"/>
      <c r="S46" s="480"/>
      <c r="T46" s="480"/>
      <c r="U46" s="480"/>
      <c r="V46" s="480"/>
      <c r="W46" s="480"/>
      <c r="X46" s="480"/>
      <c r="Y46" s="480"/>
      <c r="Z46" s="480"/>
      <c r="AA46" s="480"/>
      <c r="AB46" s="480"/>
    </row>
    <row r="47" spans="1:28" x14ac:dyDescent="0.25">
      <c r="A47" s="103">
        <f>A46+1</f>
        <v>28</v>
      </c>
      <c r="B47" s="43"/>
      <c r="C47" s="468" t="s">
        <v>54</v>
      </c>
      <c r="D47" s="468"/>
      <c r="E47" s="468"/>
      <c r="F47" s="468"/>
      <c r="G47" s="468"/>
      <c r="H47" s="468"/>
      <c r="I47" s="468" t="str">
        <f>"Same as L "&amp;A32&amp;", but negative"</f>
        <v>Same as L 18, but negative</v>
      </c>
      <c r="J47" s="465" t="str">
        <f>"5-ROR-2, Line "&amp;'5-ROR-2'!A24&amp;""</f>
        <v>5-ROR-2, Line 18</v>
      </c>
      <c r="K47" s="468"/>
      <c r="L47" s="968">
        <v>0</v>
      </c>
      <c r="N47" s="103"/>
      <c r="O47" s="480"/>
      <c r="P47" s="480"/>
      <c r="Q47" s="480"/>
      <c r="R47" s="480"/>
      <c r="S47" s="480"/>
      <c r="T47" s="480"/>
      <c r="U47" s="480"/>
      <c r="V47" s="480"/>
      <c r="W47" s="480"/>
      <c r="X47" s="480"/>
      <c r="Y47" s="480"/>
      <c r="Z47" s="480"/>
      <c r="AA47" s="480"/>
      <c r="AB47" s="480"/>
    </row>
    <row r="48" spans="1:28" x14ac:dyDescent="0.25">
      <c r="A48" s="103">
        <f t="shared" ref="A48:A50" si="4">A47+1</f>
        <v>29</v>
      </c>
      <c r="B48" s="43"/>
      <c r="C48" s="468" t="s">
        <v>1657</v>
      </c>
      <c r="D48" s="468"/>
      <c r="E48" s="468"/>
      <c r="F48" s="468"/>
      <c r="G48" s="468"/>
      <c r="H48" s="468"/>
      <c r="I48" s="468" t="str">
        <f>"Same as L "&amp;A34&amp;", but reverse sign"</f>
        <v>Same as L 20, but reverse sign</v>
      </c>
      <c r="J48" s="465" t="s">
        <v>1046</v>
      </c>
      <c r="K48" s="468"/>
      <c r="L48" s="968">
        <v>0</v>
      </c>
      <c r="N48" s="103"/>
      <c r="O48" s="480"/>
      <c r="P48" s="480"/>
      <c r="Q48" s="480"/>
      <c r="R48" s="480"/>
      <c r="S48" s="480"/>
      <c r="T48" s="480"/>
      <c r="U48" s="480"/>
      <c r="V48" s="480"/>
      <c r="W48" s="480"/>
      <c r="X48" s="480"/>
      <c r="Y48" s="480"/>
      <c r="Z48" s="480"/>
      <c r="AA48" s="480"/>
      <c r="AB48" s="480"/>
    </row>
    <row r="49" spans="1:28" x14ac:dyDescent="0.25">
      <c r="A49" s="103">
        <f t="shared" si="4"/>
        <v>30</v>
      </c>
      <c r="B49" s="43"/>
      <c r="C49" s="468" t="s">
        <v>1658</v>
      </c>
      <c r="D49" s="468"/>
      <c r="E49" s="468"/>
      <c r="F49" s="468"/>
      <c r="G49" s="468"/>
      <c r="H49" s="468"/>
      <c r="I49" s="468" t="s">
        <v>1839</v>
      </c>
      <c r="J49" s="465" t="str">
        <f>"5-ROR-2, Line "&amp;'5-ROR-2'!A32&amp;""</f>
        <v>5-ROR-2, Line 30</v>
      </c>
      <c r="K49" s="468"/>
      <c r="L49" s="968">
        <v>0</v>
      </c>
      <c r="N49" s="103"/>
      <c r="O49" s="480"/>
      <c r="P49" s="480"/>
      <c r="Q49" s="480"/>
      <c r="R49" s="480"/>
      <c r="S49" s="480"/>
      <c r="T49" s="480"/>
      <c r="U49" s="480"/>
      <c r="V49" s="480"/>
      <c r="W49" s="480"/>
      <c r="X49" s="480"/>
      <c r="Y49" s="480"/>
      <c r="Z49" s="480"/>
      <c r="AA49" s="480"/>
      <c r="AB49" s="480"/>
    </row>
    <row r="50" spans="1:28" ht="15" x14ac:dyDescent="0.4">
      <c r="A50" s="103">
        <f t="shared" si="4"/>
        <v>31</v>
      </c>
      <c r="B50" s="43"/>
      <c r="C50" s="468" t="s">
        <v>1659</v>
      </c>
      <c r="D50" s="468"/>
      <c r="E50" s="468"/>
      <c r="F50" s="468"/>
      <c r="G50" s="468"/>
      <c r="H50" s="468"/>
      <c r="I50" s="468" t="s">
        <v>1839</v>
      </c>
      <c r="J50" s="465" t="str">
        <f>"5-ROR-2, Line "&amp;'5-ROR-2'!A34&amp;""</f>
        <v>5-ROR-2, Line 31</v>
      </c>
      <c r="K50" s="468"/>
      <c r="L50" s="969">
        <v>0</v>
      </c>
      <c r="N50" s="103"/>
      <c r="O50" s="480"/>
      <c r="P50" s="480"/>
      <c r="Q50" s="480"/>
      <c r="R50" s="480"/>
      <c r="S50" s="480"/>
      <c r="T50" s="480"/>
      <c r="U50" s="480"/>
      <c r="V50" s="480"/>
      <c r="W50" s="480"/>
      <c r="X50" s="480"/>
      <c r="Y50" s="480"/>
      <c r="Z50" s="480"/>
      <c r="AA50" s="480"/>
      <c r="AB50" s="480"/>
    </row>
    <row r="51" spans="1:28" x14ac:dyDescent="0.25">
      <c r="A51" s="103">
        <f>A50+1</f>
        <v>32</v>
      </c>
      <c r="B51" s="43"/>
      <c r="C51" s="468" t="s">
        <v>53</v>
      </c>
      <c r="D51" s="468"/>
      <c r="E51" s="468"/>
      <c r="F51" s="468"/>
      <c r="G51" s="468"/>
      <c r="H51" s="468"/>
      <c r="I51" s="468"/>
      <c r="J51" s="465" t="str">
        <f>"Sum of Lines "&amp;A46&amp;" to "&amp;A50&amp;""</f>
        <v>Sum of Lines 27 to 31</v>
      </c>
      <c r="K51" s="468"/>
      <c r="L51" s="968">
        <v>0</v>
      </c>
    </row>
    <row r="52" spans="1:28" x14ac:dyDescent="0.25">
      <c r="A52" s="13"/>
      <c r="B52" s="879" t="s">
        <v>256</v>
      </c>
      <c r="C52" s="468"/>
      <c r="D52" s="468"/>
      <c r="E52" s="468"/>
      <c r="F52" s="468"/>
      <c r="G52" s="468"/>
      <c r="H52" s="468"/>
      <c r="I52" s="468"/>
      <c r="J52" s="466"/>
      <c r="K52" s="466"/>
      <c r="L52" s="466"/>
    </row>
    <row r="53" spans="1:28" x14ac:dyDescent="0.25">
      <c r="A53" s="13"/>
      <c r="B53" s="468" t="s">
        <v>2522</v>
      </c>
      <c r="C53" s="13"/>
      <c r="D53" s="13"/>
      <c r="E53" s="13"/>
      <c r="F53" s="13"/>
      <c r="G53" s="13"/>
      <c r="H53" s="13"/>
      <c r="I53" s="13"/>
      <c r="J53" s="468"/>
    </row>
    <row r="54" spans="1:28" x14ac:dyDescent="0.25">
      <c r="A54" s="13"/>
      <c r="B54" s="468" t="s">
        <v>2523</v>
      </c>
      <c r="C54" s="13"/>
      <c r="D54" s="13"/>
      <c r="E54" s="13"/>
      <c r="F54" s="13"/>
      <c r="G54" s="13"/>
      <c r="H54" s="13"/>
      <c r="I54" s="13"/>
      <c r="J54" s="468"/>
    </row>
    <row r="55" spans="1:28" x14ac:dyDescent="0.25">
      <c r="A55" s="13"/>
      <c r="B55" s="468" t="s">
        <v>2532</v>
      </c>
      <c r="C55" s="13"/>
      <c r="D55" s="13"/>
      <c r="E55" s="13"/>
      <c r="F55" s="13"/>
      <c r="G55" s="13"/>
      <c r="H55" s="13"/>
      <c r="I55" s="13"/>
      <c r="J55" s="468"/>
    </row>
    <row r="56" spans="1:28" x14ac:dyDescent="0.25">
      <c r="A56" s="13"/>
      <c r="B56" s="468" t="s">
        <v>2533</v>
      </c>
      <c r="C56" s="13"/>
      <c r="D56" s="13"/>
      <c r="E56" s="13"/>
      <c r="F56" s="13"/>
      <c r="G56" s="13"/>
      <c r="H56" s="13"/>
      <c r="I56" s="13"/>
    </row>
    <row r="57" spans="1:28" x14ac:dyDescent="0.25">
      <c r="A57" s="13"/>
      <c r="B57" s="595" t="str">
        <f>"5) Negative of Line "&amp;A34&amp;""&amp;", charge to common equity reversed for ratemaking."</f>
        <v>5) Negative of Line 20, charge to common equity reversed for ratemaking.</v>
      </c>
      <c r="C57" s="13"/>
      <c r="D57" s="13"/>
      <c r="E57" s="13"/>
      <c r="F57" s="13"/>
      <c r="G57" s="13"/>
      <c r="H57" s="13"/>
      <c r="I57" s="13"/>
    </row>
    <row r="58" spans="1:28" x14ac:dyDescent="0.25">
      <c r="B58" s="466"/>
    </row>
    <row r="59" spans="1:28" x14ac:dyDescent="0.25">
      <c r="B59" s="470"/>
    </row>
    <row r="60" spans="1:28" x14ac:dyDescent="0.25">
      <c r="B60" s="466"/>
    </row>
    <row r="61" spans="1:28" x14ac:dyDescent="0.25">
      <c r="B61" s="470"/>
    </row>
  </sheetData>
  <phoneticPr fontId="9" type="noConversion"/>
  <pageMargins left="0.75" right="0.75" top="1" bottom="1" header="0.5" footer="0.5"/>
  <pageSetup scale="55" orientation="landscape" cellComments="asDisplayed" r:id="rId1"/>
  <headerFooter alignWithMargins="0">
    <oddHeader xml:space="preserve">&amp;C&amp;"Arial,Bold"Schedule 5 ROR-1
Return and Capitalization&amp;"Arial,Regular"
</oddHeader>
    <oddFooter>&amp;R&amp;A</oddFooter>
  </headerFooter>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zoomScale="80" zoomScaleNormal="80" workbookViewId="0"/>
  </sheetViews>
  <sheetFormatPr defaultRowHeight="13.2" x14ac:dyDescent="0.25"/>
  <cols>
    <col min="1" max="1" width="4.6640625" customWidth="1"/>
    <col min="2" max="2" width="5.44140625" customWidth="1"/>
    <col min="3" max="16" width="14.6640625" customWidth="1"/>
  </cols>
  <sheetData>
    <row r="1" spans="1:16" x14ac:dyDescent="0.25">
      <c r="A1" s="1" t="s">
        <v>1865</v>
      </c>
      <c r="B1" s="1"/>
    </row>
    <row r="2" spans="1:16" x14ac:dyDescent="0.25">
      <c r="A2" s="103" t="s">
        <v>2722</v>
      </c>
      <c r="B2" s="170" t="str">
        <f>'[1]5-ROR-1'!L2</f>
        <v>-</v>
      </c>
    </row>
    <row r="3" spans="1:16" x14ac:dyDescent="0.25">
      <c r="C3" s="84" t="s">
        <v>394</v>
      </c>
      <c r="D3" s="84" t="s">
        <v>378</v>
      </c>
      <c r="E3" s="84" t="s">
        <v>379</v>
      </c>
      <c r="F3" s="84" t="s">
        <v>380</v>
      </c>
      <c r="G3" s="84" t="s">
        <v>381</v>
      </c>
      <c r="H3" s="84" t="s">
        <v>382</v>
      </c>
      <c r="I3" s="84" t="s">
        <v>383</v>
      </c>
      <c r="J3" s="84" t="s">
        <v>595</v>
      </c>
      <c r="K3" s="84" t="s">
        <v>1043</v>
      </c>
      <c r="L3" s="84" t="s">
        <v>1059</v>
      </c>
      <c r="M3" s="84" t="s">
        <v>1062</v>
      </c>
      <c r="N3" s="84" t="s">
        <v>1080</v>
      </c>
      <c r="O3" s="84" t="s">
        <v>1663</v>
      </c>
      <c r="P3" s="84" t="s">
        <v>1664</v>
      </c>
    </row>
    <row r="4" spans="1:16" x14ac:dyDescent="0.25">
      <c r="A4" s="3" t="s">
        <v>350</v>
      </c>
      <c r="B4" s="3" t="s">
        <v>1866</v>
      </c>
      <c r="C4" s="35" t="s">
        <v>10</v>
      </c>
      <c r="D4" s="483" t="s">
        <v>199</v>
      </c>
      <c r="E4" s="475" t="s">
        <v>200</v>
      </c>
      <c r="F4" s="475" t="s">
        <v>201</v>
      </c>
      <c r="G4" s="475" t="s">
        <v>214</v>
      </c>
      <c r="H4" s="475" t="s">
        <v>202</v>
      </c>
      <c r="I4" s="475" t="s">
        <v>203</v>
      </c>
      <c r="J4" s="475" t="s">
        <v>1662</v>
      </c>
      <c r="K4" s="475" t="s">
        <v>205</v>
      </c>
      <c r="L4" s="475" t="s">
        <v>206</v>
      </c>
      <c r="M4" s="475" t="s">
        <v>207</v>
      </c>
      <c r="N4" s="475" t="s">
        <v>210</v>
      </c>
      <c r="O4" s="475" t="s">
        <v>209</v>
      </c>
      <c r="P4" s="475" t="s">
        <v>199</v>
      </c>
    </row>
    <row r="5" spans="1:16" x14ac:dyDescent="0.25">
      <c r="A5" s="3"/>
      <c r="B5" s="113"/>
      <c r="C5" s="538" t="s">
        <v>2723</v>
      </c>
      <c r="D5" s="559"/>
      <c r="E5" s="475"/>
      <c r="F5" s="475"/>
      <c r="G5" s="475"/>
      <c r="H5" s="475"/>
      <c r="I5" s="475"/>
      <c r="J5" s="475"/>
      <c r="K5" s="475"/>
      <c r="L5" s="475"/>
      <c r="M5" s="475"/>
      <c r="N5" s="475"/>
      <c r="O5" s="475"/>
      <c r="P5" s="475"/>
    </row>
    <row r="6" spans="1:16" x14ac:dyDescent="0.25">
      <c r="A6" s="51"/>
      <c r="B6" s="51"/>
      <c r="C6" s="35"/>
      <c r="D6" s="483"/>
      <c r="E6" s="475"/>
      <c r="F6" s="475"/>
      <c r="G6" s="475"/>
      <c r="H6" s="475"/>
      <c r="I6" s="475"/>
      <c r="J6" s="475"/>
      <c r="K6" s="475"/>
      <c r="L6" s="475"/>
      <c r="M6" s="475"/>
      <c r="N6" s="475"/>
      <c r="O6" s="475"/>
      <c r="P6" s="475"/>
    </row>
    <row r="7" spans="1:16" x14ac:dyDescent="0.25">
      <c r="B7" s="43" t="s">
        <v>1867</v>
      </c>
      <c r="D7" s="483"/>
      <c r="E7" s="475"/>
      <c r="F7" s="475"/>
      <c r="G7" s="475"/>
      <c r="H7" s="475"/>
      <c r="I7" s="475"/>
      <c r="J7" s="475"/>
      <c r="K7" s="475"/>
      <c r="L7" s="475"/>
      <c r="M7" s="475"/>
      <c r="N7" s="475"/>
      <c r="O7" s="475"/>
      <c r="P7" s="475"/>
    </row>
    <row r="8" spans="1:16" x14ac:dyDescent="0.25">
      <c r="A8" s="103">
        <v>1</v>
      </c>
      <c r="B8" s="103"/>
      <c r="C8" s="968">
        <v>0</v>
      </c>
      <c r="D8" s="977">
        <v>0</v>
      </c>
      <c r="E8" s="977">
        <v>0</v>
      </c>
      <c r="F8" s="977">
        <v>0</v>
      </c>
      <c r="G8" s="977">
        <v>0</v>
      </c>
      <c r="H8" s="977">
        <v>0</v>
      </c>
      <c r="I8" s="977">
        <v>0</v>
      </c>
      <c r="J8" s="977">
        <v>0</v>
      </c>
      <c r="K8" s="977">
        <v>0</v>
      </c>
      <c r="L8" s="977">
        <v>0</v>
      </c>
      <c r="M8" s="977">
        <v>0</v>
      </c>
      <c r="N8" s="977">
        <v>0</v>
      </c>
      <c r="O8" s="977">
        <v>0</v>
      </c>
      <c r="P8" s="977">
        <v>0</v>
      </c>
    </row>
    <row r="9" spans="1:16" x14ac:dyDescent="0.25">
      <c r="A9" s="103"/>
      <c r="B9" s="43" t="s">
        <v>2724</v>
      </c>
      <c r="C9" s="6"/>
      <c r="D9" s="480"/>
      <c r="E9" s="480"/>
      <c r="F9" s="480"/>
      <c r="G9" s="480"/>
      <c r="H9" s="480"/>
      <c r="I9" s="480"/>
      <c r="J9" s="480"/>
      <c r="K9" s="480"/>
      <c r="L9" s="480"/>
      <c r="M9" s="480"/>
      <c r="N9" s="480"/>
      <c r="O9" s="480"/>
      <c r="P9" s="480"/>
    </row>
    <row r="10" spans="1:16" x14ac:dyDescent="0.25">
      <c r="A10" s="103">
        <f>A8+1</f>
        <v>2</v>
      </c>
      <c r="B10" s="103"/>
      <c r="C10" s="968">
        <v>0</v>
      </c>
      <c r="D10" s="977">
        <v>0</v>
      </c>
      <c r="E10" s="977">
        <v>0</v>
      </c>
      <c r="F10" s="977">
        <v>0</v>
      </c>
      <c r="G10" s="977">
        <v>0</v>
      </c>
      <c r="H10" s="977">
        <v>0</v>
      </c>
      <c r="I10" s="977">
        <v>0</v>
      </c>
      <c r="J10" s="977">
        <v>0</v>
      </c>
      <c r="K10" s="977">
        <v>0</v>
      </c>
      <c r="L10" s="977">
        <v>0</v>
      </c>
      <c r="M10" s="977">
        <v>0</v>
      </c>
      <c r="N10" s="977">
        <v>0</v>
      </c>
      <c r="O10" s="977">
        <v>0</v>
      </c>
      <c r="P10" s="977">
        <v>0</v>
      </c>
    </row>
    <row r="11" spans="1:16" x14ac:dyDescent="0.25">
      <c r="A11" s="103"/>
      <c r="B11" s="43" t="s">
        <v>2187</v>
      </c>
      <c r="C11" s="13"/>
      <c r="D11" s="480"/>
      <c r="E11" s="480"/>
      <c r="F11" s="480"/>
      <c r="G11" s="480"/>
      <c r="H11" s="480"/>
      <c r="I11" s="480"/>
      <c r="J11" s="480"/>
      <c r="K11" s="480"/>
      <c r="L11" s="480"/>
      <c r="M11" s="480"/>
      <c r="N11" s="480"/>
      <c r="O11" s="480"/>
      <c r="P11" s="480"/>
    </row>
    <row r="12" spans="1:16" x14ac:dyDescent="0.25">
      <c r="A12" s="103" t="s">
        <v>567</v>
      </c>
      <c r="B12" s="43"/>
      <c r="C12" s="968">
        <v>0</v>
      </c>
      <c r="D12" s="977">
        <v>0</v>
      </c>
      <c r="E12" s="977">
        <v>0</v>
      </c>
      <c r="F12" s="977">
        <v>0</v>
      </c>
      <c r="G12" s="977">
        <v>0</v>
      </c>
      <c r="H12" s="977">
        <v>0</v>
      </c>
      <c r="I12" s="977">
        <v>0</v>
      </c>
      <c r="J12" s="977">
        <v>0</v>
      </c>
      <c r="K12" s="977">
        <v>0</v>
      </c>
      <c r="L12" s="977">
        <v>0</v>
      </c>
      <c r="M12" s="977">
        <v>0</v>
      </c>
      <c r="N12" s="977">
        <v>0</v>
      </c>
      <c r="O12" s="977">
        <v>0</v>
      </c>
      <c r="P12" s="977">
        <v>0</v>
      </c>
    </row>
    <row r="13" spans="1:16" x14ac:dyDescent="0.25">
      <c r="A13" s="103"/>
      <c r="B13" s="43" t="s">
        <v>1868</v>
      </c>
      <c r="D13" s="480"/>
      <c r="E13" s="480"/>
      <c r="F13" s="480"/>
      <c r="G13" s="480"/>
      <c r="H13" s="480"/>
      <c r="I13" s="480"/>
      <c r="J13" s="480"/>
      <c r="K13" s="480"/>
      <c r="L13" s="480"/>
      <c r="M13" s="480"/>
      <c r="N13" s="480"/>
      <c r="O13" s="480"/>
      <c r="P13" s="480"/>
    </row>
    <row r="14" spans="1:16" x14ac:dyDescent="0.25">
      <c r="A14" s="103">
        <f>A10+1</f>
        <v>3</v>
      </c>
      <c r="B14" s="103"/>
      <c r="C14" s="968">
        <v>0</v>
      </c>
      <c r="D14" s="977">
        <v>0</v>
      </c>
      <c r="E14" s="977">
        <v>0</v>
      </c>
      <c r="F14" s="977">
        <v>0</v>
      </c>
      <c r="G14" s="977">
        <v>0</v>
      </c>
      <c r="H14" s="977">
        <v>0</v>
      </c>
      <c r="I14" s="977">
        <v>0</v>
      </c>
      <c r="J14" s="977">
        <v>0</v>
      </c>
      <c r="K14" s="977">
        <v>0</v>
      </c>
      <c r="L14" s="977">
        <v>0</v>
      </c>
      <c r="M14" s="977">
        <v>0</v>
      </c>
      <c r="N14" s="977">
        <v>0</v>
      </c>
      <c r="O14" s="977">
        <v>0</v>
      </c>
      <c r="P14" s="977">
        <v>0</v>
      </c>
    </row>
    <row r="15" spans="1:16" x14ac:dyDescent="0.25">
      <c r="A15" s="103"/>
      <c r="B15" s="43"/>
      <c r="C15" s="13"/>
      <c r="D15" s="480"/>
      <c r="E15" s="480"/>
      <c r="F15" s="480"/>
      <c r="G15" s="480"/>
      <c r="H15" s="480"/>
      <c r="I15" s="480"/>
      <c r="J15" s="480"/>
      <c r="K15" s="480"/>
      <c r="L15" s="480"/>
      <c r="M15" s="480"/>
      <c r="N15" s="480"/>
      <c r="O15" s="480"/>
      <c r="P15" s="480"/>
    </row>
    <row r="16" spans="1:16" x14ac:dyDescent="0.25">
      <c r="A16" s="103">
        <f>A14+1</f>
        <v>4</v>
      </c>
      <c r="B16" s="374" t="s">
        <v>2461</v>
      </c>
      <c r="C16" s="480"/>
      <c r="D16" s="480"/>
      <c r="E16" s="480"/>
      <c r="F16" s="480"/>
      <c r="G16" s="480"/>
      <c r="H16" s="480"/>
      <c r="I16" s="480"/>
      <c r="J16" s="480"/>
      <c r="K16" s="480"/>
      <c r="L16" s="480"/>
      <c r="M16" s="480"/>
      <c r="N16" s="480"/>
      <c r="O16" s="480"/>
      <c r="P16" s="480"/>
    </row>
    <row r="17" spans="1:16" x14ac:dyDescent="0.25">
      <c r="A17" s="103"/>
      <c r="B17" s="43"/>
      <c r="C17" s="13"/>
      <c r="D17" s="480"/>
      <c r="E17" s="480"/>
      <c r="F17" s="480"/>
      <c r="G17" s="480"/>
      <c r="H17" s="480"/>
      <c r="I17" s="480"/>
      <c r="J17" s="480"/>
      <c r="K17" s="480"/>
      <c r="L17" s="480"/>
      <c r="M17" s="480"/>
      <c r="N17" s="480"/>
      <c r="O17" s="480"/>
      <c r="P17" s="480"/>
    </row>
    <row r="18" spans="1:16" x14ac:dyDescent="0.25">
      <c r="A18" s="103">
        <f>A16+1</f>
        <v>5</v>
      </c>
      <c r="B18" s="374" t="s">
        <v>2461</v>
      </c>
      <c r="C18" s="480"/>
      <c r="D18" s="480"/>
      <c r="E18" s="480"/>
      <c r="F18" s="480"/>
      <c r="G18" s="480"/>
      <c r="H18" s="480"/>
      <c r="I18" s="480"/>
      <c r="J18" s="480"/>
      <c r="K18" s="480"/>
      <c r="L18" s="480"/>
      <c r="M18" s="480"/>
      <c r="N18" s="480"/>
      <c r="O18" s="480"/>
      <c r="P18" s="480"/>
    </row>
    <row r="19" spans="1:16" x14ac:dyDescent="0.25">
      <c r="A19" s="13"/>
      <c r="B19" s="43"/>
      <c r="C19" s="13"/>
      <c r="D19" s="13"/>
      <c r="E19" s="13"/>
      <c r="F19" s="13"/>
      <c r="G19" s="13"/>
      <c r="H19" s="13"/>
      <c r="I19" s="13"/>
      <c r="J19" s="13"/>
      <c r="K19" s="13"/>
      <c r="L19" s="13"/>
      <c r="M19" s="13"/>
      <c r="N19" s="13"/>
      <c r="O19" s="13"/>
      <c r="P19" s="13"/>
    </row>
    <row r="20" spans="1:16" x14ac:dyDescent="0.25">
      <c r="A20" s="103">
        <v>6</v>
      </c>
      <c r="B20" s="374" t="s">
        <v>2461</v>
      </c>
      <c r="C20" s="480"/>
      <c r="D20" s="480"/>
      <c r="E20" s="480"/>
      <c r="F20" s="480"/>
      <c r="G20" s="480"/>
      <c r="H20" s="480"/>
      <c r="I20" s="480"/>
      <c r="J20" s="480"/>
      <c r="K20" s="480"/>
      <c r="L20" s="480"/>
      <c r="M20" s="480"/>
      <c r="N20" s="480"/>
      <c r="O20" s="480"/>
      <c r="P20" s="480"/>
    </row>
    <row r="21" spans="1:16" x14ac:dyDescent="0.25">
      <c r="A21" s="103"/>
      <c r="B21" s="43"/>
      <c r="C21" s="13"/>
      <c r="D21" s="480"/>
      <c r="E21" s="480"/>
      <c r="F21" s="480"/>
      <c r="G21" s="480"/>
      <c r="H21" s="480"/>
      <c r="I21" s="480"/>
      <c r="J21" s="480"/>
      <c r="K21" s="480"/>
      <c r="L21" s="480"/>
      <c r="M21" s="480"/>
      <c r="N21" s="480"/>
      <c r="O21" s="480"/>
      <c r="P21" s="480"/>
    </row>
    <row r="22" spans="1:16" x14ac:dyDescent="0.25">
      <c r="A22" s="103">
        <f>A20+1</f>
        <v>7</v>
      </c>
      <c r="B22" s="374" t="s">
        <v>2461</v>
      </c>
      <c r="C22" s="480"/>
      <c r="D22" s="480"/>
      <c r="E22" s="480"/>
      <c r="F22" s="480"/>
      <c r="G22" s="480"/>
      <c r="H22" s="480"/>
      <c r="I22" s="480"/>
      <c r="J22" s="480"/>
      <c r="K22" s="480"/>
      <c r="L22" s="480"/>
      <c r="M22" s="480"/>
      <c r="N22" s="480"/>
      <c r="O22" s="480"/>
      <c r="P22" s="480"/>
    </row>
    <row r="23" spans="1:16" x14ac:dyDescent="0.25">
      <c r="A23" s="13"/>
      <c r="B23" s="43" t="s">
        <v>2439</v>
      </c>
    </row>
    <row r="24" spans="1:16" x14ac:dyDescent="0.25">
      <c r="A24" s="103">
        <v>18</v>
      </c>
      <c r="B24" s="103"/>
      <c r="C24" s="968">
        <v>0</v>
      </c>
      <c r="D24" s="977">
        <v>0</v>
      </c>
      <c r="E24" s="977">
        <v>0</v>
      </c>
      <c r="F24" s="977">
        <v>0</v>
      </c>
      <c r="G24" s="977">
        <v>0</v>
      </c>
      <c r="H24" s="977">
        <v>0</v>
      </c>
      <c r="I24" s="977">
        <v>0</v>
      </c>
      <c r="J24" s="977">
        <v>0</v>
      </c>
      <c r="K24" s="977">
        <v>0</v>
      </c>
      <c r="L24" s="977">
        <v>0</v>
      </c>
      <c r="M24" s="977">
        <v>0</v>
      </c>
      <c r="N24" s="977">
        <v>0</v>
      </c>
      <c r="O24" s="977">
        <v>0</v>
      </c>
      <c r="P24" s="977">
        <v>0</v>
      </c>
    </row>
    <row r="25" spans="1:16" x14ac:dyDescent="0.25">
      <c r="A25" s="103"/>
      <c r="B25" s="43" t="s">
        <v>2725</v>
      </c>
      <c r="D25" s="480"/>
      <c r="E25" s="480"/>
      <c r="F25" s="480"/>
      <c r="G25" s="480"/>
      <c r="H25" s="480"/>
      <c r="I25" s="480"/>
      <c r="J25" s="480"/>
      <c r="K25" s="480"/>
      <c r="L25" s="480"/>
      <c r="M25" s="480"/>
      <c r="N25" s="480"/>
      <c r="O25" s="480"/>
      <c r="P25" s="480"/>
    </row>
    <row r="26" spans="1:16" x14ac:dyDescent="0.25">
      <c r="A26" s="103">
        <f>A24+1</f>
        <v>19</v>
      </c>
      <c r="B26" s="103"/>
      <c r="C26" s="968">
        <v>0</v>
      </c>
      <c r="D26" s="977">
        <v>0</v>
      </c>
      <c r="E26" s="977">
        <v>0</v>
      </c>
      <c r="F26" s="977">
        <v>0</v>
      </c>
      <c r="G26" s="977">
        <v>0</v>
      </c>
      <c r="H26" s="977">
        <v>0</v>
      </c>
      <c r="I26" s="977">
        <v>0</v>
      </c>
      <c r="J26" s="977">
        <v>0</v>
      </c>
      <c r="K26" s="977">
        <v>0</v>
      </c>
      <c r="L26" s="977">
        <v>0</v>
      </c>
      <c r="M26" s="977">
        <v>0</v>
      </c>
      <c r="N26" s="977">
        <v>0</v>
      </c>
      <c r="O26" s="977">
        <v>0</v>
      </c>
      <c r="P26" s="977">
        <v>0</v>
      </c>
    </row>
    <row r="27" spans="1:16" x14ac:dyDescent="0.25">
      <c r="A27" s="103"/>
      <c r="B27" s="43" t="s">
        <v>2443</v>
      </c>
      <c r="D27" s="480"/>
      <c r="E27" s="480"/>
      <c r="F27" s="480"/>
      <c r="G27" s="480"/>
      <c r="H27" s="480"/>
      <c r="I27" s="480"/>
      <c r="J27" s="480"/>
      <c r="K27" s="480"/>
      <c r="L27" s="480"/>
      <c r="M27" s="480"/>
      <c r="N27" s="480"/>
      <c r="O27" s="480"/>
      <c r="P27" s="480"/>
    </row>
    <row r="28" spans="1:16" x14ac:dyDescent="0.25">
      <c r="A28" s="103">
        <f>A26+1</f>
        <v>20</v>
      </c>
      <c r="B28" s="103"/>
      <c r="C28" s="968">
        <v>0</v>
      </c>
      <c r="D28" s="977">
        <v>0</v>
      </c>
      <c r="E28" s="977">
        <v>0</v>
      </c>
      <c r="F28" s="977">
        <v>0</v>
      </c>
      <c r="G28" s="977">
        <v>0</v>
      </c>
      <c r="H28" s="977">
        <v>0</v>
      </c>
      <c r="I28" s="977">
        <v>0</v>
      </c>
      <c r="J28" s="977">
        <v>0</v>
      </c>
      <c r="K28" s="977">
        <v>0</v>
      </c>
      <c r="L28" s="977">
        <v>0</v>
      </c>
      <c r="M28" s="977">
        <v>0</v>
      </c>
      <c r="N28" s="977">
        <v>0</v>
      </c>
      <c r="O28" s="977">
        <v>0</v>
      </c>
      <c r="P28" s="977">
        <v>0</v>
      </c>
    </row>
    <row r="29" spans="1:16" x14ac:dyDescent="0.25">
      <c r="A29" s="13"/>
      <c r="B29" s="43" t="s">
        <v>2444</v>
      </c>
    </row>
    <row r="30" spans="1:16" x14ac:dyDescent="0.25">
      <c r="A30" s="103">
        <v>27</v>
      </c>
      <c r="B30" s="103"/>
      <c r="C30" s="968">
        <v>0</v>
      </c>
      <c r="D30" s="977">
        <v>0</v>
      </c>
      <c r="E30" s="977">
        <v>0</v>
      </c>
      <c r="F30" s="977">
        <v>0</v>
      </c>
      <c r="G30" s="977">
        <v>0</v>
      </c>
      <c r="H30" s="977">
        <v>0</v>
      </c>
      <c r="I30" s="977">
        <v>0</v>
      </c>
      <c r="J30" s="977">
        <v>0</v>
      </c>
      <c r="K30" s="977">
        <v>0</v>
      </c>
      <c r="L30" s="977">
        <v>0</v>
      </c>
      <c r="M30" s="977">
        <v>0</v>
      </c>
      <c r="N30" s="977">
        <v>0</v>
      </c>
      <c r="O30" s="977">
        <v>0</v>
      </c>
      <c r="P30" s="977">
        <v>0</v>
      </c>
    </row>
    <row r="31" spans="1:16" x14ac:dyDescent="0.25">
      <c r="A31" s="103"/>
      <c r="B31" s="43" t="s">
        <v>2726</v>
      </c>
      <c r="D31" s="480"/>
      <c r="E31" s="480"/>
      <c r="F31" s="480"/>
      <c r="G31" s="480"/>
      <c r="H31" s="480"/>
      <c r="I31" s="480"/>
      <c r="J31" s="480"/>
      <c r="K31" s="480"/>
      <c r="L31" s="480"/>
      <c r="M31" s="480"/>
      <c r="N31" s="480"/>
      <c r="O31" s="480"/>
      <c r="P31" s="480"/>
    </row>
    <row r="32" spans="1:16" x14ac:dyDescent="0.25">
      <c r="A32" s="103">
        <v>30</v>
      </c>
      <c r="B32" s="103"/>
      <c r="C32" s="968">
        <v>0</v>
      </c>
      <c r="D32" s="977">
        <v>0</v>
      </c>
      <c r="E32" s="977">
        <v>0</v>
      </c>
      <c r="F32" s="977">
        <v>0</v>
      </c>
      <c r="G32" s="977">
        <v>0</v>
      </c>
      <c r="H32" s="977">
        <v>0</v>
      </c>
      <c r="I32" s="977">
        <v>0</v>
      </c>
      <c r="J32" s="977">
        <v>0</v>
      </c>
      <c r="K32" s="977">
        <v>0</v>
      </c>
      <c r="L32" s="977">
        <v>0</v>
      </c>
      <c r="M32" s="977">
        <v>0</v>
      </c>
      <c r="N32" s="977">
        <v>0</v>
      </c>
      <c r="O32" s="977">
        <v>0</v>
      </c>
      <c r="P32" s="977">
        <v>0</v>
      </c>
    </row>
    <row r="33" spans="1:16" x14ac:dyDescent="0.25">
      <c r="A33" s="103"/>
      <c r="B33" s="43" t="s">
        <v>2727</v>
      </c>
      <c r="D33" s="480"/>
      <c r="E33" s="480"/>
      <c r="F33" s="480"/>
      <c r="G33" s="480"/>
      <c r="H33" s="480"/>
      <c r="I33" s="480"/>
      <c r="J33" s="480"/>
      <c r="K33" s="480"/>
      <c r="L33" s="480"/>
      <c r="M33" s="480"/>
      <c r="N33" s="480"/>
      <c r="O33" s="480"/>
      <c r="P33" s="480"/>
    </row>
    <row r="34" spans="1:16" x14ac:dyDescent="0.25">
      <c r="A34" s="103">
        <f>A32+1</f>
        <v>31</v>
      </c>
      <c r="B34" s="103"/>
      <c r="C34" s="968">
        <v>0</v>
      </c>
      <c r="D34" s="977">
        <v>0</v>
      </c>
      <c r="E34" s="977">
        <v>0</v>
      </c>
      <c r="F34" s="977">
        <v>0</v>
      </c>
      <c r="G34" s="977">
        <v>0</v>
      </c>
      <c r="H34" s="977">
        <v>0</v>
      </c>
      <c r="I34" s="977">
        <v>0</v>
      </c>
      <c r="J34" s="977">
        <v>0</v>
      </c>
      <c r="K34" s="977">
        <v>0</v>
      </c>
      <c r="L34" s="977">
        <v>0</v>
      </c>
      <c r="M34" s="977">
        <v>0</v>
      </c>
      <c r="N34" s="977">
        <v>0</v>
      </c>
      <c r="O34" s="977">
        <v>0</v>
      </c>
      <c r="P34" s="977">
        <v>0</v>
      </c>
    </row>
    <row r="35" spans="1:16" x14ac:dyDescent="0.25">
      <c r="A35" s="103"/>
      <c r="B35" s="103"/>
      <c r="C35" s="480"/>
      <c r="D35" s="480"/>
      <c r="E35" s="480"/>
      <c r="F35" s="480"/>
      <c r="G35" s="480"/>
      <c r="H35" s="480"/>
      <c r="I35" s="480"/>
      <c r="J35" s="480"/>
      <c r="K35" s="480"/>
      <c r="L35" s="480"/>
      <c r="M35" s="480"/>
      <c r="N35" s="480"/>
      <c r="O35" s="480"/>
      <c r="P35" s="480"/>
    </row>
    <row r="36" spans="1:16" x14ac:dyDescent="0.25">
      <c r="A36" s="103"/>
      <c r="B36" s="49" t="s">
        <v>420</v>
      </c>
      <c r="C36" s="480"/>
      <c r="D36" s="480"/>
      <c r="E36" s="480"/>
      <c r="F36" s="480"/>
      <c r="G36" s="480"/>
      <c r="H36" s="480"/>
      <c r="I36" s="480"/>
      <c r="J36" s="480"/>
      <c r="K36" s="480"/>
      <c r="L36" s="480"/>
      <c r="M36" s="480"/>
      <c r="N36" s="480"/>
      <c r="O36" s="480"/>
      <c r="P36" s="480"/>
    </row>
    <row r="37" spans="1:16" x14ac:dyDescent="0.25">
      <c r="A37" s="103"/>
      <c r="B37" s="466" t="s">
        <v>1869</v>
      </c>
      <c r="C37" s="480"/>
      <c r="D37" s="480"/>
      <c r="E37" s="480"/>
      <c r="F37" s="480"/>
      <c r="G37" s="480"/>
      <c r="H37" s="480"/>
      <c r="I37" s="480"/>
      <c r="J37" s="480"/>
      <c r="K37" s="480"/>
      <c r="L37" s="480"/>
      <c r="M37" s="480"/>
      <c r="N37" s="480"/>
      <c r="O37" s="480"/>
      <c r="P37" s="480"/>
    </row>
    <row r="38" spans="1:16" x14ac:dyDescent="0.25">
      <c r="A38" s="103"/>
      <c r="B38" s="470" t="s">
        <v>1880</v>
      </c>
      <c r="C38" s="480"/>
      <c r="D38" s="480"/>
      <c r="E38" s="480"/>
      <c r="F38" s="480"/>
      <c r="G38" s="480"/>
      <c r="H38" s="480"/>
      <c r="I38" s="480"/>
      <c r="J38" s="480"/>
      <c r="K38" s="480"/>
      <c r="L38" s="480"/>
      <c r="M38" s="480"/>
      <c r="N38" s="480"/>
      <c r="O38" s="480"/>
      <c r="P38" s="480"/>
    </row>
    <row r="39" spans="1:16" x14ac:dyDescent="0.25">
      <c r="A39" s="103"/>
      <c r="B39" s="468" t="s">
        <v>2526</v>
      </c>
      <c r="C39" s="374" t="s">
        <v>2461</v>
      </c>
      <c r="D39" s="480"/>
      <c r="E39" s="480"/>
      <c r="F39" s="480"/>
      <c r="G39" s="480"/>
      <c r="H39" s="480"/>
      <c r="I39" s="480"/>
      <c r="J39" s="480"/>
      <c r="K39" s="480"/>
      <c r="L39" s="480"/>
      <c r="M39" s="480"/>
      <c r="N39" s="480"/>
      <c r="O39" s="480"/>
      <c r="P39" s="480"/>
    </row>
    <row r="40" spans="1:16" x14ac:dyDescent="0.25">
      <c r="B40" s="890" t="s">
        <v>2527</v>
      </c>
      <c r="C40" s="13"/>
      <c r="D40" s="13"/>
      <c r="E40" s="13"/>
      <c r="F40" s="13"/>
      <c r="G40" s="13"/>
      <c r="H40" s="13"/>
      <c r="I40" s="13"/>
      <c r="J40" s="13"/>
    </row>
    <row r="41" spans="1:16" x14ac:dyDescent="0.25">
      <c r="B41" s="465"/>
      <c r="C41" s="13"/>
      <c r="D41" s="13"/>
      <c r="E41" s="13"/>
      <c r="F41" s="13"/>
      <c r="G41" s="13"/>
      <c r="H41" s="13"/>
      <c r="I41" s="13"/>
      <c r="J41" s="13"/>
    </row>
    <row r="42" spans="1:16" x14ac:dyDescent="0.25">
      <c r="B42" s="43" t="s">
        <v>256</v>
      </c>
      <c r="C42" s="13"/>
      <c r="D42" s="13"/>
      <c r="E42" s="13"/>
      <c r="F42" s="13"/>
      <c r="G42" s="13"/>
      <c r="H42" s="13"/>
      <c r="I42" s="13"/>
      <c r="J42" s="13"/>
    </row>
    <row r="43" spans="1:16" x14ac:dyDescent="0.25">
      <c r="B43" s="468" t="s">
        <v>2020</v>
      </c>
      <c r="C43" s="13"/>
      <c r="D43" s="13"/>
      <c r="E43" s="13"/>
      <c r="F43" s="13"/>
      <c r="G43" s="13"/>
      <c r="H43" s="13"/>
      <c r="I43" s="13"/>
      <c r="J43" s="13"/>
    </row>
    <row r="44" spans="1:16" x14ac:dyDescent="0.25">
      <c r="B44" s="468" t="s">
        <v>2021</v>
      </c>
      <c r="C44" s="13"/>
      <c r="D44" s="13"/>
      <c r="E44" s="13"/>
      <c r="F44" s="13"/>
      <c r="G44" s="13"/>
      <c r="H44" s="13"/>
      <c r="I44" s="13"/>
      <c r="J44" s="13"/>
    </row>
    <row r="45" spans="1:16" x14ac:dyDescent="0.25">
      <c r="B45" s="468" t="s">
        <v>2191</v>
      </c>
      <c r="C45" s="13"/>
      <c r="D45" s="13"/>
      <c r="E45" s="13"/>
      <c r="F45" s="13"/>
      <c r="G45" s="13"/>
      <c r="H45" s="13"/>
      <c r="I45" s="13"/>
      <c r="J45" s="13"/>
    </row>
    <row r="46" spans="1:16" x14ac:dyDescent="0.25">
      <c r="B46" s="468" t="s">
        <v>2022</v>
      </c>
      <c r="C46" s="13"/>
      <c r="D46" s="13"/>
      <c r="E46" s="13"/>
      <c r="F46" s="13"/>
      <c r="G46" s="13"/>
      <c r="H46" s="13"/>
      <c r="I46" s="13"/>
      <c r="J46" s="13"/>
    </row>
    <row r="47" spans="1:16" x14ac:dyDescent="0.25">
      <c r="B47" s="468" t="s">
        <v>2462</v>
      </c>
      <c r="C47" s="374" t="s">
        <v>2461</v>
      </c>
      <c r="D47" s="13"/>
      <c r="E47" s="13"/>
      <c r="F47" s="13"/>
      <c r="G47" s="13"/>
      <c r="H47" s="13"/>
      <c r="I47" s="13"/>
      <c r="J47" s="13"/>
    </row>
    <row r="48" spans="1:16" x14ac:dyDescent="0.25">
      <c r="B48" s="468" t="s">
        <v>2459</v>
      </c>
      <c r="C48" s="374" t="s">
        <v>2461</v>
      </c>
      <c r="D48" s="13"/>
      <c r="E48" s="13"/>
      <c r="F48" s="13"/>
      <c r="G48" s="13"/>
      <c r="H48" s="13"/>
      <c r="I48" s="13"/>
      <c r="J48" s="13"/>
    </row>
    <row r="49" spans="2:13" x14ac:dyDescent="0.25">
      <c r="B49" s="468" t="s">
        <v>2524</v>
      </c>
      <c r="C49" s="374" t="s">
        <v>2461</v>
      </c>
      <c r="D49" s="13"/>
      <c r="E49" s="13"/>
      <c r="F49" s="13"/>
      <c r="G49" s="13"/>
      <c r="H49" s="13"/>
      <c r="I49" s="13"/>
      <c r="J49" s="13"/>
    </row>
    <row r="50" spans="2:13" x14ac:dyDescent="0.25">
      <c r="B50" s="468" t="s">
        <v>2525</v>
      </c>
      <c r="C50" s="374" t="s">
        <v>2461</v>
      </c>
      <c r="D50" s="13"/>
      <c r="E50" s="13"/>
      <c r="F50" s="13"/>
      <c r="G50" s="13"/>
      <c r="H50" s="13"/>
      <c r="I50" s="13"/>
      <c r="J50" s="13"/>
    </row>
    <row r="51" spans="2:13" x14ac:dyDescent="0.25">
      <c r="B51" s="468" t="s">
        <v>2440</v>
      </c>
      <c r="C51" s="13"/>
      <c r="D51" s="13"/>
      <c r="E51" s="13"/>
      <c r="F51" s="13"/>
      <c r="G51" s="13"/>
      <c r="H51" s="13"/>
      <c r="I51" s="13"/>
      <c r="J51" s="13"/>
    </row>
    <row r="52" spans="2:13" x14ac:dyDescent="0.25">
      <c r="B52" s="468" t="s">
        <v>2441</v>
      </c>
      <c r="C52" s="13"/>
      <c r="D52" s="13"/>
      <c r="E52" s="13"/>
      <c r="F52" s="13"/>
      <c r="G52" s="13"/>
      <c r="H52" s="13"/>
      <c r="I52" s="13"/>
      <c r="J52" s="13"/>
    </row>
    <row r="53" spans="2:13" x14ac:dyDescent="0.25">
      <c r="B53" s="465" t="s">
        <v>2074</v>
      </c>
      <c r="C53" s="13"/>
      <c r="D53" s="13"/>
      <c r="E53" s="13"/>
      <c r="F53" s="13"/>
      <c r="G53" s="13"/>
      <c r="H53" s="13"/>
      <c r="I53" s="13"/>
      <c r="J53" s="13"/>
    </row>
    <row r="54" spans="2:13" x14ac:dyDescent="0.25">
      <c r="B54" s="13"/>
      <c r="C54" s="13"/>
      <c r="D54" s="13"/>
      <c r="E54" s="13"/>
      <c r="F54" s="13"/>
      <c r="G54" s="13"/>
      <c r="H54" s="103" t="s">
        <v>1164</v>
      </c>
      <c r="I54" s="13"/>
      <c r="J54" s="13"/>
      <c r="K54" s="466" t="s">
        <v>359</v>
      </c>
    </row>
    <row r="55" spans="2:13" x14ac:dyDescent="0.25">
      <c r="B55" s="13"/>
      <c r="C55" s="103"/>
      <c r="D55" s="13"/>
      <c r="E55" s="103" t="s">
        <v>1840</v>
      </c>
      <c r="F55" s="103" t="s">
        <v>1841</v>
      </c>
      <c r="G55" s="103" t="s">
        <v>1841</v>
      </c>
      <c r="H55" s="103" t="s">
        <v>218</v>
      </c>
      <c r="I55" s="103" t="s">
        <v>1524</v>
      </c>
      <c r="J55" s="13"/>
    </row>
    <row r="56" spans="2:13" x14ac:dyDescent="0.25">
      <c r="B56" s="13"/>
      <c r="C56" s="113" t="s">
        <v>1842</v>
      </c>
      <c r="D56" s="13"/>
      <c r="E56" s="113" t="s">
        <v>194</v>
      </c>
      <c r="F56" s="113" t="s">
        <v>1843</v>
      </c>
      <c r="G56" s="113" t="s">
        <v>1905</v>
      </c>
      <c r="H56" s="335" t="s">
        <v>2070</v>
      </c>
      <c r="I56" s="113" t="s">
        <v>1164</v>
      </c>
      <c r="J56" s="113" t="s">
        <v>187</v>
      </c>
    </row>
    <row r="57" spans="2:13" x14ac:dyDescent="0.25">
      <c r="B57" s="13"/>
      <c r="C57" s="571"/>
      <c r="D57" s="527"/>
      <c r="E57" s="101"/>
      <c r="F57" s="572"/>
      <c r="G57" s="101"/>
      <c r="H57" s="139"/>
      <c r="I57" s="596"/>
      <c r="J57" s="94"/>
      <c r="K57" s="94"/>
      <c r="L57" s="94"/>
      <c r="M57" s="94"/>
    </row>
    <row r="58" spans="2:13" x14ac:dyDescent="0.25">
      <c r="B58" s="13"/>
      <c r="C58" s="571"/>
      <c r="D58" s="527"/>
      <c r="E58" s="101"/>
      <c r="F58" s="572"/>
      <c r="G58" s="101"/>
      <c r="H58" s="139"/>
      <c r="I58" s="101"/>
      <c r="J58" s="94"/>
      <c r="K58" s="94"/>
      <c r="L58" s="94"/>
      <c r="M58" s="94"/>
    </row>
    <row r="59" spans="2:13" x14ac:dyDescent="0.25">
      <c r="B59" s="13"/>
      <c r="C59" s="571"/>
      <c r="D59" s="527"/>
      <c r="E59" s="101"/>
      <c r="F59" s="572"/>
      <c r="G59" s="101"/>
      <c r="H59" s="139"/>
      <c r="I59" s="101"/>
      <c r="J59" s="94"/>
      <c r="K59" s="94"/>
      <c r="L59" s="94"/>
      <c r="M59" s="94"/>
    </row>
    <row r="60" spans="2:13" x14ac:dyDescent="0.25">
      <c r="B60" s="13"/>
      <c r="C60" s="527" t="s">
        <v>563</v>
      </c>
      <c r="D60" s="527"/>
      <c r="E60" s="101"/>
      <c r="F60" s="572"/>
      <c r="G60" s="101"/>
      <c r="H60" s="139"/>
      <c r="I60" s="94"/>
      <c r="J60" s="94"/>
      <c r="K60" s="94"/>
      <c r="L60" s="94"/>
      <c r="M60" s="94"/>
    </row>
    <row r="61" spans="2:13" x14ac:dyDescent="0.25">
      <c r="B61" s="13"/>
      <c r="C61" s="595"/>
      <c r="D61" s="595"/>
      <c r="E61" s="13"/>
      <c r="F61" s="13"/>
      <c r="G61" s="13"/>
      <c r="H61" s="13"/>
      <c r="I61" s="968">
        <v>0</v>
      </c>
      <c r="J61" s="468" t="s">
        <v>2073</v>
      </c>
      <c r="K61" s="13"/>
      <c r="L61" s="13"/>
      <c r="M61" s="13"/>
    </row>
    <row r="62" spans="2:13" x14ac:dyDescent="0.25">
      <c r="B62" s="468" t="s">
        <v>2442</v>
      </c>
      <c r="C62" s="13"/>
      <c r="D62" s="13"/>
      <c r="E62" s="13"/>
      <c r="F62" s="13"/>
      <c r="G62" s="13"/>
      <c r="H62" s="13"/>
      <c r="I62" s="13"/>
      <c r="J62" s="13"/>
      <c r="K62" s="13"/>
      <c r="L62" s="13"/>
      <c r="M62" s="13"/>
    </row>
    <row r="63" spans="2:13" x14ac:dyDescent="0.25">
      <c r="B63" s="465" t="s">
        <v>2071</v>
      </c>
      <c r="C63" s="13"/>
      <c r="D63" s="13"/>
      <c r="E63" s="13"/>
      <c r="F63" s="13"/>
      <c r="G63" s="13"/>
      <c r="H63" s="13"/>
      <c r="I63" s="13"/>
      <c r="J63" s="13"/>
      <c r="K63" s="13"/>
      <c r="L63" s="13"/>
      <c r="M63" s="13"/>
    </row>
    <row r="64" spans="2:13" x14ac:dyDescent="0.25">
      <c r="B64" s="13"/>
      <c r="C64" s="13"/>
      <c r="D64" s="13"/>
      <c r="E64" s="13"/>
      <c r="F64" s="13"/>
      <c r="G64" s="103" t="s">
        <v>1164</v>
      </c>
      <c r="H64" s="13"/>
      <c r="I64" s="13"/>
      <c r="J64" s="13"/>
      <c r="K64" s="13"/>
      <c r="L64" s="13"/>
      <c r="M64" s="13"/>
    </row>
    <row r="65" spans="2:13" x14ac:dyDescent="0.25">
      <c r="B65" s="13"/>
      <c r="C65" s="103"/>
      <c r="D65" s="13"/>
      <c r="E65" s="103" t="s">
        <v>1906</v>
      </c>
      <c r="F65" s="103" t="s">
        <v>1164</v>
      </c>
      <c r="G65" s="103" t="s">
        <v>218</v>
      </c>
      <c r="H65" s="103" t="s">
        <v>1524</v>
      </c>
      <c r="I65" s="103"/>
      <c r="J65" s="13"/>
      <c r="K65" s="13"/>
      <c r="L65" s="13"/>
      <c r="M65" s="13"/>
    </row>
    <row r="66" spans="2:13" x14ac:dyDescent="0.25">
      <c r="B66" s="13"/>
      <c r="C66" s="113" t="s">
        <v>1907</v>
      </c>
      <c r="D66" s="13"/>
      <c r="E66" s="113" t="s">
        <v>1843</v>
      </c>
      <c r="F66" s="113" t="s">
        <v>194</v>
      </c>
      <c r="G66" s="335" t="s">
        <v>2070</v>
      </c>
      <c r="H66" s="113" t="s">
        <v>1164</v>
      </c>
      <c r="I66" s="113" t="s">
        <v>187</v>
      </c>
      <c r="J66" s="13"/>
      <c r="K66" s="13"/>
      <c r="L66" s="13"/>
      <c r="M66" s="13"/>
    </row>
    <row r="67" spans="2:13" x14ac:dyDescent="0.25">
      <c r="B67" s="13"/>
      <c r="C67" s="571"/>
      <c r="D67" s="527"/>
      <c r="E67" s="573"/>
      <c r="F67" s="101"/>
      <c r="G67" s="139"/>
      <c r="H67" s="101"/>
      <c r="I67" s="94"/>
      <c r="J67" s="94"/>
      <c r="K67" s="94"/>
      <c r="L67" s="94"/>
      <c r="M67" s="94"/>
    </row>
    <row r="68" spans="2:13" x14ac:dyDescent="0.25">
      <c r="B68" s="13"/>
      <c r="C68" s="571"/>
      <c r="D68" s="527"/>
      <c r="E68" s="574"/>
      <c r="F68" s="101"/>
      <c r="G68" s="139"/>
      <c r="H68" s="101"/>
      <c r="I68" s="94"/>
      <c r="J68" s="94"/>
      <c r="K68" s="94"/>
      <c r="L68" s="94"/>
      <c r="M68" s="94"/>
    </row>
    <row r="69" spans="2:13" x14ac:dyDescent="0.25">
      <c r="B69" s="13"/>
      <c r="C69" s="571"/>
      <c r="D69" s="527"/>
      <c r="E69" s="574"/>
      <c r="F69" s="101"/>
      <c r="G69" s="139"/>
      <c r="H69" s="101"/>
      <c r="I69" s="94"/>
      <c r="J69" s="94"/>
      <c r="K69" s="94"/>
      <c r="L69" s="94"/>
      <c r="M69" s="94"/>
    </row>
    <row r="70" spans="2:13" x14ac:dyDescent="0.25">
      <c r="B70" s="13"/>
      <c r="C70" s="527" t="s">
        <v>563</v>
      </c>
      <c r="D70" s="527"/>
      <c r="E70" s="574"/>
      <c r="F70" s="101"/>
      <c r="G70" s="139"/>
      <c r="H70" s="101"/>
      <c r="I70" s="476"/>
      <c r="J70" s="94"/>
      <c r="K70" s="94"/>
      <c r="L70" s="94"/>
      <c r="M70" s="94"/>
    </row>
    <row r="71" spans="2:13" x14ac:dyDescent="0.25">
      <c r="B71" s="13"/>
      <c r="C71" s="595"/>
      <c r="D71" s="595"/>
      <c r="E71" s="13"/>
      <c r="F71" s="13"/>
      <c r="G71" s="13"/>
      <c r="H71" s="968">
        <v>0</v>
      </c>
      <c r="I71" s="468" t="s">
        <v>2072</v>
      </c>
      <c r="J71" s="13"/>
      <c r="K71" s="13"/>
      <c r="L71" s="13"/>
      <c r="M71" s="13"/>
    </row>
    <row r="72" spans="2:13" x14ac:dyDescent="0.25">
      <c r="B72" s="13"/>
      <c r="C72" s="13"/>
      <c r="D72" s="13"/>
      <c r="E72" s="13"/>
      <c r="F72" s="13"/>
      <c r="G72" s="13"/>
      <c r="H72" s="13"/>
      <c r="I72" s="13"/>
      <c r="J72" s="13"/>
      <c r="K72" s="13"/>
      <c r="L72" s="13"/>
      <c r="M72" s="13"/>
    </row>
    <row r="73" spans="2:13" x14ac:dyDescent="0.25">
      <c r="B73" s="468" t="s">
        <v>2445</v>
      </c>
      <c r="C73" s="13"/>
      <c r="D73" s="13"/>
      <c r="E73" s="13"/>
      <c r="F73" s="13"/>
      <c r="G73" s="13"/>
      <c r="H73" s="13"/>
      <c r="I73" s="13"/>
      <c r="J73" s="13"/>
      <c r="K73" s="13"/>
      <c r="L73" s="13"/>
      <c r="M73" s="13"/>
    </row>
    <row r="74" spans="2:13" x14ac:dyDescent="0.25">
      <c r="B74" s="468" t="s">
        <v>2446</v>
      </c>
      <c r="C74" s="13"/>
      <c r="D74" s="13"/>
      <c r="E74" s="13"/>
      <c r="F74" s="13"/>
      <c r="G74" s="13"/>
      <c r="H74" s="13"/>
      <c r="I74" s="13"/>
      <c r="J74" s="13"/>
      <c r="K74" s="13"/>
      <c r="L74" s="13"/>
      <c r="M74" s="13"/>
    </row>
    <row r="75" spans="2:13" x14ac:dyDescent="0.25">
      <c r="B75" s="468" t="s">
        <v>2447</v>
      </c>
      <c r="C75" s="13"/>
      <c r="D75" s="13"/>
      <c r="E75" s="13"/>
      <c r="F75" s="13"/>
      <c r="G75" s="13"/>
      <c r="H75" s="13"/>
      <c r="I75" s="13"/>
      <c r="J75" s="13"/>
      <c r="K75" s="13"/>
      <c r="L75" s="13"/>
      <c r="M75" s="13"/>
    </row>
  </sheetData>
  <pageMargins left="0.7" right="0.7" top="0.75" bottom="0.75" header="0.3" footer="0.3"/>
  <pageSetup scale="55" orientation="landscape" cellComments="asDisplayed" r:id="rId1"/>
  <headerFooter>
    <oddHeader xml:space="preserve">&amp;C&amp;"Arial,Bold"Schedule 5 ROR-2
Return and Capitalization&amp;"Arial,Regular"
</oddHeader>
    <oddFooter>&amp;R5-ROR-2</oddFooter>
  </headerFooter>
  <rowBreaks count="1" manualBreakCount="1">
    <brk id="41"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40</vt:i4>
      </vt:variant>
    </vt:vector>
  </HeadingPairs>
  <TitlesOfParts>
    <vt:vector size="79" baseType="lpstr">
      <vt:lpstr>Heading</vt:lpstr>
      <vt:lpstr>Contents</vt:lpstr>
      <vt:lpstr>Overview</vt:lpstr>
      <vt:lpstr>1-BaseTRR</vt:lpstr>
      <vt:lpstr>2-IFPTRR</vt:lpstr>
      <vt:lpstr>3-TrueUpAdjust</vt:lpstr>
      <vt:lpstr>4-TUTRR</vt:lpstr>
      <vt:lpstr>5-ROR-1</vt:lpstr>
      <vt:lpstr>5-ROR-2</vt:lpstr>
      <vt:lpstr>6-PlantInService</vt:lpstr>
      <vt:lpstr>7-PlantStudy</vt:lpstr>
      <vt:lpstr>8-AccDep</vt:lpstr>
      <vt:lpstr>9-ADIT</vt:lpstr>
      <vt:lpstr>10-CWIP</vt:lpstr>
      <vt:lpstr>11-PHFU</vt:lpstr>
      <vt:lpstr>12-AbandonedPlant</vt:lpstr>
      <vt:lpstr>13-WorkCap</vt:lpstr>
      <vt:lpstr>14-IncentivePlant</vt:lpstr>
      <vt:lpstr>15-IncentiveAdder</vt:lpstr>
      <vt:lpstr>16-PlantAdditions</vt:lpstr>
      <vt:lpstr>17-Depreciation</vt:lpstr>
      <vt:lpstr>18-DepRates</vt:lpstr>
      <vt:lpstr>19-OandM</vt:lpstr>
      <vt:lpstr>20-AandG</vt:lpstr>
      <vt:lpstr>21-RevenueCredits</vt:lpstr>
      <vt:lpstr>22-NUCs</vt:lpstr>
      <vt:lpstr>23-RegAssets</vt:lpstr>
      <vt:lpstr>24-CWIPTRR</vt:lpstr>
      <vt:lpstr>25-WholesaleDifference</vt:lpstr>
      <vt:lpstr>26-TaxRates</vt:lpstr>
      <vt:lpstr>27-Allocators</vt:lpstr>
      <vt:lpstr>28-FFU</vt:lpstr>
      <vt:lpstr>29-WholesaleTRRs</vt:lpstr>
      <vt:lpstr>30-WholesaleRates</vt:lpstr>
      <vt:lpstr>31-HVLV</vt:lpstr>
      <vt:lpstr>32-GrossLoad</vt:lpstr>
      <vt:lpstr>33-RetailRates</vt:lpstr>
      <vt:lpstr>34-UnfundedReserves</vt:lpstr>
      <vt:lpstr>35-PBOPs</vt:lpstr>
      <vt:lpstr>'10-CWIP'!Print_Area</vt:lpstr>
      <vt:lpstr>'11-PHFU'!Print_Area</vt:lpstr>
      <vt:lpstr>'12-AbandonedPlant'!Print_Area</vt:lpstr>
      <vt:lpstr>'13-WorkCap'!Print_Area</vt:lpstr>
      <vt:lpstr>'14-IncentivePlant'!Print_Area</vt:lpstr>
      <vt:lpstr>'15-IncentiveAdder'!Print_Area</vt:lpstr>
      <vt:lpstr>'16-PlantAdditions'!Print_Area</vt:lpstr>
      <vt:lpstr>'17-Depreciation'!Print_Area</vt:lpstr>
      <vt:lpstr>'18-DepRates'!Print_Area</vt:lpstr>
      <vt:lpstr>'19-OandM'!Print_Area</vt:lpstr>
      <vt:lpstr>'1-BaseTRR'!Print_Area</vt:lpstr>
      <vt:lpstr>'20-AandG'!Print_Area</vt:lpstr>
      <vt:lpstr>'21-RevenueCredits'!Print_Area</vt:lpstr>
      <vt:lpstr>'22-NUCs'!Print_Area</vt:lpstr>
      <vt:lpstr>'23-RegAssets'!Print_Area</vt:lpstr>
      <vt:lpstr>'24-CWIPTRR'!Print_Area</vt:lpstr>
      <vt:lpstr>'25-WholesaleDifference'!Print_Area</vt:lpstr>
      <vt:lpstr>'26-TaxRates'!Print_Area</vt:lpstr>
      <vt:lpstr>'27-Allocators'!Print_Area</vt:lpstr>
      <vt:lpstr>'28-FFU'!Print_Area</vt:lpstr>
      <vt:lpstr>'29-WholesaleTRRs'!Print_Area</vt:lpstr>
      <vt:lpstr>'2-IFPTRR'!Print_Area</vt:lpstr>
      <vt:lpstr>'30-WholesaleRates'!Print_Area</vt:lpstr>
      <vt:lpstr>'31-HVLV'!Print_Area</vt:lpstr>
      <vt:lpstr>'32-GrossLoad'!Print_Area</vt:lpstr>
      <vt:lpstr>'33-RetailRates'!Print_Area</vt:lpstr>
      <vt:lpstr>'34-UnfundedReserves'!Print_Area</vt:lpstr>
      <vt:lpstr>'35-PBOPs'!Print_Area</vt:lpstr>
      <vt:lpstr>'3-TrueUpAdjust'!Print_Area</vt:lpstr>
      <vt:lpstr>'4-TUTRR'!Print_Area</vt:lpstr>
      <vt:lpstr>'5-ROR-1'!Print_Area</vt:lpstr>
      <vt:lpstr>'5-ROR-2'!Print_Area</vt:lpstr>
      <vt:lpstr>'6-PlantInService'!Print_Area</vt:lpstr>
      <vt:lpstr>'7-PlantStudy'!Print_Area</vt:lpstr>
      <vt:lpstr>'8-AccDep'!Print_Area</vt:lpstr>
      <vt:lpstr>'9-ADIT'!Print_Area</vt:lpstr>
      <vt:lpstr>Contents!Print_Area</vt:lpstr>
      <vt:lpstr>Overview!Print_Area</vt:lpstr>
      <vt:lpstr>'1-BaseTRR'!Print_Titles</vt:lpstr>
      <vt:lpstr>'21-RevenueCredits'!Print_Titles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Hansen, Berton J</cp:lastModifiedBy>
  <cp:lastPrinted>2016-07-11T21:07:19Z</cp:lastPrinted>
  <dcterms:created xsi:type="dcterms:W3CDTF">2009-02-27T16:01:11Z</dcterms:created>
  <dcterms:modified xsi:type="dcterms:W3CDTF">2017-01-30T15:48:05Z</dcterms:modified>
</cp:coreProperties>
</file>